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externalLinks/externalLink1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620" activeTab="3"/>
  </bookViews>
  <sheets>
    <sheet name="6.2  Accrual 2021" sheetId="1" r:id="rId1"/>
    <sheet name="Accrual" sheetId="5" r:id="rId2"/>
    <sheet name="4 FA Detail (US$)_Jun21" sheetId="2" r:id="rId3"/>
    <sheet name="CIP details" sheetId="6" r:id="rId4"/>
    <sheet name="3.3 Prepayment-10904" sheetId="3" r:id="rId5"/>
    <sheet name="Prepay cal log" sheetId="4" r:id="rId6"/>
  </sheets>
  <externalReferences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</externalReferences>
  <definedNames>
    <definedName name="_12UST">[1]Rates!$D$10</definedName>
    <definedName name="_17UST">[1]Rates!$D$11</definedName>
    <definedName name="_2IRS">[1]Rates!$D$6</definedName>
    <definedName name="_3ML">[1]Rates!$D$5</definedName>
    <definedName name="_5UST">[1]Rates!$D$8</definedName>
    <definedName name="_8UST">[1]Rates!$D$9</definedName>
    <definedName name="_Fill" localSheetId="0" hidden="1">#REF!</definedName>
    <definedName name="_Fill" hidden="1">#REF!</definedName>
    <definedName name="_Key1" localSheetId="0" hidden="1">#REF!</definedName>
    <definedName name="_Key1" hidden="1">#REF!</definedName>
    <definedName name="_Order1" hidden="1">255</definedName>
    <definedName name="_SCF1">'[2]May ''01'!$W$1:$AM$100</definedName>
    <definedName name="_Sort" localSheetId="0" hidden="1">#REF!</definedName>
    <definedName name="_Sort" hidden="1">#REF!</definedName>
    <definedName name="AbandonProvision" localSheetId="4">#REF!</definedName>
    <definedName name="AbandonProvision" localSheetId="0">#REF!</definedName>
    <definedName name="AbandonProvision">#REF!</definedName>
    <definedName name="AC_C" localSheetId="4">#REF!</definedName>
    <definedName name="AC_C" localSheetId="0">#REF!</definedName>
    <definedName name="AC_C">#REF!</definedName>
    <definedName name="AC_D" localSheetId="4">#REF!</definedName>
    <definedName name="AC_D" localSheetId="0">#REF!</definedName>
    <definedName name="AC_D">#REF!</definedName>
    <definedName name="AC_GI16" localSheetId="4">#REF!</definedName>
    <definedName name="AC_GI16" localSheetId="0">#REF!</definedName>
    <definedName name="AC_GI16">#REF!</definedName>
    <definedName name="AC_R" localSheetId="4">#REF!</definedName>
    <definedName name="AC_R" localSheetId="0">#REF!</definedName>
    <definedName name="AC_R">#REF!</definedName>
    <definedName name="ACC_FM" localSheetId="4">#REF!</definedName>
    <definedName name="ACC_FM" localSheetId="0">#REF!</definedName>
    <definedName name="ACC_FM">#REF!</definedName>
    <definedName name="ACC_TO" localSheetId="4">#REF!</definedName>
    <definedName name="ACC_TO" localSheetId="0">#REF!</definedName>
    <definedName name="ACC_TO">#REF!</definedName>
    <definedName name="AccessDatabase" hidden="1">"D:\Portfolio analysis\model\model ver7.mdb"</definedName>
    <definedName name="aEXPORT" localSheetId="4">#REF!</definedName>
    <definedName name="aEXPORT" localSheetId="0">#REF!</definedName>
    <definedName name="aEXPORT">#REF!</definedName>
    <definedName name="Balance_Sheet_December">'[3]May ''01'!$A$1:$T$85</definedName>
    <definedName name="Balance_sheet1">'[2]May ''01'!$A$1:$T$85</definedName>
    <definedName name="bank_source">[4]Banks!$D$7:$D$47</definedName>
    <definedName name="BankLoanDetailCube">[5]Reference!$C$3</definedName>
    <definedName name="BASE_DATE" localSheetId="4">#REF!</definedName>
    <definedName name="BASE_DATE" localSheetId="0">#REF!</definedName>
    <definedName name="BASE_DATE">#REF!</definedName>
    <definedName name="bblah">[6]Indices!$E$38:$E$49</definedName>
    <definedName name="blah">[6]Output!$E$43</definedName>
    <definedName name="BS_C" localSheetId="4">#REF!</definedName>
    <definedName name="BS_C" localSheetId="0">#REF!</definedName>
    <definedName name="BS_C">#REF!</definedName>
    <definedName name="BS_D" localSheetId="4">#REF!</definedName>
    <definedName name="BS_D" localSheetId="0">#REF!</definedName>
    <definedName name="BS_D">#REF!</definedName>
    <definedName name="BS_GI16" localSheetId="4">#REF!</definedName>
    <definedName name="BS_GI16" localSheetId="0">#REF!</definedName>
    <definedName name="BS_GI16">#REF!</definedName>
    <definedName name="BS_R" localSheetId="4">#REF!</definedName>
    <definedName name="BS_R" localSheetId="0">#REF!</definedName>
    <definedName name="BS_R">#REF!</definedName>
    <definedName name="bsacq">'[7]#REF'!$A$92:$M$139</definedName>
    <definedName name="bsopen">'[7]#REF'!$A$3:$L$47</definedName>
    <definedName name="bspfma">'[7]#REF'!$A$93:$M$140</definedName>
    <definedName name="BW_C" localSheetId="4">#REF!</definedName>
    <definedName name="BW_C" localSheetId="0">#REF!</definedName>
    <definedName name="BW_C">#REF!</definedName>
    <definedName name="BW_D" localSheetId="4">#REF!</definedName>
    <definedName name="BW_D" localSheetId="0">#REF!</definedName>
    <definedName name="BW_D">#REF!</definedName>
    <definedName name="BW_GI15" localSheetId="4">#REF!</definedName>
    <definedName name="BW_GI15" localSheetId="0">#REF!</definedName>
    <definedName name="BW_GI15">#REF!</definedName>
    <definedName name="BW_GI16" localSheetId="4">#REF!</definedName>
    <definedName name="BW_GI16" localSheetId="0">#REF!</definedName>
    <definedName name="BW_GI16">#REF!</definedName>
    <definedName name="BW_R" localSheetId="4">#REF!</definedName>
    <definedName name="BW_R" localSheetId="0">#REF!</definedName>
    <definedName name="BW_R">#REF!</definedName>
    <definedName name="CashGwth">[8]Assumptions!$B$27</definedName>
    <definedName name="cfacq">'[7]#REF'!$A$54:$M$91</definedName>
    <definedName name="cfpfma">'[7]#REF'!$A$53:$M$92</definedName>
    <definedName name="CIQWBGuid" hidden="1">"f5d8531a-9720-46d9-bd48-c9607c98e20b"</definedName>
    <definedName name="CommercialUsedActual">'[9]Sources&amp;Uses'!$D$358</definedName>
    <definedName name="commission1">'[10]GENERAL DATA'!#REF!</definedName>
    <definedName name="commission2">'[10]GENERAL DATA'!#REF!</definedName>
    <definedName name="costacq">'[7]#REF'!$A$314:$M$360</definedName>
    <definedName name="CostIncome">[11]Assumptions!$D$52</definedName>
    <definedName name="CpxLiqPercent">'[12]Fiscal Inputs'!$U$1:$U$65536</definedName>
    <definedName name="CRDepIntan" localSheetId="4">#REF!</definedName>
    <definedName name="CRDepIntan" localSheetId="0">#REF!</definedName>
    <definedName name="CRDepIntan">#REF!</definedName>
    <definedName name="CRDepOther" localSheetId="4">#REF!</definedName>
    <definedName name="CRDepOther" localSheetId="0">#REF!</definedName>
    <definedName name="CRDepOther">#REF!</definedName>
    <definedName name="CRDepTan" localSheetId="4">#REF!</definedName>
    <definedName name="CRDepTan" localSheetId="0">#REF!</definedName>
    <definedName name="CRDepTan">#REF!</definedName>
    <definedName name="Database" localSheetId="4">#REF!</definedName>
    <definedName name="Database" localSheetId="0">#REF!</definedName>
    <definedName name="Database">#REF!</definedName>
    <definedName name="DBCODE" localSheetId="4">#REF!</definedName>
    <definedName name="DBCODE" localSheetId="0">#REF!</definedName>
    <definedName name="DBCODE">#REF!</definedName>
    <definedName name="debtacq">'[7]#REF'!$A$234:$M$288</definedName>
    <definedName name="debtpfma">'[7]#REF'!$A$234:$M$298</definedName>
    <definedName name="dental" localSheetId="0">'[10]GENERAL DATA'!#REF!</definedName>
    <definedName name="dental">'[10]GENERAL DATA'!#REF!</definedName>
    <definedName name="depnacq">'[7]#REF'!$A$193:$M$233</definedName>
    <definedName name="depnpfma">'[7]#REF'!$A$193:$M$233</definedName>
    <definedName name="depntar">'[7]#REF'!$A$4:$L$32</definedName>
    <definedName name="disqualify">'[10]GENERAL DATA'!#REF!</definedName>
    <definedName name="Dollars" localSheetId="4">#REF!</definedName>
    <definedName name="Dollars" localSheetId="0">#REF!</definedName>
    <definedName name="Dollars">#REF!</definedName>
    <definedName name="enddate">[13]Output!$E$46</definedName>
    <definedName name="enddays">[14]Indices!#REF!</definedName>
    <definedName name="Entity">[15]Main!$E$4</definedName>
    <definedName name="equityacq">'[7]#REF'!$A$289:$M$313</definedName>
    <definedName name="equitypfma">'[7]#REF'!$A$299:$M$332</definedName>
    <definedName name="equitytar">'[7]#REF'!$A$1:$M$44</definedName>
    <definedName name="EUR">[16]Rates!$B$1</definedName>
    <definedName name="exporttbm">'[7]#REF'!$A$1:$K$8893</definedName>
    <definedName name="F1_C" localSheetId="4">#REF!</definedName>
    <definedName name="F1_C" localSheetId="0">#REF!</definedName>
    <definedName name="F1_C">#REF!</definedName>
    <definedName name="F1_D" localSheetId="4">#REF!</definedName>
    <definedName name="F1_D" localSheetId="0">#REF!</definedName>
    <definedName name="F1_D">#REF!</definedName>
    <definedName name="F1_GI16" localSheetId="4">#REF!</definedName>
    <definedName name="F1_GI16" localSheetId="0">#REF!</definedName>
    <definedName name="F1_GI16">#REF!</definedName>
    <definedName name="F1_R" localSheetId="4">#REF!</definedName>
    <definedName name="F1_R" localSheetId="0">#REF!</definedName>
    <definedName name="F1_R">#REF!</definedName>
    <definedName name="ff">[17]Assumptions!$A$11:$I$26</definedName>
    <definedName name="FG_C" localSheetId="4">#REF!</definedName>
    <definedName name="FG_C" localSheetId="0">#REF!</definedName>
    <definedName name="FG_C">#REF!</definedName>
    <definedName name="FG_D" localSheetId="4">#REF!</definedName>
    <definedName name="FG_D" localSheetId="0">#REF!</definedName>
    <definedName name="FG_D">#REF!</definedName>
    <definedName name="FG_GI15" localSheetId="4">#REF!</definedName>
    <definedName name="FG_GI15" localSheetId="0">#REF!</definedName>
    <definedName name="FG_GI15">#REF!</definedName>
    <definedName name="FG_GI16" localSheetId="4">#REF!</definedName>
    <definedName name="FG_GI16" localSheetId="0">#REF!</definedName>
    <definedName name="FG_GI16">#REF!</definedName>
    <definedName name="FG_R" localSheetId="4">#REF!</definedName>
    <definedName name="FG_R" localSheetId="0">#REF!</definedName>
    <definedName name="FG_R">#REF!</definedName>
    <definedName name="FixedAssets">[8]Assumptions!$B$24</definedName>
    <definedName name="FundingRate2007">[8]Assumptions!$B$15</definedName>
    <definedName name="G_Infra">'[1]FY2017-18'!$D$65:$R$72</definedName>
    <definedName name="G_Off">'[1]FY2017-18'!$D$91:$R$98</definedName>
    <definedName name="G_Ship">'[1]FY2017-18'!$D$118:$R$125</definedName>
    <definedName name="GBP">[16]Rates!$B$4</definedName>
    <definedName name="Goodwill">[8]Assumptions!$B$25</definedName>
    <definedName name="Helix2" localSheetId="4">#REF!</definedName>
    <definedName name="Helix2" localSheetId="0">#REF!</definedName>
    <definedName name="Helix2">#REF!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"07/31/2017 02:35:00"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  <definedName name="isacq">'[7]#REF'!$A$3:$M$53</definedName>
    <definedName name="ispfma">'[7]#REF'!$A$3:$M$52</definedName>
    <definedName name="JPY">[16]Rates!$B$7</definedName>
    <definedName name="kk">[17]Assumptions!$A$1:$D$9</definedName>
    <definedName name="KRW">[16]Rates!$B$6</definedName>
    <definedName name="LastYear">[15]Main!#REF!</definedName>
    <definedName name="LDs">[9]Scenarios!$C$44</definedName>
    <definedName name="LendingMargin">[8]Assumptions!$B$9</definedName>
    <definedName name="license1">'[10]GENERAL DATA'!#REF!</definedName>
    <definedName name="license2">'[10]GENERAL DATA'!#REF!</definedName>
    <definedName name="ll">[17]Assumptions!$A$11:$I$26</definedName>
    <definedName name="LoanGwth2007">[8]Assumptions!$B$23</definedName>
    <definedName name="LOV_FinGlDesktopEntryPageDef_CurrencyCode" hidden="1">[18]_ADFDI_LOV!$C$2:$HO$2</definedName>
    <definedName name="ltdisabilityrate">'[10]GENERAL DATA'!#REF!</definedName>
    <definedName name="LUP_ACCOUNT" localSheetId="4">#REF!</definedName>
    <definedName name="LUP_ACCOUNT" localSheetId="0">#REF!</definedName>
    <definedName name="LUP_ACCOUNT">#REF!</definedName>
    <definedName name="match">'[10]GENERAL DATA'!#REF!</definedName>
    <definedName name="MDX" localSheetId="4">#REF!</definedName>
    <definedName name="MDX" localSheetId="0">#REF!</definedName>
    <definedName name="MDX">#REF!</definedName>
    <definedName name="medinsur2000" localSheetId="0">'[10]GENERAL DATA'!#REF!</definedName>
    <definedName name="medinsur2000">'[10]GENERAL DATA'!#REF!</definedName>
    <definedName name="Millions" localSheetId="4">#REF!</definedName>
    <definedName name="Millions" localSheetId="0">#REF!</definedName>
    <definedName name="Millions">#REF!</definedName>
    <definedName name="month.nos">[13]Indices!$E$39:$E$50</definedName>
    <definedName name="MY_C" localSheetId="4">#REF!</definedName>
    <definedName name="MY_C" localSheetId="0">#REF!</definedName>
    <definedName name="MY_C">#REF!</definedName>
    <definedName name="MY_D" localSheetId="4">#REF!</definedName>
    <definedName name="MY_D" localSheetId="0">#REF!</definedName>
    <definedName name="MY_D">#REF!</definedName>
    <definedName name="MY_GI16" localSheetId="4">#REF!</definedName>
    <definedName name="MY_GI16" localSheetId="0">#REF!</definedName>
    <definedName name="MY_GI16">#REF!</definedName>
    <definedName name="MY_R" localSheetId="4">#REF!</definedName>
    <definedName name="MY_R" localSheetId="0">#REF!</definedName>
    <definedName name="MY_R">#REF!</definedName>
    <definedName name="MYR">[16]Rates!$B$8</definedName>
    <definedName name="NameTar">[19]Sheet1!$C$5</definedName>
    <definedName name="NDUE_FM" localSheetId="4">#REF!</definedName>
    <definedName name="NDUE_FM" localSheetId="0">#REF!</definedName>
    <definedName name="NDUE_FM">#REF!</definedName>
    <definedName name="NDUE_TO" localSheetId="4">#REF!</definedName>
    <definedName name="NDUE_TO" localSheetId="0">#REF!</definedName>
    <definedName name="NDUE_TO">#REF!</definedName>
    <definedName name="NetBadDebtCharge">[8]Assumptions!$B$12</definedName>
    <definedName name="new">'[10]GENERAL DATA'!#REF!</definedName>
    <definedName name="NINETY_FM" localSheetId="4">#REF!</definedName>
    <definedName name="NINETY_FM" localSheetId="0">#REF!</definedName>
    <definedName name="NINETY_FM">#REF!</definedName>
    <definedName name="NINETY_TO" localSheetId="4">#REF!</definedName>
    <definedName name="NINETY_TO" localSheetId="0">#REF!</definedName>
    <definedName name="NINETY_TO">#REF!</definedName>
    <definedName name="no.of.days">[13]Indices!$F$39:$F$50</definedName>
    <definedName name="OFF_C" localSheetId="4">#REF!</definedName>
    <definedName name="OFF_C" localSheetId="0">#REF!</definedName>
    <definedName name="OFF_C">#REF!</definedName>
    <definedName name="OFF_D" localSheetId="4">#REF!</definedName>
    <definedName name="OFF_D" localSheetId="0">#REF!</definedName>
    <definedName name="OFF_D">#REF!</definedName>
    <definedName name="OFF_GI16" localSheetId="4">#REF!</definedName>
    <definedName name="OFF_GI16" localSheetId="0">#REF!</definedName>
    <definedName name="OFF_GI16">#REF!</definedName>
    <definedName name="OFF_R" localSheetId="4">#REF!</definedName>
    <definedName name="OFF_R" localSheetId="0">#REF!</definedName>
    <definedName name="OFF_R">#REF!</definedName>
    <definedName name="offer">'[7]#REF'!$G$11</definedName>
    <definedName name="Otherincome_grossrev">[8]Assumptions!$B$18</definedName>
    <definedName name="OVER_FM" localSheetId="4">#REF!</definedName>
    <definedName name="OVER_FM" localSheetId="0">#REF!</definedName>
    <definedName name="OVER_FM">#REF!</definedName>
    <definedName name="OVER_TO" localSheetId="4">#REF!</definedName>
    <definedName name="OVER_TO" localSheetId="0">#REF!</definedName>
    <definedName name="OVER_TO">#REF!</definedName>
    <definedName name="P_C" localSheetId="4">#REF!</definedName>
    <definedName name="P_C" localSheetId="0">#REF!</definedName>
    <definedName name="P_C">#REF!</definedName>
    <definedName name="P_D" localSheetId="4">#REF!</definedName>
    <definedName name="P_D" localSheetId="0">#REF!</definedName>
    <definedName name="P_D">#REF!</definedName>
    <definedName name="P_GI15" localSheetId="4">#REF!</definedName>
    <definedName name="P_GI15" localSheetId="0">#REF!</definedName>
    <definedName name="P_GI15">#REF!</definedName>
    <definedName name="P_GI16" localSheetId="4">#REF!</definedName>
    <definedName name="P_GI16" localSheetId="0">#REF!</definedName>
    <definedName name="P_GI16">#REF!</definedName>
    <definedName name="P_R" localSheetId="4">#REF!</definedName>
    <definedName name="P_R" localSheetId="0">#REF!</definedName>
    <definedName name="P_R">#REF!</definedName>
    <definedName name="page\x2dtotal" localSheetId="4">#REF!</definedName>
    <definedName name="page\x2dtotal" localSheetId="0">#REF!</definedName>
    <definedName name="page\x2dtotal\x2dmaster0" localSheetId="4">#REF!</definedName>
    <definedName name="page\x2dtotal\x2dmaster0" localSheetId="0">#REF!</definedName>
    <definedName name="page\x2dtotal\x2dmaster1" localSheetId="4">#REF!</definedName>
    <definedName name="page\x2dtotal\x2dmaster1" localSheetId="0">#REF!</definedName>
    <definedName name="page\x2dtotal\x2dmaster1">#REF!</definedName>
    <definedName name="PD_Tenor_Selected" localSheetId="4">OFFSET('[20]WAL PD CG_Use'!$D$6,0,ROUND_WAL_PD_CG_Use-1,22,1)</definedName>
    <definedName name="PD_Tenor_Selected" localSheetId="2">OFFSET('[20]WAL PD CG_Use'!$D$6,0,ROUND_WAL_PD_CG_Use-1,22,1)</definedName>
    <definedName name="PD_Tenor_Selected" localSheetId="0">OFFSET('[20]WAL PD CG_Use'!$D$6,0,ROUND_WAL_PD_CG_Use-1,22,1)</definedName>
    <definedName name="PD_Tenor_Selected">OFFSET('[20]WAL PD CG_Use'!$D$6,0,ROUND_WAL_PD_CG_Use-1,22,1)</definedName>
    <definedName name="Period">[15]Main!$E$6</definedName>
    <definedName name="periodno" localSheetId="4">[14]Indices!#REF!</definedName>
    <definedName name="periodno">[14]Indices!#REF!</definedName>
    <definedName name="PRD_B4" localSheetId="4">#REF!</definedName>
    <definedName name="PRD_B4" localSheetId="0">#REF!</definedName>
    <definedName name="PRD_B4">#REF!</definedName>
    <definedName name="PRD_FM" localSheetId="4">#REF!</definedName>
    <definedName name="PRD_FM" localSheetId="0">#REF!</definedName>
    <definedName name="PRD_FM">#REF!</definedName>
    <definedName name="PRD_START" localSheetId="4">#REF!</definedName>
    <definedName name="PRD_START" localSheetId="0">#REF!</definedName>
    <definedName name="PRD_START">#REF!</definedName>
    <definedName name="PRD_TO" localSheetId="4">#REF!</definedName>
    <definedName name="PRD_TO" localSheetId="0">#REF!</definedName>
    <definedName name="PRD_TO">#REF!</definedName>
    <definedName name="priceacq">'[7]#REF'!$G$8</definedName>
    <definedName name="pricetar">'[7]#REF'!$G$9</definedName>
    <definedName name="_xlnm.Print_Area" localSheetId="0">'6.2  Accrual 2021'!$A$1:$AQ$168</definedName>
    <definedName name="_xlnm.Print_Area">#REF!</definedName>
    <definedName name="PRINT_AREA_MI" localSheetId="0">#REF!</definedName>
    <definedName name="PRINT_AREA_MI">#REF!</definedName>
    <definedName name="Q_C" localSheetId="4">#REF!</definedName>
    <definedName name="Q_C" localSheetId="0">#REF!</definedName>
    <definedName name="Q_C">#REF!</definedName>
    <definedName name="Q_D" localSheetId="4">#REF!</definedName>
    <definedName name="Q_D" localSheetId="0">#REF!</definedName>
    <definedName name="Q_D">#REF!</definedName>
    <definedName name="Q_GI15" localSheetId="4">#REF!</definedName>
    <definedName name="Q_GI15" localSheetId="0">#REF!</definedName>
    <definedName name="Q_GI15">#REF!</definedName>
    <definedName name="Q_GI16" localSheetId="4">#REF!</definedName>
    <definedName name="Q_GI16" localSheetId="0">#REF!</definedName>
    <definedName name="Q_GI16">#REF!</definedName>
    <definedName name="Q_R" localSheetId="4">#REF!</definedName>
    <definedName name="Q_R" localSheetId="0">#REF!</definedName>
    <definedName name="Q_R">#REF!</definedName>
    <definedName name="raisemonth" localSheetId="4">'[10]GENERAL DATA'!#REF!</definedName>
    <definedName name="raisemonth">'[10]GENERAL DATA'!#REF!</definedName>
    <definedName name="recruit" localSheetId="4">'[10]GENERAL DATA'!#REF!</definedName>
    <definedName name="recruit">'[10]GENERAL DATA'!#REF!</definedName>
    <definedName name="RiskWeighting">[8]Assumptions!$B$31</definedName>
    <definedName name="rjekl">[21]Output!$E$46</definedName>
    <definedName name="ROUND_WAL_PD_CG_Use">ROUND('[20]WAL PD CG_Use'!$L$72,0)</definedName>
    <definedName name="Rupees" localSheetId="4">#REF!</definedName>
    <definedName name="Rupees" localSheetId="0">#REF!</definedName>
    <definedName name="Rupees">#REF!</definedName>
    <definedName name="Scenario">[15]Main!$E$5</definedName>
    <definedName name="SCF_December">'[3]May ''01'!$W$1:$AM$100</definedName>
    <definedName name="Sch14.1" localSheetId="0">#REF!</definedName>
    <definedName name="Sch14.1">#REF!</definedName>
    <definedName name="Sch14.2" localSheetId="0">#REF!</definedName>
    <definedName name="Sch14.2">#REF!</definedName>
    <definedName name="Sch14.3" localSheetId="0">#REF!</definedName>
    <definedName name="Sch14.3">#REF!</definedName>
    <definedName name="Sch2.1">#REF!</definedName>
    <definedName name="Sch2.2">#REF!</definedName>
    <definedName name="Sch22.1">'[22]Sch 22.2'!#REF!</definedName>
    <definedName name="Sch22.2">'[22]Sch 22.4'!#REF!</definedName>
    <definedName name="Sch3.1">'[22]Sch 3.1'!#REF!</definedName>
    <definedName name="Sch3.2" localSheetId="0">#REF!</definedName>
    <definedName name="Sch3.2">#REF!</definedName>
    <definedName name="Sch4.3" localSheetId="0">#REF!</definedName>
    <definedName name="Sch4.3">#REF!</definedName>
    <definedName name="sense1">'[7]#REF'!$A$3:$M$38</definedName>
    <definedName name="sense2">'[7]#REF'!$A$39:$M$71</definedName>
    <definedName name="servername" localSheetId="4">#REF!</definedName>
    <definedName name="servername" localSheetId="0">#REF!</definedName>
    <definedName name="servername">#REF!</definedName>
    <definedName name="SF5_C" localSheetId="4">#REF!</definedName>
    <definedName name="SF5_C" localSheetId="0">#REF!</definedName>
    <definedName name="SF5_C">#REF!</definedName>
    <definedName name="SF5_D" localSheetId="4">#REF!</definedName>
    <definedName name="SF5_D" localSheetId="0">#REF!</definedName>
    <definedName name="SF5_D">#REF!</definedName>
    <definedName name="SF5_GI15" localSheetId="4">#REF!</definedName>
    <definedName name="SF5_GI15" localSheetId="0">#REF!</definedName>
    <definedName name="SF5_GI15">#REF!</definedName>
    <definedName name="SF5_GI16" localSheetId="4">#REF!</definedName>
    <definedName name="SF5_GI16" localSheetId="0">#REF!</definedName>
    <definedName name="SF5_GI16">#REF!</definedName>
    <definedName name="SF5_R" localSheetId="4">#REF!</definedName>
    <definedName name="SF5_R" localSheetId="0">#REF!</definedName>
    <definedName name="SF5_R">#REF!</definedName>
    <definedName name="SHIP_C" localSheetId="4">#REF!</definedName>
    <definedName name="SHIP_C" localSheetId="0">#REF!</definedName>
    <definedName name="SHIP_C">#REF!</definedName>
    <definedName name="SHIP_D" localSheetId="4">#REF!</definedName>
    <definedName name="SHIP_D" localSheetId="0">#REF!</definedName>
    <definedName name="SHIP_D">#REF!</definedName>
    <definedName name="SHIP_GI16" localSheetId="4">#REF!</definedName>
    <definedName name="SHIP_GI16" localSheetId="0">#REF!</definedName>
    <definedName name="SHIP_GI16">#REF!</definedName>
    <definedName name="SHIP_R" localSheetId="4">#REF!</definedName>
    <definedName name="SHIP_R" localSheetId="0">#REF!</definedName>
    <definedName name="SHIP_R">#REF!</definedName>
    <definedName name="SIR_C" localSheetId="4">#REF!</definedName>
    <definedName name="SIR_C" localSheetId="0">#REF!</definedName>
    <definedName name="SIR_C">#REF!</definedName>
    <definedName name="SIR_D" localSheetId="4">#REF!</definedName>
    <definedName name="SIR_D" localSheetId="0">#REF!</definedName>
    <definedName name="SIR_D">#REF!</definedName>
    <definedName name="SIR_GI16" localSheetId="4">#REF!</definedName>
    <definedName name="SIR_GI16" localSheetId="0">#REF!</definedName>
    <definedName name="SIR_GI16">#REF!</definedName>
    <definedName name="SIR_R" localSheetId="4">#REF!</definedName>
    <definedName name="SIR_R" localSheetId="0">#REF!</definedName>
    <definedName name="SIR_R">#REF!</definedName>
    <definedName name="SIXTY_FM" localSheetId="4">#REF!</definedName>
    <definedName name="SIXTY_FM" localSheetId="0">#REF!</definedName>
    <definedName name="SIXTY_FM">#REF!</definedName>
    <definedName name="SIXTY_TO" localSheetId="4">#REF!</definedName>
    <definedName name="SIXTY_TO" localSheetId="0">#REF!</definedName>
    <definedName name="SIXTY_TO">#REF!</definedName>
    <definedName name="SL_C" localSheetId="4">#REF!</definedName>
    <definedName name="SL_C" localSheetId="0">#REF!</definedName>
    <definedName name="SL_C">#REF!</definedName>
    <definedName name="SL_D" localSheetId="4">#REF!</definedName>
    <definedName name="SL_D" localSheetId="0">#REF!</definedName>
    <definedName name="SL_D">#REF!</definedName>
    <definedName name="SL_GI15" localSheetId="4">#REF!</definedName>
    <definedName name="SL_GI15" localSheetId="0">#REF!</definedName>
    <definedName name="SL_GI15">#REF!</definedName>
    <definedName name="SL_GI16" localSheetId="4">#REF!</definedName>
    <definedName name="SL_GI16" localSheetId="0">#REF!</definedName>
    <definedName name="SL_GI16">#REF!</definedName>
    <definedName name="SL_R" localSheetId="4">#REF!</definedName>
    <definedName name="SL_R" localSheetId="0">#REF!</definedName>
    <definedName name="SL_R">#REF!</definedName>
    <definedName name="startdate">[14]Output!$C$46</definedName>
    <definedName name="startdays">[14]Indices!#REF!</definedName>
    <definedName name="SubordinatedLoans">[8]Assumptions!$B$26</definedName>
    <definedName name="suppsched1pfma">'[7]#REF'!$A$334:$M$363</definedName>
    <definedName name="table">'[7]#REF'!$A$16:$L$57</definedName>
    <definedName name="table1cum" localSheetId="4">#REF!</definedName>
    <definedName name="table1cum" localSheetId="0">#REF!</definedName>
    <definedName name="table1cum">#REF!</definedName>
    <definedName name="table1marg">'[23]Input Master'!$Z$15:$AV$37</definedName>
    <definedName name="table1probPRIORsurv">'[23]Input Master'!$BX$15:$CT$37</definedName>
    <definedName name="table1probsurv" localSheetId="4">#REF!</definedName>
    <definedName name="table1probsurv" localSheetId="0">#REF!</definedName>
    <definedName name="table1probsurv">#REF!</definedName>
    <definedName name="table2cum" localSheetId="4">#REF!</definedName>
    <definedName name="table2cum" localSheetId="0">#REF!</definedName>
    <definedName name="table2cum">#REF!</definedName>
    <definedName name="table2marg">'[23]Input Master'!$Z$43:$AV$65</definedName>
    <definedName name="table2probPRIORsurv">'[23]Input Master'!$BX$43:$CT$65</definedName>
    <definedName name="table2probsurv" localSheetId="4">#REF!</definedName>
    <definedName name="table2probsurv" localSheetId="0">#REF!</definedName>
    <definedName name="table2probsurv">#REF!</definedName>
    <definedName name="table3cum" localSheetId="4">#REF!</definedName>
    <definedName name="table3cum" localSheetId="0">#REF!</definedName>
    <definedName name="table3cum">#REF!</definedName>
    <definedName name="table3marg">'[23]Input Master'!$Z$71:$AV$93</definedName>
    <definedName name="table3probPRIORsurv">'[23]Input Master'!$BX$71:$CT$93</definedName>
    <definedName name="table3probsurv" localSheetId="4">#REF!</definedName>
    <definedName name="table3probsurv" localSheetId="0">#REF!</definedName>
    <definedName name="table3probsurv">#REF!</definedName>
    <definedName name="tar1_c">'[7]#REF'!$A$44:$M$90</definedName>
    <definedName name="tar1_is">'[7]#REF'!$A$3:$M$43</definedName>
    <definedName name="tar10_c">'[7]#REF'!$A$44:$M$90</definedName>
    <definedName name="tar10_is">'[7]#REF'!$A$3:$M$43</definedName>
    <definedName name="tar11_c">'[7]#REF'!$A$44:$M$90</definedName>
    <definedName name="tar11_is">'[7]#REF'!$A$3:$M$43</definedName>
    <definedName name="tar12_c">'[7]#REF'!$A$44:$M$90</definedName>
    <definedName name="tar12_is">'[7]#REF'!$A$3:$M$43</definedName>
    <definedName name="tar13_c">'[7]#REF'!$A$44:$M$90</definedName>
    <definedName name="tar13_is">'[7]#REF'!$A$3:$M$43</definedName>
    <definedName name="tar14_c">'[7]#REF'!$A$44:$M$90</definedName>
    <definedName name="tar14_is">'[7]#REF'!$A$3:$M$43</definedName>
    <definedName name="tar15_c">'[7]#REF'!$A$44:$M$90</definedName>
    <definedName name="tar15_is">'[7]#REF'!$A$3:$M$43</definedName>
    <definedName name="tar16_c">'[7]#REF'!$A$44:$M$90</definedName>
    <definedName name="tar16_is">'[7]#REF'!$A$3:$M$43</definedName>
    <definedName name="tar17_c">'[7]#REF'!$A$44:$M$90</definedName>
    <definedName name="tar17_is">'[7]#REF'!$A$3:$M$43</definedName>
    <definedName name="tar18_c">'[7]#REF'!$A$44:$M$90</definedName>
    <definedName name="tar18_is">'[7]#REF'!$A$3:$M$43</definedName>
    <definedName name="tar19_c">'[7]#REF'!$A$44:$M$90</definedName>
    <definedName name="tar19_is">'[7]#REF'!$A$3:$M$43</definedName>
    <definedName name="tar2_c">'[7]#REF'!$A$44:$M$90</definedName>
    <definedName name="tar2_is">'[7]#REF'!$A$3:$M$43</definedName>
    <definedName name="tar20_c">'[7]#REF'!$A$44:$M$90</definedName>
    <definedName name="tar20_is">'[7]#REF'!$A$3:$M$43</definedName>
    <definedName name="tar21_c">'[7]#REF'!$A$44:$M$90</definedName>
    <definedName name="tar21_is">'[7]#REF'!$A$3:$M$43</definedName>
    <definedName name="tar22_c">'[7]#REF'!$A$44:$M$90</definedName>
    <definedName name="tar22_is">'[7]#REF'!$A$3:$M$43</definedName>
    <definedName name="tar23_c">'[7]#REF'!$A$44:$M$90</definedName>
    <definedName name="tar23_is">'[7]#REF'!$A$3:$M$43</definedName>
    <definedName name="tar24_c">'[7]#REF'!$A$44:$M$90</definedName>
    <definedName name="tar24_is">'[7]#REF'!$A$3:$M$43</definedName>
    <definedName name="tar25_c">'[7]#REF'!$A$44:$M$90</definedName>
    <definedName name="tar25_is">'[7]#REF'!$A$3:$M$43</definedName>
    <definedName name="tar26_c">'[7]#REF'!$A$44:$M$90</definedName>
    <definedName name="tar26_is">'[7]#REF'!$A$3:$M$43</definedName>
    <definedName name="tar27_c">'[7]#REF'!$A$44:$M$90</definedName>
    <definedName name="tar27_is">'[7]#REF'!$A$3:$M$43</definedName>
    <definedName name="tar28_c">'[7]#REF'!$A$44:$M$90</definedName>
    <definedName name="tar28_is">'[7]#REF'!$A$3:$M$43</definedName>
    <definedName name="tar29_c">'[7]#REF'!$A$44:$M$90</definedName>
    <definedName name="tar29_is">'[7]#REF'!$A$3:$M$43</definedName>
    <definedName name="tar3_c">'[7]#REF'!$A$44:$M$90</definedName>
    <definedName name="tar3_is">'[7]#REF'!$A$3:$M$43</definedName>
    <definedName name="tar30_c">'[7]#REF'!$M$90</definedName>
    <definedName name="tar30_is">'[7]#REF'!$A$3:$M$43</definedName>
    <definedName name="tar31_c">'[7]#REF'!$A$44:$M$90</definedName>
    <definedName name="tar31_is">'[7]#REF'!$A$3:$M$43</definedName>
    <definedName name="tar32_c">'[7]#REF'!$A$44:$M$90</definedName>
    <definedName name="tar32_is">'[7]#REF'!$A$3:$M$43</definedName>
    <definedName name="tar33_c">'[7]#REF'!$A$44:$L$90</definedName>
    <definedName name="tar33_is">'[7]#REF'!$A$3:$M$43</definedName>
    <definedName name="tar34_c">'[7]#REF'!$A$44:$L$90</definedName>
    <definedName name="tar34_is">'[7]#REF'!$A$3:$M$43</definedName>
    <definedName name="tar35_c">'[7]#REF'!$A$44:$L$90</definedName>
    <definedName name="tar35_is">'[7]#REF'!$A$3:$M$43</definedName>
    <definedName name="tar36_c">'[7]#REF'!$A$44:$L$90</definedName>
    <definedName name="tar36_is">'[7]#REF'!$A$3:$M$43</definedName>
    <definedName name="tar37_c">'[7]#REF'!$A$44:$L$90</definedName>
    <definedName name="tar37_is">'[7]#REF'!$A$3:$M$43</definedName>
    <definedName name="tar38_c">'[7]#REF'!$A$44:$L$90</definedName>
    <definedName name="tar38_is">'[7]#REF'!$A$3:$M$43</definedName>
    <definedName name="tar39_c">'[7]#REF'!$A$44:$L$90</definedName>
    <definedName name="tar39_is">'[7]#REF'!$A$3:$M$43</definedName>
    <definedName name="tar4_c">'[7]#REF'!$A$44:$M$90</definedName>
    <definedName name="tar4_is">'[7]#REF'!$A$3:$M$43</definedName>
    <definedName name="tar40_c">'[7]#REF'!$A$44:$L$90</definedName>
    <definedName name="tar40_is">'[7]#REF'!$A$3:$M$43</definedName>
    <definedName name="tar41_c">'[7]#REF'!$A$44:$M$90</definedName>
    <definedName name="tar41_is">'[7]#REF'!$A$3:$M$43</definedName>
    <definedName name="tar42_c">'[7]#REF'!$A$44:$M$90</definedName>
    <definedName name="tar42_is">'[7]#REF'!$A$3:$M$43</definedName>
    <definedName name="tar43_c">'[7]#REF'!$A$44:$M$90</definedName>
    <definedName name="tar43_is">'[7]#REF'!$A$3:$M$43</definedName>
    <definedName name="tar44_c">'[7]#REF'!$A$44:$M$90</definedName>
    <definedName name="tar44_is">'[7]#REF'!$A$3:$M$43</definedName>
    <definedName name="tar45_c">'[7]#REF'!$A$44:$M$90</definedName>
    <definedName name="tar45_is">'[7]#REF'!$A$3:$M$43</definedName>
    <definedName name="tar46_c">'[7]#REF'!$A$44:$M$90</definedName>
    <definedName name="tar46_is">'[7]#REF'!$A$3:$M$43</definedName>
    <definedName name="tar47_c">'[7]#REF'!$A$44:$M$90</definedName>
    <definedName name="tar47_is">'[7]#REF'!$A$3:$M$43</definedName>
    <definedName name="tar48_c">'[7]#REF'!$A$44:$M$90</definedName>
    <definedName name="tar48_is">'[7]#REF'!$A$3:$M$43</definedName>
    <definedName name="tar49_c">'[7]#REF'!$A$44:$M$90</definedName>
    <definedName name="tar49_is">'[7]#REF'!$A$3:$M$43</definedName>
    <definedName name="tar5_c">'[7]#REF'!$A$44:$M$90</definedName>
    <definedName name="tar5_is">'[7]#REF'!$A$3:$M$43</definedName>
    <definedName name="tar50_c">'[7]#REF'!$A$44:$M$90</definedName>
    <definedName name="tar50_is">'[7]#REF'!$A$3:$M$43</definedName>
    <definedName name="tar51_c">'[7]#REF'!$A$44:$M$90</definedName>
    <definedName name="tar51_is">'[7]#REF'!$A$3:$M$43</definedName>
    <definedName name="tar52_c">'[7]#REF'!$A$44:$M$90</definedName>
    <definedName name="tar52_is">'[7]#REF'!$A$3:$M$43</definedName>
    <definedName name="tar53_c">'[7]#REF'!$A$44:$M$90</definedName>
    <definedName name="tar53_is">'[7]#REF'!$A$3:$M$43</definedName>
    <definedName name="tar54_c">'[7]#REF'!$A$44:$M$90</definedName>
    <definedName name="tar54_is">'[7]#REF'!$A$3:$M$43</definedName>
    <definedName name="tar55_c">'[7]#REF'!$A$44:$M$90</definedName>
    <definedName name="tar55_is">'[7]#REF'!$A$3:$M$43</definedName>
    <definedName name="tar56_c">'[7]#REF'!$A$44:$M$90</definedName>
    <definedName name="tar56_is">'[7]#REF'!$A$3:$M$43</definedName>
    <definedName name="tar57_c">'[7]#REF'!$A$44:$M$90</definedName>
    <definedName name="tar57_is">'[7]#REF'!$A$3:$M$43</definedName>
    <definedName name="tar58_c">'[7]#REF'!$A$44:$M$90</definedName>
    <definedName name="tar58_is">'[7]#REF'!$A$3:$M$43</definedName>
    <definedName name="tar59_c">'[7]#REF'!$A$44:$M$90</definedName>
    <definedName name="tar59_is">'[7]#REF'!$A$3:$M$43</definedName>
    <definedName name="tar6_c">'[7]#REF'!$A$44:$M$90</definedName>
    <definedName name="tar6_is">'[7]#REF'!$A$3:$M$43</definedName>
    <definedName name="tar60_c">'[7]#REF'!$A$44:$M$90</definedName>
    <definedName name="tar60_is">'[7]#REF'!$A$3:$M$43</definedName>
    <definedName name="tar61_c">'[7]#REF'!$A$44:$M$90</definedName>
    <definedName name="tar61_is">'[7]#REF'!$A$3:$M$43</definedName>
    <definedName name="tar62_c">'[7]#REF'!$A$44:$M$90</definedName>
    <definedName name="tar62_is">'[7]#REF'!$A$3:$M$43</definedName>
    <definedName name="tar63_c">'[7]#REF'!$A$44:$M$90</definedName>
    <definedName name="tar63_is">'[7]#REF'!$A$3:$M$43</definedName>
    <definedName name="tar64_c">'[7]#REF'!$A$44:$M$90</definedName>
    <definedName name="tar64_is">'[7]#REF'!$A$3:$M$43</definedName>
    <definedName name="tar65_c">'[7]#REF'!$A$44:$M$90</definedName>
    <definedName name="tar65_is">'[7]#REF'!$A$3:$M$43</definedName>
    <definedName name="tar66_c">'[7]#REF'!$A$44:$M$90</definedName>
    <definedName name="tar66_is">'[7]#REF'!$A$3:$M$43</definedName>
    <definedName name="tar67_c">'[7]#REF'!$A$44:$M$90</definedName>
    <definedName name="tar67_is">'[7]#REF'!$A$3:$M$43</definedName>
    <definedName name="tar68_c">'[7]#REF'!$A$44:$M$90</definedName>
    <definedName name="tar68_is">'[7]#REF'!$A$3:$M$43</definedName>
    <definedName name="tar69_c">'[7]#REF'!$A$44:$M$90</definedName>
    <definedName name="tar69_is">'[7]#REF'!$A$3:$M$43</definedName>
    <definedName name="tar7_c">'[7]#REF'!$A$44:$M$90</definedName>
    <definedName name="tar7_is">'[7]#REF'!$A$3:$M$43</definedName>
    <definedName name="tar70_c">'[7]#REF'!$A$44:$M$90</definedName>
    <definedName name="tar70_is">'[7]#REF'!$A$3:$M$43</definedName>
    <definedName name="tar71_c">'[7]#REF'!$A$44:$M$90</definedName>
    <definedName name="tar71_is">'[7]#REF'!$A$3:$M$43</definedName>
    <definedName name="tar72_c">'[7]#REF'!$A$44:$M$90</definedName>
    <definedName name="tar72_is">'[7]#REF'!$A$3:$M$43</definedName>
    <definedName name="tar73_c">'[7]#REF'!$A$44:$M$90</definedName>
    <definedName name="tar73_is">'[7]#REF'!$A$3:$M$43</definedName>
    <definedName name="tar74_c">'[7]#REF'!$A$44:$M$90</definedName>
    <definedName name="tar74_is">'[7]#REF'!$A$3:$M$43</definedName>
    <definedName name="tar75_c">'[7]#REF'!$A$44:$M$90</definedName>
    <definedName name="tar75_is">'[7]#REF'!$A$3:$M$43</definedName>
    <definedName name="tar76_c">'[7]#REF'!$A$44:$M$90</definedName>
    <definedName name="tar76_is">'[7]#REF'!$A$3:$M$43</definedName>
    <definedName name="tar77_c">'[7]#REF'!$A$44:$M$90</definedName>
    <definedName name="tar77_is">'[7]#REF'!$A$3:$M$43</definedName>
    <definedName name="tar78_c">'[7]#REF'!$A$44:$M$90</definedName>
    <definedName name="tar78_is">'[7]#REF'!$A$3:$M$43</definedName>
    <definedName name="tar79_c">'[7]#REF'!$A$44:$M$90</definedName>
    <definedName name="tar79_is">'[7]#REF'!$A$3:$M$43</definedName>
    <definedName name="tar8_c">'[7]#REF'!$A$44:$M$90</definedName>
    <definedName name="tar8_is">'[7]#REF'!$A$3:$M$43</definedName>
    <definedName name="tar80_c">'[7]#REF'!$A$44:$M$90</definedName>
    <definedName name="tar80_is">'[7]#REF'!$A$3:$M$43</definedName>
    <definedName name="tar9_c">'[7]#REF'!$A$44:$M$90</definedName>
    <definedName name="tar9_is">'[7]#REF'!$A$3:$M$43</definedName>
    <definedName name="TargetCapAd">[8]Assumptions!$B$32</definedName>
    <definedName name="taxrate">'[10]GENERAL DATA'!#REF!</definedName>
    <definedName name="taxrateQ3">'[10]GENERAL DATA'!#REF!</definedName>
    <definedName name="taxrateQ4">'[10]GENERAL DATA'!#REF!</definedName>
    <definedName name="THIRTY_FM" localSheetId="4">#REF!</definedName>
    <definedName name="THIRTY_FM" localSheetId="0">#REF!</definedName>
    <definedName name="THIRTY_FM">#REF!</definedName>
    <definedName name="THIRTY_TO" localSheetId="4">#REF!</definedName>
    <definedName name="THIRTY_TO" localSheetId="0">#REF!</definedName>
    <definedName name="THIRTY_TO">#REF!</definedName>
    <definedName name="TI_Name" localSheetId="4">#REF!</definedName>
    <definedName name="TI_Name" localSheetId="0">#REF!</definedName>
    <definedName name="TI_Name">#REF!</definedName>
    <definedName name="TI_Parameter" localSheetId="4">#REF!</definedName>
    <definedName name="TI_Parameter" localSheetId="0">#REF!</definedName>
    <definedName name="TI_Parameter">#REF!</definedName>
    <definedName name="TK_C" localSheetId="4">#REF!</definedName>
    <definedName name="TK_C" localSheetId="0">#REF!</definedName>
    <definedName name="TK_C">#REF!</definedName>
    <definedName name="TK_D" localSheetId="4">#REF!</definedName>
    <definedName name="TK_D" localSheetId="0">#REF!</definedName>
    <definedName name="TK_D">#REF!</definedName>
    <definedName name="TK_GI15" localSheetId="4">#REF!</definedName>
    <definedName name="TK_GI15" localSheetId="0">#REF!</definedName>
    <definedName name="TK_GI15">#REF!</definedName>
    <definedName name="TK_GI16" localSheetId="4">#REF!</definedName>
    <definedName name="TK_GI16" localSheetId="0">#REF!</definedName>
    <definedName name="TK_GI16">#REF!</definedName>
    <definedName name="TK_R" localSheetId="4">#REF!</definedName>
    <definedName name="TK_R" localSheetId="0">#REF!</definedName>
    <definedName name="TK_R">#REF!</definedName>
    <definedName name="TM1REBUILDOPTION">1</definedName>
    <definedName name="trailingAccruedpercentage" localSheetId="4">'[10]GENERAL DATA'!#REF!</definedName>
    <definedName name="trailingAccruedpercentage">'[10]GENERAL DATA'!#REF!</definedName>
    <definedName name="trailingAPpercentage" localSheetId="4">'[10]GENERAL DATA'!#REF!</definedName>
    <definedName name="trailingAPpercentage">'[10]GENERAL DATA'!#REF!</definedName>
    <definedName name="trailingARpercentage" localSheetId="4">'[10]GENERAL DATA'!#REF!</definedName>
    <definedName name="trailingARpercentage">'[10]GENERAL DATA'!#REF!</definedName>
    <definedName name="trailingInvpercentage" localSheetId="4">'[10]GENERAL DATA'!#REF!</definedName>
    <definedName name="trailingInvpercentage">'[10]GENERAL DATA'!#REF!</definedName>
    <definedName name="transassum">'[7]#REF'!$A$3:$N$52</definedName>
    <definedName name="TV_C" localSheetId="4">#REF!</definedName>
    <definedName name="TV_C" localSheetId="0">#REF!</definedName>
    <definedName name="TV_C">#REF!</definedName>
    <definedName name="TV_D" localSheetId="4">#REF!</definedName>
    <definedName name="TV_D" localSheetId="0">#REF!</definedName>
    <definedName name="TV_D">#REF!</definedName>
    <definedName name="TV_GI15" localSheetId="4">#REF!</definedName>
    <definedName name="TV_GI15" localSheetId="0">#REF!</definedName>
    <definedName name="TV_GI15">#REF!</definedName>
    <definedName name="TV_GI16" localSheetId="4">#REF!</definedName>
    <definedName name="TV_GI16" localSheetId="0">#REF!</definedName>
    <definedName name="TV_GI16">#REF!</definedName>
    <definedName name="TV_R" localSheetId="4">#REF!</definedName>
    <definedName name="TV_R" localSheetId="0">#REF!</definedName>
    <definedName name="TV_R">#REF!</definedName>
    <definedName name="UpfrontFees">[8]Assumptions!$B$17</definedName>
    <definedName name="UpliftLiq" localSheetId="4">#REF!</definedName>
    <definedName name="UpliftLiq" localSheetId="0">#REF!</definedName>
    <definedName name="UpliftLiq">#REF!</definedName>
    <definedName name="USD">[16]Rates!$B$3</definedName>
    <definedName name="whatisthis" localSheetId="4">'[24]GENERAL DATA'!#REF!</definedName>
    <definedName name="whatisthis">'[24]GENERAL DATA'!#REF!</definedName>
    <definedName name="whatisthis1" localSheetId="4">'[24]GENERAL DATA'!#REF!</definedName>
    <definedName name="whatisthis1">'[24]GENERAL DATA'!#REF!</definedName>
    <definedName name="wrkcapacq">'[7]#REF'!$A$140:$M$192</definedName>
    <definedName name="wrkcappfma">'[7]#REF'!$A$141:$M$192</definedName>
    <definedName name="wrkcaptar">'[7]#REF'!$A$1:$M$51</definedName>
    <definedName name="XDO_?XDOFIELD1?" localSheetId="4">#REF!</definedName>
    <definedName name="XDO_?XDOFIELD1?" localSheetId="0">#REF!</definedName>
    <definedName name="XDO_?XDOFIELD1?">#REF!</definedName>
    <definedName name="XDO_?XDOFIELD10?" localSheetId="4">#REF!</definedName>
    <definedName name="XDO_?XDOFIELD10?" localSheetId="0">#REF!</definedName>
    <definedName name="XDO_?XDOFIELD10?">#REF!</definedName>
    <definedName name="XDO_?XDOFIELD11?" localSheetId="4">#REF!</definedName>
    <definedName name="XDO_?XDOFIELD11?" localSheetId="0">#REF!</definedName>
    <definedName name="XDO_?XDOFIELD11?">#REF!</definedName>
    <definedName name="XDO_?XDOFIELD12?" localSheetId="4">#REF!</definedName>
    <definedName name="XDO_?XDOFIELD12?" localSheetId="0">#REF!</definedName>
    <definedName name="XDO_?XDOFIELD12?">#REF!</definedName>
    <definedName name="XDO_?XDOFIELD13?" localSheetId="4">#REF!</definedName>
    <definedName name="XDO_?XDOFIELD13?" localSheetId="0">#REF!</definedName>
    <definedName name="XDO_?XDOFIELD13?">#REF!</definedName>
    <definedName name="XDO_?XDOFIELD14?" localSheetId="4">#REF!</definedName>
    <definedName name="XDO_?XDOFIELD14?" localSheetId="0">#REF!</definedName>
    <definedName name="XDO_?XDOFIELD14?">#REF!</definedName>
    <definedName name="XDO_?XDOFIELD15?" localSheetId="4">#REF!</definedName>
    <definedName name="XDO_?XDOFIELD15?" localSheetId="0">#REF!</definedName>
    <definedName name="XDO_?XDOFIELD15?">#REF!</definedName>
    <definedName name="XDO_?XDOFIELD16?" localSheetId="4">#REF!</definedName>
    <definedName name="XDO_?XDOFIELD16?" localSheetId="0">#REF!</definedName>
    <definedName name="XDO_?XDOFIELD16?">#REF!</definedName>
    <definedName name="XDO_?XDOFIELD17?" localSheetId="4">#REF!</definedName>
    <definedName name="XDO_?XDOFIELD17?" localSheetId="0">#REF!</definedName>
    <definedName name="XDO_?XDOFIELD17?">#REF!</definedName>
    <definedName name="XDO_?XDOFIELD18?" localSheetId="4">#REF!</definedName>
    <definedName name="XDO_?XDOFIELD18?" localSheetId="0">#REF!</definedName>
    <definedName name="XDO_?XDOFIELD18?">#REF!</definedName>
    <definedName name="XDO_?XDOFIELD19?" localSheetId="4">#REF!</definedName>
    <definedName name="XDO_?XDOFIELD19?" localSheetId="0">#REF!</definedName>
    <definedName name="XDO_?XDOFIELD19?">#REF!</definedName>
    <definedName name="XDO_?XDOFIELD2?" localSheetId="4">#REF!</definedName>
    <definedName name="XDO_?XDOFIELD2?" localSheetId="0">#REF!</definedName>
    <definedName name="XDO_?XDOFIELD2?">#REF!</definedName>
    <definedName name="XDO_?XDOFIELD20?" localSheetId="4">#REF!</definedName>
    <definedName name="XDO_?XDOFIELD20?" localSheetId="0">#REF!</definedName>
    <definedName name="XDO_?XDOFIELD20?">#REF!</definedName>
    <definedName name="XDO_?XDOFIELD21?" localSheetId="4">#REF!</definedName>
    <definedName name="XDO_?XDOFIELD21?" localSheetId="0">#REF!</definedName>
    <definedName name="XDO_?XDOFIELD21?">#REF!</definedName>
    <definedName name="XDO_?XDOFIELD22?" localSheetId="4">#REF!</definedName>
    <definedName name="XDO_?XDOFIELD22?" localSheetId="0">#REF!</definedName>
    <definedName name="XDO_?XDOFIELD22?">#REF!</definedName>
    <definedName name="XDO_?XDOFIELD23?" localSheetId="4">#REF!</definedName>
    <definedName name="XDO_?XDOFIELD23?" localSheetId="0">#REF!</definedName>
    <definedName name="XDO_?XDOFIELD23?">#REF!</definedName>
    <definedName name="XDO_?XDOFIELD24?" localSheetId="4">#REF!</definedName>
    <definedName name="XDO_?XDOFIELD24?" localSheetId="0">#REF!</definedName>
    <definedName name="XDO_?XDOFIELD24?">#REF!</definedName>
    <definedName name="XDO_?XDOFIELD25?" localSheetId="4">#REF!</definedName>
    <definedName name="XDO_?XDOFIELD25?" localSheetId="0">#REF!</definedName>
    <definedName name="XDO_?XDOFIELD25?">#REF!</definedName>
    <definedName name="XDO_?XDOFIELD26?" localSheetId="4">#REF!</definedName>
    <definedName name="XDO_?XDOFIELD26?" localSheetId="0">#REF!</definedName>
    <definedName name="XDO_?XDOFIELD26?">#REF!</definedName>
    <definedName name="XDO_?XDOFIELD27?" localSheetId="4">#REF!</definedName>
    <definedName name="XDO_?XDOFIELD27?" localSheetId="0">#REF!</definedName>
    <definedName name="XDO_?XDOFIELD27?">#REF!</definedName>
    <definedName name="XDO_?XDOFIELD28?" localSheetId="4">#REF!</definedName>
    <definedName name="XDO_?XDOFIELD28?" localSheetId="0">#REF!</definedName>
    <definedName name="XDO_?XDOFIELD28?">#REF!</definedName>
    <definedName name="XDO_?XDOFIELD29?" localSheetId="4">#REF!</definedName>
    <definedName name="XDO_?XDOFIELD29?" localSheetId="0">#REF!</definedName>
    <definedName name="XDO_?XDOFIELD29?">#REF!</definedName>
    <definedName name="XDO_?XDOFIELD3?" localSheetId="4">#REF!</definedName>
    <definedName name="XDO_?XDOFIELD3?" localSheetId="0">#REF!</definedName>
    <definedName name="XDO_?XDOFIELD3?">#REF!</definedName>
    <definedName name="XDO_?XDOFIELD30?" localSheetId="4">#REF!</definedName>
    <definedName name="XDO_?XDOFIELD30?" localSheetId="0">#REF!</definedName>
    <definedName name="XDO_?XDOFIELD30?">#REF!</definedName>
    <definedName name="XDO_?XDOFIELD31?" localSheetId="4">#REF!</definedName>
    <definedName name="XDO_?XDOFIELD31?" localSheetId="0">#REF!</definedName>
    <definedName name="XDO_?XDOFIELD31?">#REF!</definedName>
    <definedName name="XDO_?XDOFIELD32?" localSheetId="4">#REF!</definedName>
    <definedName name="XDO_?XDOFIELD32?" localSheetId="0">#REF!</definedName>
    <definedName name="XDO_?XDOFIELD32?">#REF!</definedName>
    <definedName name="XDO_?XDOFIELD33?" localSheetId="4">#REF!</definedName>
    <definedName name="XDO_?XDOFIELD33?" localSheetId="0">#REF!</definedName>
    <definedName name="XDO_?XDOFIELD33?">#REF!</definedName>
    <definedName name="XDO_?XDOFIELD4?" localSheetId="4">#REF!</definedName>
    <definedName name="XDO_?XDOFIELD4?" localSheetId="0">#REF!</definedName>
    <definedName name="XDO_?XDOFIELD4?">#REF!</definedName>
    <definedName name="XDO_?XDOFIELD5?" localSheetId="4">#REF!</definedName>
    <definedName name="XDO_?XDOFIELD5?" localSheetId="0">#REF!</definedName>
    <definedName name="XDO_?XDOFIELD5?">#REF!</definedName>
    <definedName name="XDO_?XDOFIELD6?" localSheetId="4">#REF!</definedName>
    <definedName name="XDO_?XDOFIELD6?" localSheetId="0">#REF!</definedName>
    <definedName name="XDO_?XDOFIELD6?">#REF!</definedName>
    <definedName name="XDO_?XDOFIELD7?" localSheetId="4">#REF!</definedName>
    <definedName name="XDO_?XDOFIELD7?" localSheetId="0">#REF!</definedName>
    <definedName name="XDO_?XDOFIELD7?">#REF!</definedName>
    <definedName name="XDO_?XDOFIELD8?" localSheetId="4">#REF!</definedName>
    <definedName name="XDO_?XDOFIELD8?" localSheetId="0">#REF!</definedName>
    <definedName name="XDO_?XDOFIELD8?">#REF!</definedName>
    <definedName name="XDO_?XDOFIELD9?" localSheetId="4">#REF!</definedName>
    <definedName name="XDO_?XDOFIELD9?" localSheetId="0">#REF!</definedName>
    <definedName name="XDO_?XDOFIELD9?">#REF!</definedName>
    <definedName name="XDO_GROUP_?XDOG1?" localSheetId="4">#REF!</definedName>
    <definedName name="XDO_GROUP_?XDOG1?" localSheetId="0">#REF!</definedName>
    <definedName name="XDO_GROUP_?XDOG1?">#REF!</definedName>
    <definedName name="Year">[15]Main!$E$7</definedName>
    <definedName name="Z_021A8A69_931F_4FCE_B66A_73468B8E9CF9_.wvu.FilterData" localSheetId="4" hidden="1">'3.3 Prepayment-10904'!$A$5:$BC$60</definedName>
    <definedName name="Z_151D06C2_FC9C_4804_BBE4_CB5F90C2A710_.wvu.Cols" localSheetId="4" hidden="1">'3.3 Prepayment-10904'!#REF!,'3.3 Prepayment-10904'!$G:$I,'3.3 Prepayment-10904'!$AT:$AT,'3.3 Prepayment-10904'!$AW:$BB,'3.3 Prepayment-10904'!#REF!,'3.3 Prepayment-10904'!#REF!,'3.3 Prepayment-10904'!#REF!</definedName>
    <definedName name="Z_151D06C2_FC9C_4804_BBE4_CB5F90C2A710_.wvu.Cols" localSheetId="2" hidden="1">'4 FA Detail (US$)_Jun21'!$J:$J,'4 FA Detail (US$)_Jun21'!$N:$N,'4 FA Detail (US$)_Jun21'!$Y:$Z,'4 FA Detail (US$)_Jun21'!$AF:$AI</definedName>
    <definedName name="Z_151D06C2_FC9C_4804_BBE4_CB5F90C2A710_.wvu.FilterData" localSheetId="4" hidden="1">'3.3 Prepayment-10904'!$A$5:$BC$60</definedName>
    <definedName name="Z_151D06C2_FC9C_4804_BBE4_CB5F90C2A710_.wvu.PrintArea" localSheetId="4" hidden="1">'3.3 Prepayment-10904'!$A$1:$AG$69</definedName>
    <definedName name="Z_151D06C2_FC9C_4804_BBE4_CB5F90C2A710_.wvu.PrintArea" localSheetId="2" hidden="1">'4 FA Detail (US$)_Jun21'!$A$1:$AE$137</definedName>
    <definedName name="Z_151D06C2_FC9C_4804_BBE4_CB5F90C2A710_.wvu.PrintArea" localSheetId="0" hidden="1">'6.2  Accrual 2021'!$A$1:$H$138</definedName>
    <definedName name="Z_151D06C2_FC9C_4804_BBE4_CB5F90C2A710_.wvu.PrintTitles" localSheetId="2" hidden="1">'4 FA Detail (US$)_Jun21'!$1:$6</definedName>
    <definedName name="Z_151D06C2_FC9C_4804_BBE4_CB5F90C2A710_.wvu.Rows" localSheetId="4" hidden="1">'3.3 Prepayment-10904'!#REF!,'3.3 Prepayment-10904'!#REF!,'3.3 Prepayment-10904'!#REF!,'3.3 Prepayment-10904'!#REF!,'3.3 Prepayment-10904'!#REF!,'3.3 Prepayment-10904'!#REF!</definedName>
    <definedName name="Z_151D06C2_FC9C_4804_BBE4_CB5F90C2A710_.wvu.Rows" localSheetId="2" hidden="1">'4 FA Detail (US$)_Jun21'!$25:$40,'4 FA Detail (US$)_Jun21'!$133:$133,'4 FA Detail (US$)_Jun21'!#REF!</definedName>
    <definedName name="Z_151D06C2_FC9C_4804_BBE4_CB5F90C2A710_.wvu.Rows" localSheetId="0" hidden="1">'6.2  Accrual 2021'!#REF!,'6.2  Accrual 2021'!#REF!,'6.2  Accrual 2021'!#REF!,'6.2  Accrual 2021'!#REF!,'6.2  Accrual 2021'!#REF!,'6.2  Accrual 2021'!#REF!,'6.2  Accrual 2021'!#REF!</definedName>
    <definedName name="Z_16047EE4_6CF2_4C14_92C1_3B7ACD642A64_.wvu.FilterData" localSheetId="4" hidden="1">'3.3 Prepayment-10904'!$A$5:$BC$60</definedName>
    <definedName name="Z_3FFE444D_DA05_4057_8884_293EC4BA8012_.wvu.FilterData" localSheetId="4" hidden="1">'3.3 Prepayment-10904'!$A$5:$BC$60</definedName>
    <definedName name="Z_79B361AF_2723_46C5_96C6_2C5DF83807EB_.wvu.Cols" localSheetId="4" hidden="1">'3.3 Prepayment-10904'!$AT:$AT,'3.3 Prepayment-10904'!$AW:$BB,'3.3 Prepayment-10904'!#REF!,'3.3 Prepayment-10904'!#REF!,'3.3 Prepayment-10904'!#REF!</definedName>
    <definedName name="Z_79B361AF_2723_46C5_96C6_2C5DF83807EB_.wvu.Cols" localSheetId="2" hidden="1">'4 FA Detail (US$)_Jun21'!$J:$J,'4 FA Detail (US$)_Jun21'!$N:$N,'4 FA Detail (US$)_Jun21'!$AF:$AI</definedName>
    <definedName name="Z_79B361AF_2723_46C5_96C6_2C5DF83807EB_.wvu.FilterData" localSheetId="4" hidden="1">'3.3 Prepayment-10904'!$A$5:$BC$60</definedName>
    <definedName name="Z_79B361AF_2723_46C5_96C6_2C5DF83807EB_.wvu.PrintArea" localSheetId="4" hidden="1">'3.3 Prepayment-10904'!$A$1:$AG$69</definedName>
    <definedName name="Z_79B361AF_2723_46C5_96C6_2C5DF83807EB_.wvu.PrintArea" localSheetId="2" hidden="1">'4 FA Detail (US$)_Jun21'!$A$1:$AE$137</definedName>
    <definedName name="Z_79B361AF_2723_46C5_96C6_2C5DF83807EB_.wvu.PrintArea" localSheetId="0" hidden="1">'6.2  Accrual 2021'!$A$1:$H$138</definedName>
    <definedName name="Z_79B361AF_2723_46C5_96C6_2C5DF83807EB_.wvu.PrintTitles" localSheetId="2" hidden="1">'4 FA Detail (US$)_Jun21'!$1:$6</definedName>
    <definedName name="Z_79B361AF_2723_46C5_96C6_2C5DF83807EB_.wvu.Rows" localSheetId="4" hidden="1">'3.3 Prepayment-10904'!#REF!,'3.3 Prepayment-10904'!#REF!,'3.3 Prepayment-10904'!#REF!,'3.3 Prepayment-10904'!#REF!,'3.3 Prepayment-10904'!#REF!,'3.3 Prepayment-10904'!#REF!,'3.3 Prepayment-10904'!#REF!,'3.3 Prepayment-10904'!#REF!,'3.3 Prepayment-10904'!#REF!,'3.3 Prepayment-10904'!#REF!</definedName>
    <definedName name="Z_79B361AF_2723_46C5_96C6_2C5DF83807EB_.wvu.Rows" localSheetId="2" hidden="1">'4 FA Detail (US$)_Jun21'!$25:$40,'4 FA Detail (US$)_Jun21'!$133:$133,'4 FA Detail (US$)_Jun21'!#REF!</definedName>
    <definedName name="Z_79B361AF_2723_46C5_96C6_2C5DF83807EB_.wvu.Rows" localSheetId="0" hidden="1">'6.2  Accrual 2021'!$4:$6,'6.2  Accrual 2021'!#REF!,'6.2  Accrual 2021'!#REF!,'6.2  Accrual 2021'!#REF!,'6.2  Accrual 2021'!#REF!,'6.2  Accrual 2021'!#REF!,'6.2  Accrual 2021'!#REF!,'6.2  Accrual 2021'!#REF!,'6.2  Accrual 2021'!#REF!,'6.2  Accrual 2021'!$124:$124,'6.2  Accrual 2021'!#REF!,'6.2  Accrual 2021'!$147:$147</definedName>
    <definedName name="Z_91535F74_F1B2_47DD_BBFB_C2FFAAE7F26C_.wvu.Cols" localSheetId="4" hidden="1">'3.3 Prepayment-10904'!#REF!,'3.3 Prepayment-10904'!$G:$I,'3.3 Prepayment-10904'!$AT:$AT,'3.3 Prepayment-10904'!$AW:$BB,'3.3 Prepayment-10904'!#REF!,'3.3 Prepayment-10904'!#REF!,'3.3 Prepayment-10904'!#REF!</definedName>
    <definedName name="Z_91535F74_F1B2_47DD_BBFB_C2FFAAE7F26C_.wvu.Cols" localSheetId="2" hidden="1">'4 FA Detail (US$)_Jun21'!$J:$J,'4 FA Detail (US$)_Jun21'!$N:$N,'4 FA Detail (US$)_Jun21'!$AF:$AI</definedName>
    <definedName name="Z_91535F74_F1B2_47DD_BBFB_C2FFAAE7F26C_.wvu.FilterData" localSheetId="4" hidden="1">'3.3 Prepayment-10904'!$A$5:$BC$60</definedName>
    <definedName name="Z_91535F74_F1B2_47DD_BBFB_C2FFAAE7F26C_.wvu.PrintArea" localSheetId="4" hidden="1">'3.3 Prepayment-10904'!$A$1:$AG$69</definedName>
    <definedName name="Z_91535F74_F1B2_47DD_BBFB_C2FFAAE7F26C_.wvu.PrintArea" localSheetId="2" hidden="1">'4 FA Detail (US$)_Jun21'!$A$1:$AE$137</definedName>
    <definedName name="Z_91535F74_F1B2_47DD_BBFB_C2FFAAE7F26C_.wvu.PrintArea" localSheetId="0" hidden="1">'6.2  Accrual 2021'!$A$1:$H$138</definedName>
    <definedName name="Z_91535F74_F1B2_47DD_BBFB_C2FFAAE7F26C_.wvu.PrintTitles" localSheetId="2" hidden="1">'4 FA Detail (US$)_Jun21'!$1:$6</definedName>
    <definedName name="Z_91535F74_F1B2_47DD_BBFB_C2FFAAE7F26C_.wvu.Rows" localSheetId="2" hidden="1">'4 FA Detail (US$)_Jun21'!$25:$40,'4 FA Detail (US$)_Jun21'!$133:$133,'4 FA Detail (US$)_Jun21'!#REF!</definedName>
    <definedName name="Z_E06F7A77_0096_4EF7_8A22_5335B8B329B4_.wvu.Cols" localSheetId="4" hidden="1">'3.3 Prepayment-10904'!#REF!,'3.3 Prepayment-10904'!#REF!,'3.3 Prepayment-10904'!$G:$I,'3.3 Prepayment-10904'!$AT:$AT,'3.3 Prepayment-10904'!$AW:$BB,'3.3 Prepayment-10904'!#REF!,'3.3 Prepayment-10904'!#REF!,'3.3 Prepayment-10904'!#REF!</definedName>
    <definedName name="Z_E06F7A77_0096_4EF7_8A22_5335B8B329B4_.wvu.Cols" localSheetId="2" hidden="1">'4 FA Detail (US$)_Jun21'!$J:$J,'4 FA Detail (US$)_Jun21'!$N:$N,'4 FA Detail (US$)_Jun21'!$AF:$AI</definedName>
    <definedName name="Z_E06F7A77_0096_4EF7_8A22_5335B8B329B4_.wvu.FilterData" localSheetId="4" hidden="1">'3.3 Prepayment-10904'!$A$5:$BC$60</definedName>
    <definedName name="Z_E06F7A77_0096_4EF7_8A22_5335B8B329B4_.wvu.PrintArea" localSheetId="4" hidden="1">'3.3 Prepayment-10904'!$A$1:$AG$69</definedName>
    <definedName name="Z_E06F7A77_0096_4EF7_8A22_5335B8B329B4_.wvu.PrintArea" localSheetId="2" hidden="1">'4 FA Detail (US$)_Jun21'!$A$1:$AE$137</definedName>
    <definedName name="Z_E06F7A77_0096_4EF7_8A22_5335B8B329B4_.wvu.PrintArea" localSheetId="0" hidden="1">'6.2  Accrual 2021'!$A$1:$H$138</definedName>
    <definedName name="Z_E06F7A77_0096_4EF7_8A22_5335B8B329B4_.wvu.PrintTitles" localSheetId="2" hidden="1">'4 FA Detail (US$)_Jun21'!$1:$6</definedName>
    <definedName name="Z_E06F7A77_0096_4EF7_8A22_5335B8B329B4_.wvu.Rows" localSheetId="4" hidden="1">'3.3 Prepayment-10904'!#REF!,'3.3 Prepayment-10904'!#REF!,'3.3 Prepayment-10904'!#REF!,'3.3 Prepayment-10904'!#REF!,'3.3 Prepayment-10904'!#REF!,'3.3 Prepayment-10904'!#REF!</definedName>
    <definedName name="Z_E06F7A77_0096_4EF7_8A22_5335B8B329B4_.wvu.Rows" localSheetId="2" hidden="1">'4 FA Detail (US$)_Jun21'!$25:$40,'4 FA Detail (US$)_Jun21'!$133:$133,'4 FA Detail (US$)_Jun21'!#REF!</definedName>
    <definedName name="Z_E06F7A77_0096_4EF7_8A22_5335B8B329B4_.wvu.Rows" localSheetId="0" hidden="1">'6.2  Accrual 2021'!$4:$6,'6.2  Accrual 2021'!#REF!,'6.2  Accrual 2021'!#REF!,'6.2  Accrual 2021'!#REF!,'6.2  Accrual 2021'!#REF!,'6.2  Accrual 2021'!#REF!,'6.2  Accrual 2021'!#REF!,'6.2  Accrual 2021'!#REF!,'6.2  Accrual 2021'!#REF!,'6.2  Accrual 2021'!$124:$124,'6.2  Accrual 2021'!$147:$147</definedName>
    <definedName name="Z_FA9F5F13_A016_41E7_8501_380B459DF2B9_.wvu.Cols" localSheetId="4" hidden="1">'3.3 Prepayment-10904'!$G:$I,'3.3 Prepayment-10904'!$AT:$AT,'3.3 Prepayment-10904'!$AW:$BB,'3.3 Prepayment-10904'!#REF!</definedName>
    <definedName name="Z_FA9F5F13_A016_41E7_8501_380B459DF2B9_.wvu.Cols" localSheetId="2" hidden="1">'4 FA Detail (US$)_Jun21'!$J:$J,'4 FA Detail (US$)_Jun21'!$N:$N,'4 FA Detail (US$)_Jun21'!$V:$Z,'4 FA Detail (US$)_Jun21'!$AF:$AI</definedName>
    <definedName name="Z_FA9F5F13_A016_41E7_8501_380B459DF2B9_.wvu.FilterData" localSheetId="4" hidden="1">'3.3 Prepayment-10904'!$A$5:$BC$60</definedName>
    <definedName name="Z_FA9F5F13_A016_41E7_8501_380B459DF2B9_.wvu.PrintArea" localSheetId="4" hidden="1">'3.3 Prepayment-10904'!$A$1:$AG$69</definedName>
    <definedName name="Z_FA9F5F13_A016_41E7_8501_380B459DF2B9_.wvu.PrintArea" localSheetId="2" hidden="1">'4 FA Detail (US$)_Jun21'!$A$1:$AE$137</definedName>
    <definedName name="Z_FA9F5F13_A016_41E7_8501_380B459DF2B9_.wvu.PrintArea" localSheetId="0" hidden="1">'6.2  Accrual 2021'!$A$1:$H$138</definedName>
    <definedName name="Z_FA9F5F13_A016_41E7_8501_380B459DF2B9_.wvu.PrintTitles" localSheetId="2" hidden="1">'4 FA Detail (US$)_Jun21'!$1:$6</definedName>
    <definedName name="Z_FA9F5F13_A016_41E7_8501_380B459DF2B9_.wvu.Rows" localSheetId="2" hidden="1">'4 FA Detail (US$)_Jun21'!$25:$40,'4 FA Detail (US$)_Jun21'!$133:$133,'4 FA Detail (US$)_Jun21'!#REF!</definedName>
    <definedName name="Z_FA9F5F13_A016_41E7_8501_380B459DF2B9_.wvu.Rows" localSheetId="0" hidden="1">'6.2  Accrual 2021'!$4:$6,'6.2  Accrual 2021'!#REF!,'6.2  Accrual 2021'!#REF!,'6.2  Accrual 2021'!#REF!,'6.2  Accrual 2021'!#REF!,'6.2  Accrual 2021'!#REF!,'6.2  Accrual 2021'!#REF!,'6.2  Accrual 2021'!#REF!,'6.2  Accrual 2021'!#REF!,'6.2  Accrual 2021'!$147:$147</definedName>
  </definedNames>
  <calcPr calcId="144525" iterate="1" iterateCount="100" iterateDelta="0.001"/>
</workbook>
</file>

<file path=xl/sharedStrings.xml><?xml version="1.0" encoding="utf-8"?>
<sst xmlns="http://schemas.openxmlformats.org/spreadsheetml/2006/main" count="709" uniqueCount="450">
  <si>
    <t>CCH Management Services Pte Ltd</t>
  </si>
  <si>
    <t>Accruals</t>
  </si>
  <si>
    <t>Corporate Rate</t>
  </si>
  <si>
    <t>Reval Rate</t>
  </si>
  <si>
    <t>20851 - Accrual Account</t>
  </si>
  <si>
    <t>SGD</t>
  </si>
  <si>
    <t>USD</t>
  </si>
  <si>
    <t xml:space="preserve">GST review fee FY2020 (SGD2k/Qtr) </t>
  </si>
  <si>
    <t>GST review fee (Apr to Jul @ 666.67 per month)</t>
  </si>
  <si>
    <t>Payment</t>
  </si>
  <si>
    <t>(Aug @ 666.67 per month)</t>
  </si>
  <si>
    <t>Sep</t>
  </si>
  <si>
    <t>Oct</t>
  </si>
  <si>
    <t>Nov</t>
  </si>
  <si>
    <t>Payment for Q3</t>
  </si>
  <si>
    <t>Dec</t>
  </si>
  <si>
    <t>Invoice received</t>
  </si>
  <si>
    <t xml:space="preserve">Corporate tax compliance fee FY2020 (SGD5k p.a) </t>
  </si>
  <si>
    <t>Corporate tax compliance fee (Apr to Jul @ 555.55 per month)</t>
  </si>
  <si>
    <t>Aug</t>
  </si>
  <si>
    <t xml:space="preserve">Audit fee (SGD12k p.a) </t>
  </si>
  <si>
    <t>Apr to Aug</t>
  </si>
  <si>
    <t>Payment - Apr 2021</t>
  </si>
  <si>
    <t xml:space="preserve">GST review fee FY2021 (SGD2k/Qtr) </t>
  </si>
  <si>
    <t>5010113516 - Paid in Jun 2021 Q1</t>
  </si>
  <si>
    <t xml:space="preserve">Corporate tax compliance fee FY2021 (SGD5k p.a) </t>
  </si>
  <si>
    <t xml:space="preserve">Audit fee for FY 2021 (SGD13,480 p.a) </t>
  </si>
  <si>
    <t xml:space="preserve">Internal Audit fee for FY 2021 (SGD72,280 p.a) </t>
  </si>
  <si>
    <t>A&amp;G Legal Fees for drafting employment related letters</t>
  </si>
  <si>
    <t>Reval Gain/Loss</t>
  </si>
  <si>
    <t>Revaled amount</t>
  </si>
  <si>
    <t xml:space="preserve">FIS BAU Operation and Support (USD 123,600 p.a.) </t>
  </si>
  <si>
    <t>Accrual - CR25 EIR</t>
  </si>
  <si>
    <t>Accrual - Finance AGL phase 2</t>
  </si>
  <si>
    <t>Reverse 37,347.35 5% done</t>
  </si>
  <si>
    <t>Total - 20851</t>
  </si>
  <si>
    <t>FY2020</t>
  </si>
  <si>
    <t>Accrual for Deferred Bonus</t>
  </si>
  <si>
    <t>Reval</t>
  </si>
  <si>
    <t>FY2021</t>
  </si>
  <si>
    <t>Accrual for Bonus FY2021 (SGD 5,462,125.00 p.a)</t>
  </si>
  <si>
    <t>20854</t>
  </si>
  <si>
    <t>Accrual for CPF on bonus for FY2021 (SGD 244,800.00 p.a)</t>
  </si>
  <si>
    <t>Accrual for deferred bonus FY2021 (SGD 376,000)</t>
  </si>
  <si>
    <t>Accrual for CPF on Salaries</t>
  </si>
  <si>
    <t>Account Code</t>
  </si>
  <si>
    <t>Description</t>
  </si>
  <si>
    <t>20851- 54</t>
  </si>
  <si>
    <t>20851- 55</t>
  </si>
  <si>
    <t>20851- 56</t>
  </si>
  <si>
    <t>20851- 57</t>
  </si>
  <si>
    <t>20851- 58</t>
  </si>
  <si>
    <t>FIS BAU Operation and Support</t>
  </si>
  <si>
    <t>20851- 59</t>
  </si>
  <si>
    <t>20851- 60</t>
  </si>
  <si>
    <t>20854 - 00</t>
  </si>
  <si>
    <t>20856 - 00</t>
  </si>
  <si>
    <t>20855 - 00</t>
  </si>
  <si>
    <t>20858 - 00</t>
  </si>
  <si>
    <t>Note</t>
  </si>
  <si>
    <t xml:space="preserve">Credit </t>
  </si>
  <si>
    <t>Show in Positive</t>
  </si>
  <si>
    <t>Debit</t>
  </si>
  <si>
    <t>Show in Negative</t>
  </si>
  <si>
    <t>If there are 2 entries in same period, we need to group.</t>
  </si>
  <si>
    <t xml:space="preserve">Fixed asset register </t>
  </si>
  <si>
    <t>Bayfront</t>
  </si>
  <si>
    <t>Original COST (S$)</t>
  </si>
  <si>
    <t>COST (US$)</t>
  </si>
  <si>
    <t>DEPRECIATION (US$)</t>
  </si>
  <si>
    <t>NBV (US$)</t>
  </si>
  <si>
    <t>Monthly</t>
  </si>
  <si>
    <t>NBV (S$)</t>
  </si>
  <si>
    <t>CHECK</t>
  </si>
  <si>
    <t>Remainin</t>
  </si>
  <si>
    <t xml:space="preserve">Invoice </t>
  </si>
  <si>
    <t>Depreciation</t>
  </si>
  <si>
    <t>As at</t>
  </si>
  <si>
    <t>on</t>
  </si>
  <si>
    <t xml:space="preserve">Accumulated Dep </t>
  </si>
  <si>
    <t>depn chg</t>
  </si>
  <si>
    <t>at</t>
  </si>
  <si>
    <t>Month</t>
  </si>
  <si>
    <t>date</t>
  </si>
  <si>
    <t>Number</t>
  </si>
  <si>
    <t>Start Date</t>
  </si>
  <si>
    <t>Current Month</t>
  </si>
  <si>
    <t>additions</t>
  </si>
  <si>
    <t>disposals</t>
  </si>
  <si>
    <t>US$</t>
  </si>
  <si>
    <t>Depreciation up to 30 November 2022</t>
  </si>
  <si>
    <t>Office lease 1 December 2017 to 30 November 2022</t>
  </si>
  <si>
    <t>[Renovation] - General Construction, Mechanical &amp; Electrical works (1st Billing 30%)</t>
  </si>
  <si>
    <t>[Renovation] - General Construction, Mechanical &amp; Electrical works (2nd Billing 35%) and change request</t>
  </si>
  <si>
    <t>[Renovation] - General Construction, Mechanical $ Electrical works (3rd Billing 30%)</t>
  </si>
  <si>
    <t>[Renovation] - Retention works (Final Billing 5%)</t>
  </si>
  <si>
    <t>Reinstatement costs - ORQ</t>
  </si>
  <si>
    <t>[Renovation] - Interior Fitting out works (Change Request)</t>
  </si>
  <si>
    <t>[Alteration] - Blackout Blinds</t>
  </si>
  <si>
    <t>Renovation-General Construction, Mechanical &amp; Electrical works 2019 (1st 30%)</t>
  </si>
  <si>
    <t>Renovation-General Construction, Mechanical &amp; Electrical works 2019 (2nd 67.5%)</t>
  </si>
  <si>
    <t>202006039</t>
  </si>
  <si>
    <t>Renovation-General Construction, Mechanical &amp; Electrical works 2019 (3rd  2.5%)</t>
  </si>
  <si>
    <t>Total - Renovations (18310)</t>
  </si>
  <si>
    <t>Straight Line - 5 years</t>
  </si>
  <si>
    <t>General Workstation (9 Qty)</t>
  </si>
  <si>
    <t>-</t>
  </si>
  <si>
    <t>Staff Chairs (9 Qty)</t>
  </si>
  <si>
    <t xml:space="preserve">Office Furniture </t>
  </si>
  <si>
    <t>Total - Fixtures</t>
  </si>
  <si>
    <t>Straight Line - 3 years</t>
  </si>
  <si>
    <t>Total - Computer software</t>
  </si>
  <si>
    <t>LCD TV and Wall Mount Bracket</t>
  </si>
  <si>
    <t>Window Server Standard 2008R2</t>
  </si>
  <si>
    <t>Data Connect : Powervault MD3200I</t>
  </si>
  <si>
    <t>Canon Printer C5560I</t>
  </si>
  <si>
    <t>Structured Cabling</t>
  </si>
  <si>
    <t>Server room set-up</t>
  </si>
  <si>
    <t>Server Hardware</t>
  </si>
  <si>
    <t>Remote controller for HR and LCD room</t>
  </si>
  <si>
    <t>Structured Cabling (Addition)</t>
  </si>
  <si>
    <t>HID multiclass RPK48 contactless smart card keypad reader</t>
  </si>
  <si>
    <t>Supple and Install external door bypass (Server room, pantry and main door)</t>
  </si>
  <si>
    <t>Barracuda Link Balancer 330</t>
  </si>
  <si>
    <t>Beyondtrust - Privilege Access Management (PAM)</t>
  </si>
  <si>
    <t>Cisco Core and Edge access switch</t>
  </si>
  <si>
    <t>RN0821987</t>
  </si>
  <si>
    <t>Canon Printer C5560I (BIM)</t>
  </si>
  <si>
    <t>00103835</t>
  </si>
  <si>
    <t>Structured cabling for office renovation</t>
  </si>
  <si>
    <t>Total - IT Hardware (18210)</t>
  </si>
  <si>
    <t>Stone Apple Sol : 30% Oracle Fusion Fin Cloud  [Dep end 30 Sep 18]</t>
  </si>
  <si>
    <t>Stone Apple Sol : 20% Oracle Fusion Fin Cloud [Dep end 30 Sep 18]</t>
  </si>
  <si>
    <t>Stone Apple Sol : 30% Oracle Fusion Fin Cloud [Dep end 30 Sep 18]</t>
  </si>
  <si>
    <t>Stone Apple Sol: 10% Oracle Fusion Fin Cloud [Dep end 30 Sep 18]</t>
  </si>
  <si>
    <t>Stone Apple Sol: 10% Oracle Fusion Fin Cloud [Final] [Dep end 30 Sep 18]</t>
  </si>
  <si>
    <t xml:space="preserve">Firewall Deployment </t>
  </si>
  <si>
    <t>FIS - Valuation data (1st billing) - True North</t>
  </si>
  <si>
    <t>FIS - Valuation data (2nd billing) - True North</t>
  </si>
  <si>
    <t>FIS - Valuation data (3rd billing) - True North</t>
  </si>
  <si>
    <t>FIS - Valuation data (4th billing) - True North</t>
  </si>
  <si>
    <t>FIS - Valuation data (5th billing) - True North</t>
  </si>
  <si>
    <t>FIS - Valuation data (6th billing) - True North</t>
  </si>
  <si>
    <t>FIS Global Project - Secondment fee (May'19)</t>
  </si>
  <si>
    <t>FIS Global Project - Secondment fee (June'19)</t>
  </si>
  <si>
    <t>FIS Global Project - Secondment fee (July'19)</t>
  </si>
  <si>
    <t>FIS Global Project - Secondment fee (August'19)</t>
  </si>
  <si>
    <t>FIS Global Project - Secondment fee (September'19)</t>
  </si>
  <si>
    <t>FIS Global Project - Secondment fee (October'19) Finance</t>
  </si>
  <si>
    <t>FIS Global Project - Secondment fee (October'19)</t>
  </si>
  <si>
    <t>FIS Global Project - Secondment fee (November'19)</t>
  </si>
  <si>
    <t>FIS Global Project - Secondment fee (December'19)</t>
  </si>
  <si>
    <t>FIS Global Project - Finance (December'19)</t>
  </si>
  <si>
    <t>FIS Global Project - Finance (January'20)</t>
  </si>
  <si>
    <t>FIS Global Project - Secondment fee (January'20)</t>
  </si>
  <si>
    <t>FIS Global Project - Finance (February'20)</t>
  </si>
  <si>
    <t>FIS Global Project - Secondment fee (February'20)</t>
  </si>
  <si>
    <t>FIS Global Project - Finance and PWC secondment fee (March'20)</t>
  </si>
  <si>
    <t>MaureenLGK_Apr20</t>
  </si>
  <si>
    <t>FIS Global Project - Finance (Apr20)</t>
  </si>
  <si>
    <t>SPP40551096</t>
  </si>
  <si>
    <t>FIS Global Project - Secondment fee (Apr20)</t>
  </si>
  <si>
    <t xml:space="preserve">FIS - CCPL Adaptive (Milestone 1) </t>
  </si>
  <si>
    <t xml:space="preserve">FIS - CCPL Focus (Milestone 1) </t>
  </si>
  <si>
    <t>FIS - Milestone 2 to 5 (Ambit 30%)</t>
  </si>
  <si>
    <t>FIS - Milestone 2-5 (Adaptiv 70%)</t>
  </si>
  <si>
    <t>FIS - Milestone 2 to 5 (Adaptive 70%)</t>
  </si>
  <si>
    <t>FIS - Milestone 2 to 5 (Adaptiv 70%)</t>
  </si>
  <si>
    <t>FIS - Milestone 2 - SIT completed for ALM (Adaptive 70%)</t>
  </si>
  <si>
    <t>SPP40551179</t>
  </si>
  <si>
    <t>FIS Global Project - Secondment fee (May20)</t>
  </si>
  <si>
    <t>MaureenLGK_May20</t>
  </si>
  <si>
    <t>FIS Global Project - Finance (May'20)</t>
  </si>
  <si>
    <t>FIS - Milestone 6  - Adaptive (70%)</t>
  </si>
  <si>
    <t>FIS - Milestone 6  - Phase 1 Ambit Focus</t>
  </si>
  <si>
    <t>SPP40552173</t>
  </si>
  <si>
    <t>FIS Global Project - Secondment fee (Nov20)</t>
  </si>
  <si>
    <t>SG0000014570 / 202012069</t>
  </si>
  <si>
    <t xml:space="preserve"> IFRS 9 PD and LGD Model Development Report in PDF format Milestone 7.4</t>
  </si>
  <si>
    <t xml:space="preserve"> IFRS 9 PD and LGD Model Development Report in PDF format RMS-Exp Reimb</t>
  </si>
  <si>
    <t xml:space="preserve"> Alteration in Code for computation of IFRS 9 Project Finance PD Term</t>
  </si>
  <si>
    <t>SPP40551593</t>
  </si>
  <si>
    <t>FIS Global Project - Secondment fee (Aug20) 586</t>
  </si>
  <si>
    <t>SPP40551787</t>
  </si>
  <si>
    <t>FIS Global Project - Secondment fee (Sep20) 590</t>
  </si>
  <si>
    <t>SPP40552003</t>
  </si>
  <si>
    <t>FIS Global Project - Secondment fee (Oct20) 593</t>
  </si>
  <si>
    <t>29./10/19</t>
  </si>
  <si>
    <t>SG0000012194</t>
  </si>
  <si>
    <t xml:space="preserve"> IFRS 9 PD and LGD Model Development Report in PDF format Mileston 7.6 591</t>
  </si>
  <si>
    <t>SG0000012112</t>
  </si>
  <si>
    <t>CreditEdge EDF Implementation for FIS (1st 60%) 391</t>
  </si>
  <si>
    <t>SPP40551295</t>
  </si>
  <si>
    <t>FIS Global Project - Secondment fee (Jun20)</t>
  </si>
  <si>
    <t>SPP40551374</t>
  </si>
  <si>
    <t>FIS Global Project - Secondment fee (Jul20)</t>
  </si>
  <si>
    <t>SPP41550093</t>
  </si>
  <si>
    <t>FIS Global Project - Secondment fee (Dec20)</t>
  </si>
  <si>
    <t xml:space="preserve">FIS - 50% of CR13 </t>
  </si>
  <si>
    <t xml:space="preserve">FIS - Final 50% of CR13 </t>
  </si>
  <si>
    <t>FIS - CR28 (This is a temp enviroment to test for CR13 and CR28)</t>
  </si>
  <si>
    <t>MaureenLGK_Jun20</t>
  </si>
  <si>
    <t>NIL</t>
  </si>
  <si>
    <t>FIS Global Project - Finance (Jun20)</t>
  </si>
  <si>
    <t>MaureenLGK_Jul20</t>
  </si>
  <si>
    <t>FIS Global Project - Finance (Jul20)</t>
  </si>
  <si>
    <t>MaureenLGK_Aug20</t>
  </si>
  <si>
    <t>FIS Global Project - Finance (Aug20)  585</t>
  </si>
  <si>
    <t>MaureenLGK_Sep20</t>
  </si>
  <si>
    <t>FIS Global Project - Finance (Sep20)  588</t>
  </si>
  <si>
    <t>MaureenLGK_Oct20</t>
  </si>
  <si>
    <t>FIS Global Project - Finance (Oct20) 592</t>
  </si>
  <si>
    <t>MaureenLGK_Nov20</t>
  </si>
  <si>
    <t>FIS Global Project - Finance (Nov20) 594</t>
  </si>
  <si>
    <t>MaureenLGK_Dec20</t>
  </si>
  <si>
    <t>FIS Global Project - Finance (Dec20) 600</t>
  </si>
  <si>
    <t>FIS - Phase 2 Milestone 1 (Validation of A360 Trade Administration (5% of USD 213,413) 604</t>
  </si>
  <si>
    <t>Total - IT Software (18220)</t>
  </si>
  <si>
    <t>Subtotal</t>
  </si>
  <si>
    <t>Capitalised In Progress</t>
  </si>
  <si>
    <t>COST (S$)</t>
  </si>
  <si>
    <t>CIP (US$)</t>
  </si>
  <si>
    <t>Transferred</t>
  </si>
  <si>
    <t xml:space="preserve">Transferred </t>
  </si>
  <si>
    <t>Balance</t>
  </si>
  <si>
    <t>YTD</t>
  </si>
  <si>
    <t>In</t>
  </si>
  <si>
    <t>Out</t>
  </si>
  <si>
    <t>31.1.2021</t>
  </si>
  <si>
    <t>FIS Global Project - Finance (Jun20) 582</t>
  </si>
  <si>
    <t>FIS Global Project - Finance (Jul20) 584</t>
  </si>
  <si>
    <t>Accrual - CR28 Extra Env</t>
  </si>
  <si>
    <t>FIS - CR28</t>
  </si>
  <si>
    <t>Accrual PWC Secondment fee for Naomi Dec20</t>
  </si>
  <si>
    <t>Accrual - FIS Global Project - Finance (Dec20)</t>
  </si>
  <si>
    <t>FIS 1st 50% upfront payment for CR29 - Risk Split Rating</t>
  </si>
  <si>
    <t>Total Fixed Asset as per BS</t>
  </si>
  <si>
    <t>Period</t>
  </si>
  <si>
    <t>CIP addition</t>
  </si>
  <si>
    <t>Addition</t>
  </si>
  <si>
    <t>CIP Cost</t>
  </si>
  <si>
    <t>Asset Number</t>
  </si>
  <si>
    <t>Invoice Date</t>
  </si>
  <si>
    <t>Invoice Number</t>
  </si>
  <si>
    <t>Cost(SGD)</t>
  </si>
  <si>
    <t>Transferred In</t>
  </si>
  <si>
    <t>Transferred Out</t>
  </si>
  <si>
    <t>Disposal</t>
  </si>
  <si>
    <t>As on Previous Year</t>
  </si>
  <si>
    <t>As on Current Period</t>
  </si>
  <si>
    <t>6/17/21</t>
  </si>
  <si>
    <t>FIS Global Project - Finance (Dec20)</t>
  </si>
  <si>
    <t>FIS Global Project - Finance (Nov20)</t>
  </si>
  <si>
    <t>FIS Global Project - Finance (Oct20)</t>
  </si>
  <si>
    <t>CCH Management Services Pte. Ltd.</t>
  </si>
  <si>
    <t>Full line amount - Deferred amount till Dec-20</t>
  </si>
  <si>
    <t xml:space="preserve">10904 - Other Prepayment as at </t>
  </si>
  <si>
    <t>Remaining Balance</t>
  </si>
  <si>
    <t xml:space="preserve"> Prepayment as at 31 Dec 2020</t>
  </si>
  <si>
    <t xml:space="preserve"> Prepayment as at 31  jan2021</t>
  </si>
  <si>
    <t>Vendor</t>
  </si>
  <si>
    <t>Start &amp; End Date (Per Invoice)</t>
  </si>
  <si>
    <t>Accounting Period</t>
  </si>
  <si>
    <t>PV</t>
  </si>
  <si>
    <t>*CO [..]</t>
  </si>
  <si>
    <t>*ACC [..]</t>
  </si>
  <si>
    <t>*CC [..]</t>
  </si>
  <si>
    <t>*LOB [..]</t>
  </si>
  <si>
    <t>*PRD [..]</t>
  </si>
  <si>
    <t>*PRJ [..]</t>
  </si>
  <si>
    <t>*INTR [..]</t>
  </si>
  <si>
    <t>*FC [..]</t>
  </si>
  <si>
    <t>*Currency</t>
  </si>
  <si>
    <t>**Entered Debit</t>
  </si>
  <si>
    <t>**Entered Credit</t>
  </si>
  <si>
    <t>Final - Line Description</t>
  </si>
  <si>
    <t>Conversion Date</t>
  </si>
  <si>
    <t>Conversion Rate Type</t>
  </si>
  <si>
    <t>Conversion Rate</t>
  </si>
  <si>
    <t>Accounted Debit</t>
  </si>
  <si>
    <t>Accounted Credit</t>
  </si>
  <si>
    <t>OE Asia Pacific &amp; Middle East Pte. Ltd.</t>
  </si>
  <si>
    <t>9/6/2020 to 8/3/2021</t>
  </si>
  <si>
    <t>Subscription to Research Briefings</t>
  </si>
  <si>
    <t>SGIN-434</t>
  </si>
  <si>
    <t>51202-31</t>
  </si>
  <si>
    <t>Information &amp; Services</t>
  </si>
  <si>
    <t>Oracle Corporation Singapore Pte Ltd</t>
  </si>
  <si>
    <t>7 May 2020 to 6 May 2021</t>
  </si>
  <si>
    <t>Oracle Fusion Financial Cloud Service - Hosted named user 7 May 2020 to 6 May 2021 - 10 users</t>
  </si>
  <si>
    <t>51202-51</t>
  </si>
  <si>
    <t>Diligent APAC Board Services Pte Ltd</t>
  </si>
  <si>
    <t>4 Oct 2020 to 3 oct 2021</t>
  </si>
  <si>
    <t>Electronic board portal subscription from 4 Oct 2020 to 3 October 2021 - 4 Sites</t>
  </si>
  <si>
    <t>INV271523</t>
  </si>
  <si>
    <t>Chainsys</t>
  </si>
  <si>
    <t>1/11/2020 to 31 Oct 2021</t>
  </si>
  <si>
    <t>OIC Subscription for 12 months</t>
  </si>
  <si>
    <t>ORA-LIC/2/2020</t>
  </si>
  <si>
    <t>APLMA</t>
  </si>
  <si>
    <t>1/1/2021 to 31/12/2021</t>
  </si>
  <si>
    <t>APLMA Associate member 2021</t>
  </si>
  <si>
    <t>MEMRE2021-CCH-SG</t>
  </si>
  <si>
    <t>Data Connect</t>
  </si>
  <si>
    <t>1/12/2020 to 30/11/2021</t>
  </si>
  <si>
    <t>BeyongTurst Powerbroker password safe renewal 1 Dec 2020 to 30 Nov 2021</t>
  </si>
  <si>
    <t>00105414</t>
  </si>
  <si>
    <t>Firewall Fortinet FW hardware and license renewal 31 Dec 2020 to 31 Dec 2021</t>
  </si>
  <si>
    <t>00105298</t>
  </si>
  <si>
    <t>Firewall Fortinet FW hardware and license renewal 31 Dec 2020 to 31 Dec 2021 (Onsite hardware loaner)</t>
  </si>
  <si>
    <t>Bloomberg Finance Singapore L.P.</t>
  </si>
  <si>
    <t>3/12/2020 to 2/3/2021</t>
  </si>
  <si>
    <t>Bloomberg Terminal</t>
  </si>
  <si>
    <t>23" Dual w/Pc</t>
  </si>
  <si>
    <t>CORE Vanilla Pricing Library</t>
  </si>
  <si>
    <t>MARS Hedge Accounting</t>
  </si>
  <si>
    <t>Bloomberg Anywhere</t>
  </si>
  <si>
    <t>Moody's Analytics Singapore Pte. Ltd.</t>
  </si>
  <si>
    <t>27/6/2020 to 26/6/2021</t>
  </si>
  <si>
    <t>Moody's credit risk calculator</t>
  </si>
  <si>
    <t>SG0000014014</t>
  </si>
  <si>
    <t>FIS Asia Pacific Inc</t>
  </si>
  <si>
    <t>14/12/2020 to 13/6/2021</t>
  </si>
  <si>
    <t>FIS Hosting &amp; Softrware fee</t>
  </si>
  <si>
    <t>One Raffles Quay</t>
  </si>
  <si>
    <t>1/1/2021 to 31/1/2021</t>
  </si>
  <si>
    <t>Clive Season Carpark Jan21</t>
  </si>
  <si>
    <t>ORQ_SCP_Jan21</t>
  </si>
  <si>
    <t>1/12/2020 to 28/2/2021</t>
  </si>
  <si>
    <t>IT consultancy Service 1 Dec 2020 to 28 Feb 2021</t>
  </si>
  <si>
    <t>00105520</t>
  </si>
  <si>
    <t>19/12/2020 to 18/12/2021</t>
  </si>
  <si>
    <t>Custom Data (CreditEdge Plus)</t>
  </si>
  <si>
    <t>SG0000015163</t>
  </si>
  <si>
    <t>Global Macroeconomic Model + Alternative Scenarios</t>
  </si>
  <si>
    <t>SG0000015162</t>
  </si>
  <si>
    <t>Moody's creditview Corporate and Sovereign Global</t>
  </si>
  <si>
    <t>SG0000015334M</t>
  </si>
  <si>
    <t>1/1/2021 to 31/3/2021</t>
  </si>
  <si>
    <t>IT Service Contract</t>
  </si>
  <si>
    <t>00105686</t>
  </si>
  <si>
    <t>Cyber Security Monitoring</t>
  </si>
  <si>
    <t xml:space="preserve">Equipment rental </t>
  </si>
  <si>
    <t>00105705</t>
  </si>
  <si>
    <t>Howden Insurance Brokers (S) Pte. Limited</t>
  </si>
  <si>
    <t>Group Term Life</t>
  </si>
  <si>
    <t>I193133</t>
  </si>
  <si>
    <t xml:space="preserve">Group Critical illness </t>
  </si>
  <si>
    <t>I193134</t>
  </si>
  <si>
    <t>Group Hospitalisation &amp; Surgical</t>
  </si>
  <si>
    <t>I193135</t>
  </si>
  <si>
    <t>Group Major Medical</t>
  </si>
  <si>
    <t>I193136</t>
  </si>
  <si>
    <t>Crime</t>
  </si>
  <si>
    <t>I193925</t>
  </si>
  <si>
    <t>Cyber Liability</t>
  </si>
  <si>
    <t>I193928</t>
  </si>
  <si>
    <t>00105871</t>
  </si>
  <si>
    <t xml:space="preserve">Property Tax </t>
  </si>
  <si>
    <t>3/3/2021 to 2/6/2021</t>
  </si>
  <si>
    <t>S&amp;P Global Market Intelligence LLC</t>
  </si>
  <si>
    <t>31/12/2020 to 30/12/2021</t>
  </si>
  <si>
    <t>Ratings Direct</t>
  </si>
  <si>
    <t>CloudFlare WAF Protection</t>
  </si>
  <si>
    <t>00105715</t>
  </si>
  <si>
    <t>Sentosa Golf Club</t>
  </si>
  <si>
    <t>1/4/2021 to 31/3/2022</t>
  </si>
  <si>
    <t>Sentosa golf membership for Clive</t>
  </si>
  <si>
    <t>SentosaGolf_2021</t>
  </si>
  <si>
    <t>24K Design Studio Pte Ltd</t>
  </si>
  <si>
    <t>Website maintenance</t>
  </si>
  <si>
    <t>Q/2021/W0327</t>
  </si>
  <si>
    <t>Oxford Economics Asia Pacific &amp; Middle East Pte Ltd</t>
  </si>
  <si>
    <t>9/3/2021 to 8/3/2022</t>
  </si>
  <si>
    <t xml:space="preserve">Research Briefings </t>
  </si>
  <si>
    <t>SGIN-511</t>
  </si>
  <si>
    <t>6/5/2021 to 6/5/2022</t>
  </si>
  <si>
    <t>Oracle Fusion Financial Cloud Service - Hosted named user 7 May 2021 to 6 May 2022 - 10 users</t>
  </si>
  <si>
    <t>1/4/2021 to 30/6/2021</t>
  </si>
  <si>
    <t>00106325</t>
  </si>
  <si>
    <t>3/6/2021 to 2/9/2021</t>
  </si>
  <si>
    <t>RELX (Singapore) Pte Ltd</t>
  </si>
  <si>
    <t>31/5/2021 to 30/5/2022</t>
  </si>
  <si>
    <t>Legal Subscription</t>
  </si>
  <si>
    <t>14/6/2020 to 13/12/2021</t>
  </si>
  <si>
    <t>Jun21</t>
  </si>
  <si>
    <t>5900259131</t>
  </si>
  <si>
    <t>Prepayment Amortisation</t>
  </si>
  <si>
    <t>Prepayment c/f</t>
  </si>
  <si>
    <t>New prepayment for the month</t>
  </si>
  <si>
    <t>01</t>
  </si>
  <si>
    <t>10904</t>
  </si>
  <si>
    <t>00</t>
  </si>
  <si>
    <t>000</t>
  </si>
  <si>
    <t>0</t>
  </si>
  <si>
    <t>Apr20</t>
  </si>
  <si>
    <t>Prepayment amortisation for the month</t>
  </si>
  <si>
    <t>Balance as at month end</t>
  </si>
  <si>
    <t xml:space="preserve"> </t>
  </si>
  <si>
    <t>Prepayment limit USD10k</t>
  </si>
  <si>
    <t>Jul to Dec</t>
  </si>
  <si>
    <t>CCPL</t>
  </si>
  <si>
    <t>BIM</t>
  </si>
  <si>
    <t>CCHMS</t>
  </si>
  <si>
    <t>Dr 10901</t>
  </si>
  <si>
    <t>Cr 10904</t>
  </si>
  <si>
    <t>Apr to Jun</t>
  </si>
  <si>
    <t>Cr 51310</t>
  </si>
  <si>
    <t>Cc 31</t>
  </si>
  <si>
    <t>Office 365 (E3)</t>
  </si>
  <si>
    <t>BIMAM</t>
  </si>
  <si>
    <t>Total</t>
  </si>
  <si>
    <t>Apr to Jul</t>
  </si>
  <si>
    <t>Dr 10901 Cr 51202</t>
  </si>
  <si>
    <t>Aug to Dec</t>
  </si>
  <si>
    <t>Dr 10901 Cr 10904</t>
  </si>
  <si>
    <t>PCFM</t>
  </si>
  <si>
    <t>Equipment rental</t>
  </si>
  <si>
    <t>Dr 10901 Cr 51206</t>
  </si>
  <si>
    <t>Line amount - till Previous year deferred amount</t>
  </si>
  <si>
    <t>Need not to show</t>
  </si>
  <si>
    <t xml:space="preserve">Period Wise </t>
  </si>
  <si>
    <t>G-(H-V)</t>
  </si>
  <si>
    <t>End date</t>
  </si>
  <si>
    <t>Line amount in USD</t>
  </si>
  <si>
    <t>Deferred Amount till Previous year end</t>
  </si>
  <si>
    <t xml:space="preserve">Remaining Balance </t>
  </si>
  <si>
    <t>Deferred in current period</t>
  </si>
  <si>
    <t>Ending Balance</t>
  </si>
  <si>
    <t>If zero remaining balance column should be blank</t>
  </si>
  <si>
    <t>When we check for Dec-21 period, then we can see correct 2021 ending balance as you see in your manual report</t>
  </si>
  <si>
    <t>BreakUp for H Column</t>
  </si>
  <si>
    <t>Amount</t>
  </si>
  <si>
    <t>Scenario:</t>
  </si>
  <si>
    <t>Jun-20 to May-21   USD column should show 12000</t>
  </si>
  <si>
    <t>If report run by 2021 any period, whatever amount deferred by 2020 dec, we need to show in 'H' column.</t>
  </si>
  <si>
    <t>Ex: USD column = 12,000 In Next Column - 7000 Required remaining balance column- USD column - H Column.</t>
  </si>
  <si>
    <t>If incase transaction is Jan-21 to Jun-21, USD - 6000  next column- 0 Required remaining balance column = Blank</t>
  </si>
  <si>
    <t>If incase transaction is Jun-21 to May-22, USD - 12000 Next column - 0 Required remaining - Blank</t>
  </si>
  <si>
    <t>End column- Calculate till dec-21 (7000) . then subtract with Line amount . 12000-7000= 5 (This will be come as a 2022 opening balance(Next Column)</t>
  </si>
  <si>
    <t>Type</t>
  </si>
  <si>
    <t>Standard</t>
  </si>
  <si>
    <t xml:space="preserve">As the accounting period is Jan21 there is no link in previous years or periods  so remaining balance should be blank. </t>
  </si>
  <si>
    <t>Credit Memo</t>
  </si>
  <si>
    <t>RELX (SINGAPORE) PTE LTD</t>
  </si>
  <si>
    <t>4190004507_Prepayment Adj - LexisNexis for the legal subscription 31 May 2021 to 30 May 2022</t>
  </si>
  <si>
    <t>4190004507_Prepayment Adj</t>
  </si>
  <si>
    <t>Data Connect Technologies Pte Ltd</t>
  </si>
  <si>
    <t>Accounting period is dec-20, and In the dec-20 zero deferred. So 3205.13 - 0 = 3205.13</t>
  </si>
  <si>
    <t xml:space="preserve">                 Credit Side</t>
  </si>
</sst>
</file>

<file path=xl/styles.xml><?xml version="1.0" encoding="utf-8"?>
<styleSheet xmlns="http://schemas.openxmlformats.org/spreadsheetml/2006/main">
  <numFmts count="16">
    <numFmt numFmtId="176" formatCode="_(* #,##0.00_);_(* \(#,##0.00\);_(* &quot;-&quot;??_);_(@_)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-* #,##0.00_-;\-* #,##0.00_-;_-* &quot;-&quot;??_-;_-@_-"/>
    <numFmt numFmtId="180" formatCode="_ * #,##0.00_ ;_ * \-#,##0.00_ ;_ * &quot;-&quot;??_ ;_ @_ "/>
    <numFmt numFmtId="181" formatCode="_ &quot;₹&quot;* #,##0_ ;_ &quot;₹&quot;* \-#,##0_ ;_ &quot;₹&quot;* &quot;-&quot;_ ;_ @_ "/>
    <numFmt numFmtId="182" formatCode="dd/mmm/yy"/>
    <numFmt numFmtId="183" formatCode="&quot;$&quot;#,##0.00"/>
    <numFmt numFmtId="184" formatCode="_(* #,##0.00000_);_(* \(#,##0.00000\);_(* &quot;-&quot;??_);_(@_)"/>
    <numFmt numFmtId="185" formatCode="mmm/yy"/>
    <numFmt numFmtId="186" formatCode="dd/mm/yyyy"/>
    <numFmt numFmtId="187" formatCode="#,##0.00_);[Red]\(#,##0.00\)"/>
    <numFmt numFmtId="188" formatCode="dd\.mm\.yyyy"/>
    <numFmt numFmtId="189" formatCode="0.0000000"/>
    <numFmt numFmtId="190" formatCode="0.00000"/>
    <numFmt numFmtId="191" formatCode="_(* #,##0_);_(* \(#,##0\);_(* &quot;-&quot;??_);_(@_)"/>
  </numFmts>
  <fonts count="53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8"/>
      <name val="Calibri"/>
      <charset val="134"/>
      <scheme val="minor"/>
    </font>
    <font>
      <sz val="8"/>
      <color rgb="FFFFFF00"/>
      <name val="Calibri"/>
      <charset val="134"/>
      <scheme val="minor"/>
    </font>
    <font>
      <b/>
      <sz val="8"/>
      <name val="Calibri"/>
      <charset val="134"/>
      <scheme val="minor"/>
    </font>
    <font>
      <u/>
      <sz val="8"/>
      <name val="Calibri"/>
      <charset val="134"/>
      <scheme val="minor"/>
    </font>
    <font>
      <sz val="8"/>
      <color theme="0"/>
      <name val="Calibri"/>
      <charset val="134"/>
      <scheme val="minor"/>
    </font>
    <font>
      <b/>
      <u/>
      <sz val="8"/>
      <name val="Calibri"/>
      <charset val="134"/>
      <scheme val="minor"/>
    </font>
    <font>
      <sz val="8"/>
      <color theme="5"/>
      <name val="Calibri"/>
      <charset val="134"/>
      <scheme val="minor"/>
    </font>
    <font>
      <sz val="8"/>
      <color rgb="FFFF0000"/>
      <name val="Calibri"/>
      <charset val="134"/>
      <scheme val="minor"/>
    </font>
    <font>
      <b/>
      <sz val="8"/>
      <color rgb="FF0070C0"/>
      <name val="Calibri"/>
      <charset val="134"/>
      <scheme val="minor"/>
    </font>
    <font>
      <sz val="8"/>
      <color rgb="FF0070C0"/>
      <name val="Calibri"/>
      <charset val="134"/>
      <scheme val="minor"/>
    </font>
    <font>
      <b/>
      <i/>
      <sz val="8"/>
      <name val="Calibri"/>
      <charset val="134"/>
      <scheme val="minor"/>
    </font>
    <font>
      <b/>
      <i/>
      <sz val="8"/>
      <color rgb="FF0070C0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sz val="9"/>
      <color rgb="FF333333"/>
      <name val="Arial"/>
      <charset val="134"/>
    </font>
    <font>
      <b/>
      <u/>
      <sz val="8"/>
      <color indexed="10"/>
      <name val="Calibri"/>
      <charset val="134"/>
      <scheme val="minor"/>
    </font>
    <font>
      <b/>
      <sz val="8"/>
      <color indexed="14"/>
      <name val="Calibri"/>
      <charset val="134"/>
      <scheme val="minor"/>
    </font>
    <font>
      <b/>
      <sz val="8"/>
      <color indexed="12"/>
      <name val="Calibri"/>
      <charset val="134"/>
      <scheme val="minor"/>
    </font>
    <font>
      <sz val="8"/>
      <color indexed="12"/>
      <name val="Calibri"/>
      <charset val="134"/>
      <scheme val="minor"/>
    </font>
    <font>
      <sz val="8"/>
      <color theme="1"/>
      <name val="Calibri"/>
      <charset val="134"/>
      <scheme val="minor"/>
    </font>
    <font>
      <b/>
      <sz val="8"/>
      <color theme="1"/>
      <name val="Calibri"/>
      <charset val="134"/>
      <scheme val="minor"/>
    </font>
    <font>
      <b/>
      <sz val="8"/>
      <color theme="0"/>
      <name val="Calibri"/>
      <charset val="134"/>
      <scheme val="minor"/>
    </font>
    <font>
      <strike/>
      <sz val="8"/>
      <name val="Calibri"/>
      <charset val="134"/>
      <scheme val="minor"/>
    </font>
    <font>
      <strike/>
      <sz val="8"/>
      <color theme="1"/>
      <name val="Calibri"/>
      <charset val="134"/>
      <scheme val="minor"/>
    </font>
    <font>
      <i/>
      <sz val="8"/>
      <color theme="1"/>
      <name val="Calibri"/>
      <charset val="134"/>
      <scheme val="minor"/>
    </font>
    <font>
      <b/>
      <u/>
      <sz val="8"/>
      <color theme="1"/>
      <name val="Calibri"/>
      <charset val="134"/>
      <scheme val="minor"/>
    </font>
    <font>
      <u val="singleAccounting"/>
      <sz val="8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134"/>
    </font>
    <font>
      <sz val="11"/>
      <color rgb="FF9C0006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134"/>
      <scheme val="minor"/>
    </font>
    <font>
      <sz val="10"/>
      <name val="Arial"/>
      <charset val="134"/>
    </font>
    <font>
      <sz val="11"/>
      <color rgb="FF0061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2"/>
      <name val="Arial"/>
      <charset val="134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2"/>
      <name val="宋体"/>
      <charset val="134"/>
    </font>
    <font>
      <b/>
      <sz val="11"/>
      <color theme="1"/>
      <name val="Calibri"/>
      <charset val="0"/>
      <scheme val="minor"/>
    </font>
    <font>
      <sz val="10"/>
      <name val="Tahoma"/>
      <charset val="134"/>
    </font>
  </fonts>
  <fills count="5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0499893185216834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theme="4" tint="-0.2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</fills>
  <borders count="5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double">
        <color auto="1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8"/>
      </bottom>
      <diagonal/>
    </border>
    <border>
      <left style="thin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double">
        <color indexed="8"/>
      </top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double">
        <color indexed="8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auto="1"/>
      </top>
      <bottom/>
      <diagonal/>
    </border>
    <border>
      <left style="thin">
        <color indexed="8"/>
      </left>
      <right style="thin">
        <color indexed="8"/>
      </right>
      <top/>
      <bottom style="thin">
        <color auto="1"/>
      </bottom>
      <diagonal/>
    </border>
    <border>
      <left style="thin">
        <color auto="1"/>
      </left>
      <right style="thin">
        <color indexed="8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60">
    <xf numFmtId="0" fontId="0" fillId="0" borderId="0"/>
    <xf numFmtId="0" fontId="31" fillId="23" borderId="0" applyNumberFormat="0" applyBorder="0" applyAlignment="0" applyProtection="0">
      <alignment vertical="center"/>
    </xf>
    <xf numFmtId="179" fontId="29" fillId="0" borderId="0" applyFont="0" applyFill="0" applyBorder="0" applyAlignment="0" applyProtection="0"/>
    <xf numFmtId="178" fontId="33" fillId="0" borderId="0" applyFont="0" applyFill="0" applyBorder="0" applyAlignment="0" applyProtection="0">
      <alignment vertical="center"/>
    </xf>
    <xf numFmtId="181" fontId="33" fillId="0" borderId="0" applyFont="0" applyFill="0" applyBorder="0" applyAlignment="0" applyProtection="0">
      <alignment vertical="center"/>
    </xf>
    <xf numFmtId="177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4" fillId="0" borderId="0"/>
    <xf numFmtId="0" fontId="32" fillId="32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8" fillId="36" borderId="46" applyNumberFormat="0" applyAlignment="0" applyProtection="0">
      <alignment vertical="center"/>
    </xf>
    <xf numFmtId="0" fontId="39" fillId="0" borderId="47" applyNumberFormat="0" applyFill="0" applyAlignment="0" applyProtection="0">
      <alignment vertical="center"/>
    </xf>
    <xf numFmtId="0" fontId="33" fillId="37" borderId="48" applyNumberFormat="0" applyFont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3" fillId="0" borderId="47" applyNumberFormat="0" applyFill="0" applyAlignment="0" applyProtection="0">
      <alignment vertical="center"/>
    </xf>
    <xf numFmtId="0" fontId="45" fillId="0" borderId="50" applyNumberFormat="0" applyFill="0" applyAlignment="0" applyProtection="0">
      <alignment vertical="center"/>
    </xf>
    <xf numFmtId="176" fontId="0" fillId="0" borderId="0" applyFont="0" applyFill="0" applyBorder="0" applyAlignment="0" applyProtection="0"/>
    <xf numFmtId="0" fontId="45" fillId="0" borderId="0" applyNumberFormat="0" applyFill="0" applyBorder="0" applyAlignment="0" applyProtection="0">
      <alignment vertical="center"/>
    </xf>
    <xf numFmtId="0" fontId="37" fillId="34" borderId="45" applyNumberFormat="0" applyAlignment="0" applyProtection="0">
      <alignment vertical="center"/>
    </xf>
    <xf numFmtId="0" fontId="0" fillId="0" borderId="0"/>
    <xf numFmtId="0" fontId="32" fillId="41" borderId="0" applyNumberFormat="0" applyBorder="0" applyAlignment="0" applyProtection="0">
      <alignment vertical="center"/>
    </xf>
    <xf numFmtId="0" fontId="35" fillId="30" borderId="0" applyNumberFormat="0" applyBorder="0" applyAlignment="0" applyProtection="0">
      <alignment vertical="center"/>
    </xf>
    <xf numFmtId="0" fontId="46" fillId="42" borderId="51" applyNumberFormat="0" applyAlignment="0" applyProtection="0">
      <alignment vertical="center"/>
    </xf>
    <xf numFmtId="0" fontId="47" fillId="0" borderId="0"/>
    <xf numFmtId="0" fontId="31" fillId="44" borderId="0" applyNumberFormat="0" applyBorder="0" applyAlignment="0" applyProtection="0">
      <alignment vertical="center"/>
    </xf>
    <xf numFmtId="0" fontId="49" fillId="42" borderId="45" applyNumberFormat="0" applyAlignment="0" applyProtection="0">
      <alignment vertical="center"/>
    </xf>
    <xf numFmtId="0" fontId="44" fillId="0" borderId="49" applyNumberFormat="0" applyFill="0" applyAlignment="0" applyProtection="0">
      <alignment vertical="center"/>
    </xf>
    <xf numFmtId="0" fontId="51" fillId="0" borderId="52" applyNumberFormat="0" applyFill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48" fillId="43" borderId="0" applyNumberFormat="0" applyBorder="0" applyAlignment="0" applyProtection="0">
      <alignment vertical="center"/>
    </xf>
    <xf numFmtId="0" fontId="32" fillId="38" borderId="0" applyNumberFormat="0" applyBorder="0" applyAlignment="0" applyProtection="0">
      <alignment vertical="center"/>
    </xf>
    <xf numFmtId="0" fontId="0" fillId="0" borderId="0"/>
    <xf numFmtId="0" fontId="31" fillId="48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0" fontId="31" fillId="52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2" fillId="47" borderId="0" applyNumberFormat="0" applyBorder="0" applyAlignment="0" applyProtection="0">
      <alignment vertical="center"/>
    </xf>
    <xf numFmtId="0" fontId="31" fillId="51" borderId="0" applyNumberFormat="0" applyBorder="0" applyAlignment="0" applyProtection="0">
      <alignment vertical="center"/>
    </xf>
    <xf numFmtId="0" fontId="29" fillId="0" borderId="0"/>
    <xf numFmtId="0" fontId="32" fillId="50" borderId="0" applyNumberFormat="0" applyBorder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/>
    <xf numFmtId="0" fontId="32" fillId="25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2" fillId="39" borderId="0" applyNumberFormat="0" applyBorder="0" applyAlignment="0" applyProtection="0">
      <alignment vertical="center"/>
    </xf>
    <xf numFmtId="0" fontId="32" fillId="49" borderId="0" applyNumberFormat="0" applyBorder="0" applyAlignment="0" applyProtection="0">
      <alignment vertical="center"/>
    </xf>
    <xf numFmtId="180" fontId="50" fillId="0" borderId="0" applyFont="0" applyFill="0" applyBorder="0" applyAlignment="0" applyProtection="0"/>
    <xf numFmtId="0" fontId="31" fillId="29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4" fontId="52" fillId="13" borderId="53"/>
    <xf numFmtId="176" fontId="29" fillId="0" borderId="0" applyFont="0" applyFill="0" applyBorder="0" applyAlignment="0" applyProtection="0"/>
    <xf numFmtId="176" fontId="29" fillId="0" borderId="0" applyFont="0" applyFill="0" applyBorder="0" applyAlignment="0" applyProtection="0"/>
  </cellStyleXfs>
  <cellXfs count="521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182" fontId="0" fillId="0" borderId="1" xfId="0" applyNumberFormat="1" applyBorder="1"/>
    <xf numFmtId="185" fontId="0" fillId="0" borderId="1" xfId="0" applyNumberFormat="1" applyBorder="1"/>
    <xf numFmtId="185" fontId="0" fillId="0" borderId="0" xfId="0" applyNumberFormat="1"/>
    <xf numFmtId="0" fontId="0" fillId="0" borderId="0" xfId="0" applyAlignment="1">
      <alignment horizontal="center"/>
    </xf>
    <xf numFmtId="0" fontId="0" fillId="0" borderId="1" xfId="0" applyBorder="1" applyAlignment="1">
      <alignment wrapText="1"/>
    </xf>
    <xf numFmtId="4" fontId="0" fillId="0" borderId="1" xfId="0" applyNumberFormat="1" applyBorder="1"/>
    <xf numFmtId="185" fontId="1" fillId="2" borderId="1" xfId="0" applyNumberFormat="1" applyFont="1" applyFill="1" applyBorder="1"/>
    <xf numFmtId="0" fontId="2" fillId="0" borderId="0" xfId="24" applyFont="1" applyAlignment="1">
      <alignment horizontal="center" vertical="center"/>
    </xf>
    <xf numFmtId="0" fontId="3" fillId="0" borderId="0" xfId="24" applyFont="1" applyAlignment="1">
      <alignment vertical="center"/>
    </xf>
    <xf numFmtId="0" fontId="2" fillId="0" borderId="0" xfId="24" applyFont="1" applyAlignment="1">
      <alignment vertical="center"/>
    </xf>
    <xf numFmtId="176" fontId="2" fillId="0" borderId="0" xfId="49" applyFont="1" applyAlignment="1">
      <alignment vertical="center"/>
    </xf>
    <xf numFmtId="176" fontId="4" fillId="0" borderId="0" xfId="49" applyFont="1" applyAlignment="1">
      <alignment vertical="center"/>
    </xf>
    <xf numFmtId="0" fontId="2" fillId="0" borderId="0" xfId="24" applyFont="1" applyAlignment="1">
      <alignment horizontal="left" vertical="center"/>
    </xf>
    <xf numFmtId="0" fontId="4" fillId="0" borderId="0" xfId="8" applyFont="1" applyAlignment="1">
      <alignment vertical="center"/>
    </xf>
    <xf numFmtId="182" fontId="4" fillId="0" borderId="0" xfId="24" applyNumberFormat="1" applyFont="1" applyAlignment="1">
      <alignment horizontal="center" vertical="center"/>
    </xf>
    <xf numFmtId="0" fontId="5" fillId="0" borderId="0" xfId="24" applyFont="1" applyAlignment="1">
      <alignment vertical="center"/>
    </xf>
    <xf numFmtId="176" fontId="6" fillId="3" borderId="2" xfId="49" applyFont="1" applyFill="1" applyBorder="1" applyAlignment="1">
      <alignment horizontal="right" vertical="center"/>
    </xf>
    <xf numFmtId="185" fontId="6" fillId="3" borderId="3" xfId="49" applyNumberFormat="1" applyFont="1" applyFill="1" applyBorder="1" applyAlignment="1">
      <alignment horizontal="center" vertical="center"/>
    </xf>
    <xf numFmtId="185" fontId="6" fillId="3" borderId="4" xfId="49" applyNumberFormat="1" applyFont="1" applyFill="1" applyBorder="1" applyAlignment="1">
      <alignment horizontal="center" vertical="center"/>
    </xf>
    <xf numFmtId="0" fontId="7" fillId="0" borderId="5" xfId="24" applyFont="1" applyBorder="1" applyAlignment="1">
      <alignment horizontal="center" vertical="center"/>
    </xf>
    <xf numFmtId="0" fontId="7" fillId="0" borderId="5" xfId="24" applyFont="1" applyBorder="1" applyAlignment="1">
      <alignment horizontal="center" vertical="center" wrapText="1"/>
    </xf>
    <xf numFmtId="0" fontId="7" fillId="0" borderId="6" xfId="24" applyFont="1" applyBorder="1" applyAlignment="1">
      <alignment horizontal="center" vertical="center"/>
    </xf>
    <xf numFmtId="176" fontId="6" fillId="3" borderId="7" xfId="49" applyFont="1" applyFill="1" applyBorder="1" applyAlignment="1">
      <alignment horizontal="center" vertical="center"/>
    </xf>
    <xf numFmtId="0" fontId="6" fillId="3" borderId="8" xfId="24" applyFont="1" applyFill="1" applyBorder="1" applyAlignment="1">
      <alignment horizontal="center" vertical="center"/>
    </xf>
    <xf numFmtId="0" fontId="6" fillId="3" borderId="5" xfId="24" applyFont="1" applyFill="1" applyBorder="1" applyAlignment="1">
      <alignment horizontal="center" vertical="center"/>
    </xf>
    <xf numFmtId="0" fontId="2" fillId="0" borderId="9" xfId="24" applyFont="1" applyBorder="1" applyAlignment="1">
      <alignment vertical="center"/>
    </xf>
    <xf numFmtId="185" fontId="2" fillId="0" borderId="0" xfId="24" applyNumberFormat="1" applyFont="1" applyAlignment="1">
      <alignment horizontal="center" vertical="center"/>
    </xf>
    <xf numFmtId="0" fontId="2" fillId="4" borderId="0" xfId="24" applyFont="1" applyFill="1" applyAlignment="1">
      <alignment horizontal="center" vertical="center"/>
    </xf>
    <xf numFmtId="40" fontId="2" fillId="0" borderId="10" xfId="49" applyNumberFormat="1" applyFont="1" applyFill="1" applyBorder="1" applyAlignment="1">
      <alignment vertical="center"/>
    </xf>
    <xf numFmtId="40" fontId="2" fillId="0" borderId="9" xfId="49" applyNumberFormat="1" applyFont="1" applyBorder="1" applyAlignment="1">
      <alignment vertical="center"/>
    </xf>
    <xf numFmtId="40" fontId="2" fillId="0" borderId="0" xfId="49" applyNumberFormat="1" applyFont="1" applyAlignment="1">
      <alignment vertical="center"/>
    </xf>
    <xf numFmtId="0" fontId="8" fillId="4" borderId="0" xfId="24" applyFont="1" applyFill="1" applyAlignment="1">
      <alignment horizontal="center" vertical="center"/>
    </xf>
    <xf numFmtId="0" fontId="9" fillId="0" borderId="0" xfId="24" applyFont="1" applyAlignment="1">
      <alignment horizontal="center" vertical="center"/>
    </xf>
    <xf numFmtId="0" fontId="8" fillId="0" borderId="0" xfId="24" applyFont="1" applyAlignment="1">
      <alignment horizontal="center" vertical="center"/>
    </xf>
    <xf numFmtId="0" fontId="2" fillId="0" borderId="11" xfId="24" applyFont="1" applyBorder="1" applyAlignment="1">
      <alignment horizontal="left" vertical="center"/>
    </xf>
    <xf numFmtId="40" fontId="2" fillId="0" borderId="10" xfId="49" applyNumberFormat="1" applyFont="1" applyBorder="1" applyAlignment="1">
      <alignment vertical="center"/>
    </xf>
    <xf numFmtId="40" fontId="2" fillId="0" borderId="12" xfId="49" applyNumberFormat="1" applyFont="1" applyBorder="1" applyAlignment="1">
      <alignment vertical="center"/>
    </xf>
    <xf numFmtId="40" fontId="2" fillId="0" borderId="13" xfId="49" applyNumberFormat="1" applyFont="1" applyBorder="1" applyAlignment="1">
      <alignment vertical="center"/>
    </xf>
    <xf numFmtId="40" fontId="2" fillId="0" borderId="9" xfId="24" applyNumberFormat="1" applyFont="1" applyBorder="1" applyAlignment="1">
      <alignment vertical="center"/>
    </xf>
    <xf numFmtId="0" fontId="10" fillId="0" borderId="11" xfId="24" applyFont="1" applyBorder="1" applyAlignment="1">
      <alignment horizontal="center" vertical="center"/>
    </xf>
    <xf numFmtId="40" fontId="10" fillId="0" borderId="9" xfId="49" applyNumberFormat="1" applyFont="1" applyBorder="1" applyAlignment="1">
      <alignment vertical="center"/>
    </xf>
    <xf numFmtId="40" fontId="10" fillId="0" borderId="0" xfId="49" applyNumberFormat="1" applyFont="1" applyAlignment="1">
      <alignment vertical="center"/>
    </xf>
    <xf numFmtId="0" fontId="4" fillId="0" borderId="11" xfId="24" applyFont="1" applyBorder="1" applyAlignment="1">
      <alignment horizontal="left" vertical="center"/>
    </xf>
    <xf numFmtId="40" fontId="4" fillId="0" borderId="14" xfId="59" applyNumberFormat="1" applyFont="1" applyBorder="1" applyAlignment="1">
      <alignment horizontal="center" vertical="center"/>
    </xf>
    <xf numFmtId="40" fontId="4" fillId="0" borderId="15" xfId="59" applyNumberFormat="1" applyFont="1" applyBorder="1" applyAlignment="1">
      <alignment horizontal="center" vertical="center"/>
    </xf>
    <xf numFmtId="40" fontId="2" fillId="0" borderId="0" xfId="49" applyNumberFormat="1" applyFont="1" applyFill="1" applyAlignment="1">
      <alignment vertical="center"/>
    </xf>
    <xf numFmtId="40" fontId="9" fillId="0" borderId="0" xfId="49" applyNumberFormat="1" applyFont="1" applyFill="1" applyAlignment="1">
      <alignment vertical="center"/>
    </xf>
    <xf numFmtId="40" fontId="2" fillId="0" borderId="13" xfId="49" applyNumberFormat="1" applyFont="1" applyFill="1" applyBorder="1" applyAlignment="1">
      <alignment vertical="center"/>
    </xf>
    <xf numFmtId="40" fontId="10" fillId="0" borderId="0" xfId="49" applyNumberFormat="1" applyFont="1" applyFill="1" applyAlignment="1">
      <alignment vertical="center"/>
    </xf>
    <xf numFmtId="40" fontId="4" fillId="0" borderId="15" xfId="59" applyNumberFormat="1" applyFont="1" applyFill="1" applyBorder="1" applyAlignment="1">
      <alignment horizontal="center" vertical="center"/>
    </xf>
    <xf numFmtId="176" fontId="6" fillId="3" borderId="2" xfId="49" applyFont="1" applyFill="1" applyBorder="1" applyAlignment="1">
      <alignment horizontal="center" vertical="center" wrapText="1"/>
    </xf>
    <xf numFmtId="176" fontId="6" fillId="3" borderId="7" xfId="49" applyFont="1" applyFill="1" applyBorder="1" applyAlignment="1">
      <alignment horizontal="center" vertical="center" wrapText="1"/>
    </xf>
    <xf numFmtId="176" fontId="6" fillId="3" borderId="9" xfId="49" applyFont="1" applyFill="1" applyBorder="1" applyAlignment="1">
      <alignment horizontal="center" vertical="center" wrapText="1"/>
    </xf>
    <xf numFmtId="176" fontId="6" fillId="3" borderId="0" xfId="49" applyFont="1" applyFill="1" applyBorder="1" applyAlignment="1">
      <alignment horizontal="center" vertical="center" wrapText="1"/>
    </xf>
    <xf numFmtId="40" fontId="11" fillId="5" borderId="0" xfId="49" applyNumberFormat="1" applyFont="1" applyFill="1" applyAlignment="1">
      <alignment vertical="center"/>
    </xf>
    <xf numFmtId="40" fontId="2" fillId="0" borderId="10" xfId="59" applyNumberFormat="1" applyFont="1" applyBorder="1" applyAlignment="1">
      <alignment vertical="center"/>
    </xf>
    <xf numFmtId="40" fontId="2" fillId="0" borderId="9" xfId="59" applyNumberFormat="1" applyFont="1" applyFill="1" applyBorder="1" applyAlignment="1">
      <alignment vertical="center"/>
    </xf>
    <xf numFmtId="40" fontId="2" fillId="0" borderId="0" xfId="59" applyNumberFormat="1" applyFont="1" applyFill="1" applyBorder="1" applyAlignment="1">
      <alignment vertical="center"/>
    </xf>
    <xf numFmtId="40" fontId="2" fillId="0" borderId="9" xfId="49" applyNumberFormat="1" applyFont="1" applyFill="1" applyBorder="1" applyAlignment="1">
      <alignment vertical="center"/>
    </xf>
    <xf numFmtId="40" fontId="2" fillId="0" borderId="0" xfId="49" applyNumberFormat="1" applyFont="1" applyFill="1" applyBorder="1" applyAlignment="1">
      <alignment vertical="center"/>
    </xf>
    <xf numFmtId="40" fontId="11" fillId="0" borderId="0" xfId="49" applyNumberFormat="1" applyFont="1" applyFill="1" applyBorder="1" applyAlignment="1">
      <alignment vertical="center"/>
    </xf>
    <xf numFmtId="40" fontId="9" fillId="0" borderId="0" xfId="49" applyNumberFormat="1" applyFont="1" applyFill="1" applyBorder="1" applyAlignment="1">
      <alignment vertical="center"/>
    </xf>
    <xf numFmtId="40" fontId="2" fillId="5" borderId="0" xfId="49" applyNumberFormat="1" applyFont="1" applyFill="1" applyAlignment="1">
      <alignment vertical="center"/>
    </xf>
    <xf numFmtId="40" fontId="11" fillId="0" borderId="9" xfId="49" applyNumberFormat="1" applyFont="1" applyFill="1" applyBorder="1" applyAlignment="1">
      <alignment vertical="center"/>
    </xf>
    <xf numFmtId="40" fontId="9" fillId="0" borderId="9" xfId="49" applyNumberFormat="1" applyFont="1" applyFill="1" applyBorder="1" applyAlignment="1">
      <alignment vertical="center"/>
    </xf>
    <xf numFmtId="40" fontId="2" fillId="5" borderId="13" xfId="49" applyNumberFormat="1" applyFont="1" applyFill="1" applyBorder="1" applyAlignment="1">
      <alignment vertical="center"/>
    </xf>
    <xf numFmtId="40" fontId="2" fillId="0" borderId="16" xfId="49" applyNumberFormat="1" applyFont="1" applyBorder="1" applyAlignment="1">
      <alignment vertical="center"/>
    </xf>
    <xf numFmtId="40" fontId="2" fillId="0" borderId="16" xfId="49" applyNumberFormat="1" applyFont="1" applyFill="1" applyBorder="1" applyAlignment="1">
      <alignment vertical="center"/>
    </xf>
    <xf numFmtId="40" fontId="4" fillId="0" borderId="10" xfId="59" applyNumberFormat="1" applyFont="1" applyFill="1" applyBorder="1" applyAlignment="1">
      <alignment vertical="center"/>
    </xf>
    <xf numFmtId="40" fontId="4" fillId="0" borderId="9" xfId="59" applyNumberFormat="1" applyFont="1" applyFill="1" applyBorder="1" applyAlignment="1">
      <alignment vertical="center"/>
    </xf>
    <xf numFmtId="40" fontId="4" fillId="0" borderId="0" xfId="59" applyNumberFormat="1" applyFont="1" applyFill="1" applyBorder="1" applyAlignment="1">
      <alignment vertical="center"/>
    </xf>
    <xf numFmtId="40" fontId="4" fillId="0" borderId="10" xfId="49" applyNumberFormat="1" applyFont="1" applyFill="1" applyBorder="1" applyAlignment="1">
      <alignment vertical="center"/>
    </xf>
    <xf numFmtId="40" fontId="2" fillId="0" borderId="9" xfId="2" applyNumberFormat="1" applyFont="1" applyFill="1" applyBorder="1" applyAlignment="1">
      <alignment vertical="center"/>
    </xf>
    <xf numFmtId="40" fontId="2" fillId="0" borderId="0" xfId="2" applyNumberFormat="1" applyFont="1" applyFill="1" applyBorder="1" applyAlignment="1">
      <alignment vertical="center"/>
    </xf>
    <xf numFmtId="40" fontId="4" fillId="0" borderId="0" xfId="49" applyNumberFormat="1" applyFont="1" applyFill="1" applyBorder="1" applyAlignment="1">
      <alignment vertical="center"/>
    </xf>
    <xf numFmtId="40" fontId="2" fillId="0" borderId="14" xfId="2" applyNumberFormat="1" applyFont="1" applyFill="1" applyBorder="1" applyAlignment="1">
      <alignment vertical="center"/>
    </xf>
    <xf numFmtId="40" fontId="2" fillId="0" borderId="15" xfId="2" applyNumberFormat="1" applyFont="1" applyFill="1" applyBorder="1" applyAlignment="1">
      <alignment vertical="center"/>
    </xf>
    <xf numFmtId="40" fontId="2" fillId="0" borderId="15" xfId="49" applyNumberFormat="1" applyFont="1" applyFill="1" applyBorder="1" applyAlignment="1">
      <alignment vertical="center"/>
    </xf>
    <xf numFmtId="176" fontId="6" fillId="3" borderId="11" xfId="49" applyFont="1" applyFill="1" applyBorder="1" applyAlignment="1">
      <alignment horizontal="center" vertical="center" wrapText="1"/>
    </xf>
    <xf numFmtId="40" fontId="2" fillId="5" borderId="0" xfId="59" applyNumberFormat="1" applyFont="1" applyFill="1" applyBorder="1" applyAlignment="1">
      <alignment vertical="center"/>
    </xf>
    <xf numFmtId="40" fontId="2" fillId="0" borderId="0" xfId="59" applyNumberFormat="1" applyFont="1" applyBorder="1" applyAlignment="1">
      <alignment vertical="center"/>
    </xf>
    <xf numFmtId="40" fontId="2" fillId="0" borderId="11" xfId="59" applyNumberFormat="1" applyFont="1" applyBorder="1" applyAlignment="1">
      <alignment vertical="center"/>
    </xf>
    <xf numFmtId="40" fontId="2" fillId="5" borderId="0" xfId="49" applyNumberFormat="1" applyFont="1" applyFill="1" applyBorder="1" applyAlignment="1">
      <alignment vertical="center"/>
    </xf>
    <xf numFmtId="40" fontId="2" fillId="0" borderId="11" xfId="49" applyNumberFormat="1" applyFont="1" applyFill="1" applyBorder="1" applyAlignment="1">
      <alignment vertical="center"/>
    </xf>
    <xf numFmtId="40" fontId="2" fillId="5" borderId="16" xfId="49" applyNumberFormat="1" applyFont="1" applyFill="1" applyBorder="1" applyAlignment="1">
      <alignment vertical="center"/>
    </xf>
    <xf numFmtId="40" fontId="4" fillId="5" borderId="0" xfId="59" applyNumberFormat="1" applyFont="1" applyFill="1" applyBorder="1" applyAlignment="1">
      <alignment vertical="center"/>
    </xf>
    <xf numFmtId="40" fontId="4" fillId="0" borderId="11" xfId="59" applyNumberFormat="1" applyFont="1" applyFill="1" applyBorder="1" applyAlignment="1">
      <alignment vertical="center"/>
    </xf>
    <xf numFmtId="40" fontId="4" fillId="5" borderId="0" xfId="49" applyNumberFormat="1" applyFont="1" applyFill="1" applyBorder="1" applyAlignment="1">
      <alignment vertical="center"/>
    </xf>
    <xf numFmtId="40" fontId="4" fillId="0" borderId="11" xfId="49" applyNumberFormat="1" applyFont="1" applyFill="1" applyBorder="1" applyAlignment="1">
      <alignment vertical="center"/>
    </xf>
    <xf numFmtId="40" fontId="4" fillId="5" borderId="15" xfId="49" applyNumberFormat="1" applyFont="1" applyFill="1" applyBorder="1" applyAlignment="1">
      <alignment vertical="center"/>
    </xf>
    <xf numFmtId="40" fontId="4" fillId="0" borderId="15" xfId="49" applyNumberFormat="1" applyFont="1" applyFill="1" applyBorder="1" applyAlignment="1">
      <alignment vertical="center"/>
    </xf>
    <xf numFmtId="40" fontId="4" fillId="0" borderId="17" xfId="49" applyNumberFormat="1" applyFont="1" applyFill="1" applyBorder="1" applyAlignment="1">
      <alignment vertical="center"/>
    </xf>
    <xf numFmtId="0" fontId="4" fillId="0" borderId="0" xfId="24" applyFont="1" applyAlignment="1">
      <alignment horizontal="center" vertical="center"/>
    </xf>
    <xf numFmtId="176" fontId="4" fillId="0" borderId="0" xfId="49" applyFont="1" applyAlignment="1">
      <alignment horizontal="center" vertical="center"/>
    </xf>
    <xf numFmtId="0" fontId="6" fillId="6" borderId="0" xfId="24" applyFont="1" applyFill="1" applyAlignment="1">
      <alignment horizontal="center" vertical="center" wrapText="1"/>
    </xf>
    <xf numFmtId="176" fontId="6" fillId="7" borderId="0" xfId="49" applyFont="1" applyFill="1" applyAlignment="1">
      <alignment horizontal="center" vertical="center" wrapText="1"/>
    </xf>
    <xf numFmtId="0" fontId="6" fillId="3" borderId="0" xfId="24" applyFont="1" applyFill="1" applyAlignment="1">
      <alignment horizontal="left" vertical="center" wrapText="1"/>
    </xf>
    <xf numFmtId="176" fontId="2" fillId="2" borderId="0" xfId="49" applyFont="1" applyFill="1" applyAlignment="1">
      <alignment horizontal="center" vertical="center" wrapText="1"/>
    </xf>
    <xf numFmtId="176" fontId="2" fillId="0" borderId="0" xfId="59" applyFont="1" applyAlignment="1">
      <alignment horizontal="center" vertical="center"/>
    </xf>
    <xf numFmtId="176" fontId="2" fillId="0" borderId="0" xfId="49" applyFont="1" applyAlignment="1">
      <alignment horizontal="center" vertical="center"/>
    </xf>
    <xf numFmtId="176" fontId="2" fillId="0" borderId="0" xfId="59" applyFont="1" applyAlignment="1">
      <alignment vertical="center"/>
    </xf>
    <xf numFmtId="176" fontId="9" fillId="0" borderId="0" xfId="49" applyFont="1" applyAlignment="1">
      <alignment horizontal="center" vertical="center"/>
    </xf>
    <xf numFmtId="176" fontId="4" fillId="8" borderId="15" xfId="49" applyFont="1" applyFill="1" applyBorder="1" applyAlignment="1">
      <alignment horizontal="center" vertical="center"/>
    </xf>
    <xf numFmtId="176" fontId="6" fillId="9" borderId="0" xfId="49" applyFont="1" applyFill="1" applyAlignment="1">
      <alignment horizontal="center" vertical="center" wrapText="1"/>
    </xf>
    <xf numFmtId="0" fontId="6" fillId="9" borderId="0" xfId="24" applyFont="1" applyFill="1" applyAlignment="1">
      <alignment horizontal="center" vertical="center" wrapText="1"/>
    </xf>
    <xf numFmtId="0" fontId="6" fillId="7" borderId="0" xfId="24" applyFont="1" applyFill="1" applyAlignment="1">
      <alignment horizontal="left" vertical="center" wrapText="1"/>
    </xf>
    <xf numFmtId="176" fontId="2" fillId="0" borderId="0" xfId="24" applyNumberFormat="1" applyFont="1" applyAlignment="1">
      <alignment horizontal="center" vertical="center"/>
    </xf>
    <xf numFmtId="0" fontId="2" fillId="0" borderId="11" xfId="24" applyFont="1" applyBorder="1" applyAlignment="1">
      <alignment vertical="center"/>
    </xf>
    <xf numFmtId="40" fontId="12" fillId="0" borderId="18" xfId="49" applyNumberFormat="1" applyFont="1" applyBorder="1" applyAlignment="1">
      <alignment horizontal="center" vertical="center"/>
    </xf>
    <xf numFmtId="40" fontId="12" fillId="0" borderId="0" xfId="49" applyNumberFormat="1" applyFont="1" applyAlignment="1">
      <alignment horizontal="center" vertical="center"/>
    </xf>
    <xf numFmtId="0" fontId="2" fillId="0" borderId="11" xfId="24" applyFont="1" applyBorder="1" applyAlignment="1">
      <alignment horizontal="center" vertical="center"/>
    </xf>
    <xf numFmtId="0" fontId="2" fillId="0" borderId="8" xfId="24" applyFont="1" applyBorder="1" applyAlignment="1">
      <alignment vertical="center"/>
    </xf>
    <xf numFmtId="0" fontId="2" fillId="0" borderId="5" xfId="24" applyFont="1" applyBorder="1" applyAlignment="1">
      <alignment horizontal="center" vertical="center"/>
    </xf>
    <xf numFmtId="0" fontId="2" fillId="0" borderId="6" xfId="24" applyFont="1" applyBorder="1" applyAlignment="1">
      <alignment horizontal="center" vertical="center"/>
    </xf>
    <xf numFmtId="40" fontId="2" fillId="0" borderId="7" xfId="49" applyNumberFormat="1" applyFont="1" applyBorder="1" applyAlignment="1">
      <alignment vertical="center"/>
    </xf>
    <xf numFmtId="40" fontId="2" fillId="0" borderId="8" xfId="49" applyNumberFormat="1" applyFont="1" applyBorder="1" applyAlignment="1">
      <alignment vertical="center"/>
    </xf>
    <xf numFmtId="40" fontId="2" fillId="0" borderId="5" xfId="49" applyNumberFormat="1" applyFont="1" applyBorder="1" applyAlignment="1">
      <alignment vertical="center"/>
    </xf>
    <xf numFmtId="0" fontId="11" fillId="0" borderId="0" xfId="24" applyFont="1" applyAlignment="1">
      <alignment horizontal="left" vertical="center"/>
    </xf>
    <xf numFmtId="40" fontId="2" fillId="0" borderId="0" xfId="24" applyNumberFormat="1" applyFont="1" applyAlignment="1">
      <alignment vertical="center"/>
    </xf>
    <xf numFmtId="0" fontId="2" fillId="5" borderId="0" xfId="24" applyFont="1" applyFill="1" applyAlignment="1">
      <alignment horizontal="center" vertical="center"/>
    </xf>
    <xf numFmtId="176" fontId="2" fillId="0" borderId="0" xfId="24" applyNumberFormat="1" applyFont="1" applyAlignment="1">
      <alignment vertical="center"/>
    </xf>
    <xf numFmtId="179" fontId="2" fillId="10" borderId="0" xfId="24" applyNumberFormat="1" applyFont="1" applyFill="1" applyAlignment="1">
      <alignment vertical="center"/>
    </xf>
    <xf numFmtId="179" fontId="2" fillId="0" borderId="0" xfId="24" applyNumberFormat="1" applyFont="1" applyAlignment="1">
      <alignment vertical="center"/>
    </xf>
    <xf numFmtId="179" fontId="2" fillId="0" borderId="15" xfId="24" applyNumberFormat="1" applyFont="1" applyBorder="1" applyAlignment="1">
      <alignment vertical="center"/>
    </xf>
    <xf numFmtId="179" fontId="2" fillId="7" borderId="15" xfId="2" applyFont="1" applyFill="1" applyBorder="1" applyAlignment="1">
      <alignment vertical="center"/>
    </xf>
    <xf numFmtId="179" fontId="2" fillId="0" borderId="15" xfId="2" applyFont="1" applyBorder="1" applyAlignment="1">
      <alignment vertical="center"/>
    </xf>
    <xf numFmtId="186" fontId="9" fillId="0" borderId="0" xfId="24" applyNumberFormat="1" applyFont="1" applyAlignment="1">
      <alignment horizontal="left" vertical="center"/>
    </xf>
    <xf numFmtId="0" fontId="2" fillId="0" borderId="0" xfId="24" applyFont="1" applyFill="1" applyAlignment="1">
      <alignment horizontal="center" vertical="center"/>
    </xf>
    <xf numFmtId="0" fontId="2" fillId="0" borderId="0" xfId="24" applyFont="1" applyFill="1" applyAlignment="1">
      <alignment vertical="center"/>
    </xf>
    <xf numFmtId="179" fontId="2" fillId="5" borderId="0" xfId="2" applyFont="1" applyFill="1" applyAlignment="1">
      <alignment vertical="center"/>
    </xf>
    <xf numFmtId="179" fontId="2" fillId="0" borderId="0" xfId="2" applyFont="1" applyAlignment="1">
      <alignment vertical="center"/>
    </xf>
    <xf numFmtId="179" fontId="2" fillId="5" borderId="15" xfId="2" applyFont="1" applyFill="1" applyBorder="1" applyAlignment="1">
      <alignment vertical="center"/>
    </xf>
    <xf numFmtId="179" fontId="2" fillId="5" borderId="0" xfId="24" applyNumberFormat="1" applyFont="1" applyFill="1" applyAlignment="1">
      <alignment vertical="center"/>
    </xf>
    <xf numFmtId="0" fontId="2" fillId="5" borderId="0" xfId="24" applyFont="1" applyFill="1" applyAlignment="1">
      <alignment vertical="center"/>
    </xf>
    <xf numFmtId="179" fontId="2" fillId="5" borderId="15" xfId="24" applyNumberFormat="1" applyFont="1" applyFill="1" applyBorder="1" applyAlignment="1">
      <alignment vertical="center"/>
    </xf>
    <xf numFmtId="40" fontId="13" fillId="0" borderId="10" xfId="49" applyNumberFormat="1" applyFont="1" applyFill="1" applyBorder="1" applyAlignment="1">
      <alignment horizontal="right" vertical="center"/>
    </xf>
    <xf numFmtId="40" fontId="13" fillId="0" borderId="9" xfId="49" applyNumberFormat="1" applyFont="1" applyFill="1" applyBorder="1" applyAlignment="1">
      <alignment horizontal="right" vertical="center"/>
    </xf>
    <xf numFmtId="40" fontId="13" fillId="0" borderId="0" xfId="49" applyNumberFormat="1" applyFont="1" applyFill="1" applyBorder="1" applyAlignment="1">
      <alignment horizontal="right" vertical="center"/>
    </xf>
    <xf numFmtId="40" fontId="4" fillId="0" borderId="7" xfId="49" applyNumberFormat="1" applyFont="1" applyFill="1" applyBorder="1" applyAlignment="1">
      <alignment vertical="center"/>
    </xf>
    <xf numFmtId="40" fontId="4" fillId="0" borderId="8" xfId="49" applyNumberFormat="1" applyFont="1" applyFill="1" applyBorder="1" applyAlignment="1">
      <alignment vertical="center"/>
    </xf>
    <xf numFmtId="40" fontId="4" fillId="0" borderId="5" xfId="49" applyNumberFormat="1" applyFont="1" applyFill="1" applyBorder="1" applyAlignment="1">
      <alignment vertical="center"/>
    </xf>
    <xf numFmtId="40" fontId="4" fillId="0" borderId="0" xfId="49" applyNumberFormat="1" applyFont="1" applyAlignment="1">
      <alignment vertical="center"/>
    </xf>
    <xf numFmtId="40" fontId="13" fillId="0" borderId="11" xfId="49" applyNumberFormat="1" applyFont="1" applyFill="1" applyBorder="1" applyAlignment="1">
      <alignment horizontal="right" vertical="center"/>
    </xf>
    <xf numFmtId="40" fontId="4" fillId="0" borderId="6" xfId="49" applyNumberFormat="1" applyFont="1" applyFill="1" applyBorder="1" applyAlignment="1">
      <alignment vertical="center"/>
    </xf>
    <xf numFmtId="176" fontId="13" fillId="0" borderId="0" xfId="49" applyFont="1" applyAlignment="1">
      <alignment horizontal="right" vertical="center"/>
    </xf>
    <xf numFmtId="1" fontId="0" fillId="0" borderId="0" xfId="0" applyNumberFormat="1"/>
    <xf numFmtId="0" fontId="14" fillId="11" borderId="0" xfId="0" applyFont="1" applyFill="1"/>
    <xf numFmtId="1" fontId="14" fillId="11" borderId="0" xfId="0" applyNumberFormat="1" applyFont="1" applyFill="1"/>
    <xf numFmtId="186" fontId="15" fillId="0" borderId="0" xfId="0" applyNumberFormat="1" applyFont="1"/>
    <xf numFmtId="0" fontId="15" fillId="0" borderId="0" xfId="0" applyFont="1"/>
    <xf numFmtId="3" fontId="0" fillId="0" borderId="0" xfId="0" applyNumberFormat="1"/>
    <xf numFmtId="2" fontId="0" fillId="0" borderId="0" xfId="0" applyNumberFormat="1"/>
    <xf numFmtId="185" fontId="14" fillId="11" borderId="0" xfId="0" applyNumberFormat="1" applyFont="1" applyFill="1"/>
    <xf numFmtId="0" fontId="2" fillId="12" borderId="0" xfId="8" applyFont="1" applyFill="1" applyAlignment="1">
      <alignment vertical="center"/>
    </xf>
    <xf numFmtId="0" fontId="2" fillId="0" borderId="0" xfId="8" applyFont="1" applyFill="1" applyAlignment="1">
      <alignment vertical="center"/>
    </xf>
    <xf numFmtId="0" fontId="2" fillId="0" borderId="0" xfId="8" applyFont="1" applyAlignment="1">
      <alignment vertical="center"/>
    </xf>
    <xf numFmtId="182" fontId="2" fillId="0" borderId="0" xfId="8" applyNumberFormat="1" applyFont="1" applyAlignment="1">
      <alignment vertical="center"/>
    </xf>
    <xf numFmtId="0" fontId="2" fillId="0" borderId="0" xfId="8" applyFont="1" applyAlignment="1">
      <alignment horizontal="left" vertical="center"/>
    </xf>
    <xf numFmtId="176" fontId="2" fillId="0" borderId="0" xfId="8" applyNumberFormat="1" applyFont="1" applyAlignment="1">
      <alignment vertical="center"/>
    </xf>
    <xf numFmtId="176" fontId="2" fillId="12" borderId="0" xfId="8" applyNumberFormat="1" applyFont="1" applyFill="1" applyAlignment="1">
      <alignment vertical="center"/>
    </xf>
    <xf numFmtId="39" fontId="2" fillId="0" borderId="0" xfId="8" applyNumberFormat="1" applyFont="1" applyAlignment="1">
      <alignment vertical="center"/>
    </xf>
    <xf numFmtId="182" fontId="4" fillId="0" borderId="0" xfId="8" applyNumberFormat="1" applyFont="1" applyAlignment="1">
      <alignment horizontal="left" vertical="center"/>
    </xf>
    <xf numFmtId="0" fontId="2" fillId="10" borderId="0" xfId="8" applyFont="1" applyFill="1" applyAlignment="1">
      <alignment vertical="center"/>
    </xf>
    <xf numFmtId="182" fontId="4" fillId="0" borderId="19" xfId="28" applyNumberFormat="1" applyFont="1" applyBorder="1" applyAlignment="1">
      <alignment vertical="center"/>
    </xf>
    <xf numFmtId="0" fontId="4" fillId="0" borderId="19" xfId="28" applyFont="1" applyBorder="1" applyAlignment="1">
      <alignment vertical="center"/>
    </xf>
    <xf numFmtId="0" fontId="2" fillId="0" borderId="0" xfId="28" applyFont="1" applyAlignment="1">
      <alignment vertical="center"/>
    </xf>
    <xf numFmtId="176" fontId="4" fillId="0" borderId="20" xfId="28" applyNumberFormat="1" applyFont="1" applyBorder="1" applyAlignment="1">
      <alignment horizontal="center" vertical="center"/>
    </xf>
    <xf numFmtId="176" fontId="4" fillId="0" borderId="0" xfId="28" applyNumberFormat="1" applyFont="1" applyAlignment="1">
      <alignment horizontal="center" vertical="center"/>
    </xf>
    <xf numFmtId="176" fontId="4" fillId="0" borderId="21" xfId="28" applyNumberFormat="1" applyFont="1" applyBorder="1" applyAlignment="1">
      <alignment horizontal="center" vertical="center"/>
    </xf>
    <xf numFmtId="182" fontId="4" fillId="0" borderId="20" xfId="28" applyNumberFormat="1" applyFont="1" applyBorder="1" applyAlignment="1">
      <alignment horizontal="center" vertical="center"/>
    </xf>
    <xf numFmtId="0" fontId="4" fillId="0" borderId="20" xfId="28" applyFont="1" applyBorder="1" applyAlignment="1">
      <alignment vertical="center"/>
    </xf>
    <xf numFmtId="176" fontId="4" fillId="0" borderId="22" xfId="28" applyNumberFormat="1" applyFont="1" applyBorder="1" applyAlignment="1">
      <alignment horizontal="center" vertical="center"/>
    </xf>
    <xf numFmtId="182" fontId="4" fillId="0" borderId="22" xfId="28" applyNumberFormat="1" applyFont="1" applyBorder="1" applyAlignment="1">
      <alignment horizontal="center" vertical="center"/>
    </xf>
    <xf numFmtId="0" fontId="4" fillId="0" borderId="22" xfId="28" applyFont="1" applyBorder="1" applyAlignment="1">
      <alignment vertical="center"/>
    </xf>
    <xf numFmtId="0" fontId="2" fillId="0" borderId="0" xfId="28" applyFont="1" applyAlignment="1">
      <alignment horizontal="left" vertical="center"/>
    </xf>
    <xf numFmtId="186" fontId="4" fillId="0" borderId="22" xfId="28" applyNumberFormat="1" applyFont="1" applyBorder="1" applyAlignment="1">
      <alignment horizontal="center" vertical="center"/>
    </xf>
    <xf numFmtId="0" fontId="4" fillId="0" borderId="20" xfId="28" applyFont="1" applyBorder="1" applyAlignment="1">
      <alignment horizontal="left" vertical="center"/>
    </xf>
    <xf numFmtId="40" fontId="4" fillId="12" borderId="20" xfId="28" applyNumberFormat="1" applyFont="1" applyFill="1" applyBorder="1" applyAlignment="1">
      <alignment horizontal="center" vertical="center"/>
    </xf>
    <xf numFmtId="40" fontId="4" fillId="12" borderId="22" xfId="28" applyNumberFormat="1" applyFont="1" applyFill="1" applyBorder="1" applyAlignment="1">
      <alignment horizontal="center" vertical="center"/>
    </xf>
    <xf numFmtId="182" fontId="2" fillId="0" borderId="22" xfId="28" applyNumberFormat="1" applyFont="1" applyBorder="1" applyAlignment="1">
      <alignment horizontal="center" vertical="center"/>
    </xf>
    <xf numFmtId="0" fontId="16" fillId="0" borderId="22" xfId="28" applyFont="1" applyBorder="1" applyAlignment="1">
      <alignment horizontal="left" vertical="center"/>
    </xf>
    <xf numFmtId="40" fontId="2" fillId="12" borderId="22" xfId="54" applyNumberFormat="1" applyFont="1" applyFill="1" applyBorder="1" applyAlignment="1">
      <alignment horizontal="right" vertical="center"/>
    </xf>
    <xf numFmtId="0" fontId="7" fillId="12" borderId="22" xfId="28" applyFont="1" applyFill="1" applyBorder="1" applyAlignment="1">
      <alignment horizontal="left" vertical="center"/>
    </xf>
    <xf numFmtId="0" fontId="2" fillId="0" borderId="22" xfId="28" applyFont="1" applyBorder="1" applyAlignment="1">
      <alignment horizontal="left" vertical="center"/>
    </xf>
    <xf numFmtId="187" fontId="2" fillId="12" borderId="22" xfId="54" applyNumberFormat="1" applyFont="1" applyFill="1" applyBorder="1" applyAlignment="1">
      <alignment horizontal="right" vertical="center"/>
    </xf>
    <xf numFmtId="182" fontId="2" fillId="8" borderId="22" xfId="28" applyNumberFormat="1" applyFont="1" applyFill="1" applyBorder="1" applyAlignment="1">
      <alignment horizontal="center" vertical="center"/>
    </xf>
    <xf numFmtId="187" fontId="2" fillId="12" borderId="22" xfId="54" applyNumberFormat="1" applyFont="1" applyFill="1" applyBorder="1" applyAlignment="1">
      <alignment horizontal="center" vertical="center"/>
    </xf>
    <xf numFmtId="182" fontId="2" fillId="0" borderId="23" xfId="28" applyNumberFormat="1" applyFont="1" applyBorder="1" applyAlignment="1">
      <alignment horizontal="center" vertical="center"/>
    </xf>
    <xf numFmtId="0" fontId="4" fillId="0" borderId="23" xfId="28" applyFont="1" applyBorder="1" applyAlignment="1">
      <alignment vertical="center"/>
    </xf>
    <xf numFmtId="0" fontId="4" fillId="0" borderId="0" xfId="28" applyFont="1" applyAlignment="1">
      <alignment horizontal="left" vertical="center"/>
    </xf>
    <xf numFmtId="187" fontId="4" fillId="12" borderId="24" xfId="54" applyNumberFormat="1" applyFont="1" applyFill="1" applyBorder="1" applyAlignment="1">
      <alignment horizontal="right" vertical="center"/>
    </xf>
    <xf numFmtId="187" fontId="4" fillId="12" borderId="22" xfId="54" applyNumberFormat="1" applyFont="1" applyFill="1" applyBorder="1" applyAlignment="1">
      <alignment horizontal="right" vertical="center"/>
    </xf>
    <xf numFmtId="182" fontId="2" fillId="0" borderId="0" xfId="28" applyNumberFormat="1" applyFont="1" applyAlignment="1">
      <alignment vertical="center"/>
    </xf>
    <xf numFmtId="0" fontId="2" fillId="13" borderId="0" xfId="28" applyFont="1" applyFill="1" applyAlignment="1">
      <alignment horizontal="left" vertical="center"/>
    </xf>
    <xf numFmtId="187" fontId="2" fillId="0" borderId="0" xfId="54" applyNumberFormat="1" applyFont="1" applyAlignment="1">
      <alignment horizontal="right" vertical="center"/>
    </xf>
    <xf numFmtId="182" fontId="2" fillId="0" borderId="20" xfId="28" applyNumberFormat="1" applyFont="1" applyBorder="1" applyAlignment="1">
      <alignment horizontal="center" vertical="center"/>
    </xf>
    <xf numFmtId="0" fontId="5" fillId="13" borderId="20" xfId="28" applyFont="1" applyFill="1" applyBorder="1" applyAlignment="1">
      <alignment horizontal="left" vertical="center"/>
    </xf>
    <xf numFmtId="187" fontId="4" fillId="0" borderId="20" xfId="54" applyNumberFormat="1" applyFont="1" applyBorder="1" applyAlignment="1">
      <alignment horizontal="right" vertical="center"/>
    </xf>
    <xf numFmtId="0" fontId="2" fillId="13" borderId="22" xfId="28" applyFont="1" applyFill="1" applyBorder="1" applyAlignment="1">
      <alignment horizontal="left" vertical="center"/>
    </xf>
    <xf numFmtId="187" fontId="4" fillId="0" borderId="22" xfId="54" applyNumberFormat="1" applyFont="1" applyBorder="1" applyAlignment="1">
      <alignment horizontal="right" vertical="center"/>
    </xf>
    <xf numFmtId="187" fontId="2" fillId="0" borderId="22" xfId="54" applyNumberFormat="1" applyFont="1" applyBorder="1" applyAlignment="1">
      <alignment horizontal="center" vertical="center"/>
    </xf>
    <xf numFmtId="187" fontId="2" fillId="0" borderId="22" xfId="54" applyNumberFormat="1" applyFont="1" applyBorder="1" applyAlignment="1">
      <alignment horizontal="right" vertical="center"/>
    </xf>
    <xf numFmtId="0" fontId="2" fillId="0" borderId="25" xfId="28" applyFont="1" applyBorder="1" applyAlignment="1">
      <alignment horizontal="left" vertical="center"/>
    </xf>
    <xf numFmtId="0" fontId="4" fillId="13" borderId="23" xfId="28" applyFont="1" applyFill="1" applyBorder="1" applyAlignment="1">
      <alignment horizontal="left" vertical="center"/>
    </xf>
    <xf numFmtId="0" fontId="4" fillId="0" borderId="22" xfId="28" applyFont="1" applyBorder="1" applyAlignment="1">
      <alignment horizontal="left" vertical="center"/>
    </xf>
    <xf numFmtId="187" fontId="4" fillId="0" borderId="24" xfId="54" applyNumberFormat="1" applyFont="1" applyBorder="1" applyAlignment="1">
      <alignment horizontal="right" vertical="center"/>
    </xf>
    <xf numFmtId="182" fontId="2" fillId="0" borderId="0" xfId="28" applyNumberFormat="1" applyFont="1" applyAlignment="1">
      <alignment horizontal="center" vertical="center"/>
    </xf>
    <xf numFmtId="0" fontId="4" fillId="13" borderId="0" xfId="28" applyFont="1" applyFill="1" applyAlignment="1">
      <alignment horizontal="left" vertical="center"/>
    </xf>
    <xf numFmtId="187" fontId="4" fillId="0" borderId="26" xfId="54" applyNumberFormat="1" applyFont="1" applyBorder="1" applyAlignment="1">
      <alignment horizontal="right" vertical="center"/>
    </xf>
    <xf numFmtId="187" fontId="2" fillId="0" borderId="23" xfId="54" applyNumberFormat="1" applyFont="1" applyBorder="1" applyAlignment="1">
      <alignment horizontal="right" vertical="center"/>
    </xf>
    <xf numFmtId="0" fontId="7" fillId="0" borderId="20" xfId="28" applyFont="1" applyBorder="1" applyAlignment="1">
      <alignment horizontal="left" vertical="center"/>
    </xf>
    <xf numFmtId="182" fontId="2" fillId="14" borderId="22" xfId="28" applyNumberFormat="1" applyFont="1" applyFill="1" applyBorder="1" applyAlignment="1">
      <alignment horizontal="center" vertical="center"/>
    </xf>
    <xf numFmtId="0" fontId="2" fillId="14" borderId="22" xfId="28" applyFont="1" applyFill="1" applyBorder="1" applyAlignment="1">
      <alignment horizontal="left" vertical="center"/>
    </xf>
    <xf numFmtId="187" fontId="2" fillId="14" borderId="22" xfId="54" applyNumberFormat="1" applyFont="1" applyFill="1" applyBorder="1" applyAlignment="1">
      <alignment horizontal="right" vertical="center"/>
    </xf>
    <xf numFmtId="187" fontId="2" fillId="14" borderId="22" xfId="58" applyNumberFormat="1" applyFont="1" applyFill="1" applyBorder="1" applyAlignment="1">
      <alignment horizontal="right" vertical="center"/>
    </xf>
    <xf numFmtId="182" fontId="2" fillId="12" borderId="22" xfId="28" applyNumberFormat="1" applyFont="1" applyFill="1" applyBorder="1" applyAlignment="1">
      <alignment horizontal="center" vertical="center"/>
    </xf>
    <xf numFmtId="0" fontId="2" fillId="12" borderId="22" xfId="28" applyFont="1" applyFill="1" applyBorder="1" applyAlignment="1">
      <alignment horizontal="left" vertical="center"/>
    </xf>
    <xf numFmtId="187" fontId="2" fillId="12" borderId="22" xfId="58" applyNumberFormat="1" applyFont="1" applyFill="1" applyBorder="1" applyAlignment="1">
      <alignment horizontal="right" vertical="center"/>
    </xf>
    <xf numFmtId="187" fontId="2" fillId="0" borderId="22" xfId="58" applyNumberFormat="1" applyFont="1" applyBorder="1" applyAlignment="1">
      <alignment horizontal="right" vertical="center"/>
    </xf>
    <xf numFmtId="176" fontId="4" fillId="0" borderId="27" xfId="28" applyNumberFormat="1" applyFont="1" applyBorder="1" applyAlignment="1">
      <alignment horizontal="center" vertical="center"/>
    </xf>
    <xf numFmtId="176" fontId="4" fillId="0" borderId="28" xfId="28" applyNumberFormat="1" applyFont="1" applyBorder="1" applyAlignment="1">
      <alignment horizontal="center" vertical="center"/>
    </xf>
    <xf numFmtId="176" fontId="2" fillId="0" borderId="0" xfId="28" applyNumberFormat="1" applyFont="1" applyAlignment="1">
      <alignment vertical="center"/>
    </xf>
    <xf numFmtId="185" fontId="4" fillId="12" borderId="20" xfId="28" applyNumberFormat="1" applyFont="1" applyFill="1" applyBorder="1" applyAlignment="1">
      <alignment horizontal="center" vertical="center"/>
    </xf>
    <xf numFmtId="188" fontId="4" fillId="0" borderId="22" xfId="28" applyNumberFormat="1" applyFont="1" applyBorder="1" applyAlignment="1">
      <alignment horizontal="center" vertical="center"/>
    </xf>
    <xf numFmtId="176" fontId="4" fillId="12" borderId="22" xfId="28" applyNumberFormat="1" applyFont="1" applyFill="1" applyBorder="1" applyAlignment="1">
      <alignment horizontal="center" vertical="center"/>
    </xf>
    <xf numFmtId="40" fontId="2" fillId="12" borderId="0" xfId="28" applyNumberFormat="1" applyFont="1" applyFill="1" applyAlignment="1">
      <alignment vertical="center"/>
    </xf>
    <xf numFmtId="40" fontId="4" fillId="0" borderId="20" xfId="28" applyNumberFormat="1" applyFont="1" applyBorder="1" applyAlignment="1">
      <alignment horizontal="center" vertical="center"/>
    </xf>
    <xf numFmtId="40" fontId="2" fillId="12" borderId="0" xfId="54" applyNumberFormat="1" applyFont="1" applyFill="1" applyAlignment="1">
      <alignment horizontal="right" vertical="center"/>
    </xf>
    <xf numFmtId="40" fontId="2" fillId="0" borderId="22" xfId="54" applyNumberFormat="1" applyFont="1" applyBorder="1" applyAlignment="1">
      <alignment horizontal="right" vertical="center"/>
    </xf>
    <xf numFmtId="187" fontId="2" fillId="12" borderId="0" xfId="54" applyNumberFormat="1" applyFont="1" applyFill="1" applyAlignment="1">
      <alignment horizontal="right" vertical="center"/>
    </xf>
    <xf numFmtId="187" fontId="2" fillId="0" borderId="22" xfId="54" applyNumberFormat="1" applyFont="1" applyFill="1" applyBorder="1" applyAlignment="1">
      <alignment horizontal="right" vertical="center"/>
    </xf>
    <xf numFmtId="187" fontId="4" fillId="12" borderId="0" xfId="54" applyNumberFormat="1" applyFont="1" applyFill="1" applyAlignment="1">
      <alignment horizontal="right" vertical="center"/>
    </xf>
    <xf numFmtId="187" fontId="4" fillId="0" borderId="24" xfId="54" applyNumberFormat="1" applyFont="1" applyFill="1" applyBorder="1" applyAlignment="1">
      <alignment horizontal="right" vertical="center"/>
    </xf>
    <xf numFmtId="187" fontId="2" fillId="0" borderId="29" xfId="54" applyNumberFormat="1" applyFont="1" applyBorder="1" applyAlignment="1">
      <alignment horizontal="right" vertical="center"/>
    </xf>
    <xf numFmtId="187" fontId="9" fillId="0" borderId="29" xfId="58" applyNumberFormat="1" applyFont="1" applyBorder="1" applyAlignment="1">
      <alignment horizontal="right" vertical="center"/>
    </xf>
    <xf numFmtId="187" fontId="4" fillId="0" borderId="0" xfId="54" applyNumberFormat="1" applyFont="1" applyAlignment="1">
      <alignment horizontal="right" vertical="center"/>
    </xf>
    <xf numFmtId="187" fontId="4" fillId="12" borderId="20" xfId="54" applyNumberFormat="1" applyFont="1" applyFill="1" applyBorder="1" applyAlignment="1">
      <alignment horizontal="right" vertical="center"/>
    </xf>
    <xf numFmtId="187" fontId="2" fillId="0" borderId="10" xfId="54" applyNumberFormat="1" applyFont="1" applyBorder="1" applyAlignment="1">
      <alignment horizontal="right" vertical="center"/>
    </xf>
    <xf numFmtId="187" fontId="2" fillId="0" borderId="30" xfId="54" applyNumberFormat="1" applyFont="1" applyBorder="1" applyAlignment="1">
      <alignment horizontal="right" vertical="center"/>
    </xf>
    <xf numFmtId="187" fontId="4" fillId="12" borderId="26" xfId="54" applyNumberFormat="1" applyFont="1" applyFill="1" applyBorder="1" applyAlignment="1">
      <alignment horizontal="right" vertical="center"/>
    </xf>
    <xf numFmtId="187" fontId="2" fillId="14" borderId="0" xfId="54" applyNumberFormat="1" applyFont="1" applyFill="1" applyAlignment="1">
      <alignment horizontal="right" vertical="center"/>
    </xf>
    <xf numFmtId="187" fontId="2" fillId="14" borderId="22" xfId="54" applyNumberFormat="1" applyFont="1" applyFill="1" applyBorder="1" applyAlignment="1">
      <alignment horizontal="center" vertical="center"/>
    </xf>
    <xf numFmtId="187" fontId="9" fillId="0" borderId="22" xfId="54" applyNumberFormat="1" applyFont="1" applyBorder="1" applyAlignment="1">
      <alignment horizontal="right" vertical="center"/>
    </xf>
    <xf numFmtId="185" fontId="4" fillId="0" borderId="20" xfId="28" applyNumberFormat="1" applyFont="1" applyFill="1" applyBorder="1" applyAlignment="1">
      <alignment horizontal="center" vertical="center"/>
    </xf>
    <xf numFmtId="176" fontId="4" fillId="0" borderId="22" xfId="28" applyNumberFormat="1" applyFont="1" applyFill="1" applyBorder="1" applyAlignment="1">
      <alignment horizontal="center" vertical="center"/>
    </xf>
    <xf numFmtId="40" fontId="4" fillId="0" borderId="20" xfId="28" applyNumberFormat="1" applyFont="1" applyFill="1" applyBorder="1" applyAlignment="1">
      <alignment horizontal="center" vertical="center"/>
    </xf>
    <xf numFmtId="40" fontId="4" fillId="5" borderId="20" xfId="28" applyNumberFormat="1" applyFont="1" applyFill="1" applyBorder="1" applyAlignment="1">
      <alignment horizontal="center" vertical="center"/>
    </xf>
    <xf numFmtId="40" fontId="2" fillId="0" borderId="22" xfId="54" applyNumberFormat="1" applyFont="1" applyFill="1" applyBorder="1" applyAlignment="1">
      <alignment horizontal="right" vertical="center"/>
    </xf>
    <xf numFmtId="40" fontId="2" fillId="5" borderId="22" xfId="54" applyNumberFormat="1" applyFont="1" applyFill="1" applyBorder="1" applyAlignment="1">
      <alignment horizontal="right" vertical="center"/>
    </xf>
    <xf numFmtId="187" fontId="2" fillId="5" borderId="22" xfId="54" applyNumberFormat="1" applyFont="1" applyFill="1" applyBorder="1" applyAlignment="1">
      <alignment horizontal="right" vertical="center"/>
    </xf>
    <xf numFmtId="187" fontId="4" fillId="5" borderId="24" xfId="54" applyNumberFormat="1" applyFont="1" applyFill="1" applyBorder="1" applyAlignment="1">
      <alignment horizontal="right" vertical="center"/>
    </xf>
    <xf numFmtId="187" fontId="2" fillId="0" borderId="0" xfId="54" applyNumberFormat="1" applyFont="1" applyFill="1" applyAlignment="1">
      <alignment horizontal="right" vertical="center"/>
    </xf>
    <xf numFmtId="187" fontId="4" fillId="0" borderId="20" xfId="54" applyNumberFormat="1" applyFont="1" applyFill="1" applyBorder="1" applyAlignment="1">
      <alignment horizontal="right" vertical="center"/>
    </xf>
    <xf numFmtId="187" fontId="4" fillId="0" borderId="22" xfId="54" applyNumberFormat="1" applyFont="1" applyFill="1" applyBorder="1" applyAlignment="1">
      <alignment horizontal="right" vertical="center"/>
    </xf>
    <xf numFmtId="187" fontId="4" fillId="0" borderId="26" xfId="54" applyNumberFormat="1" applyFont="1" applyFill="1" applyBorder="1" applyAlignment="1">
      <alignment horizontal="right" vertical="center"/>
    </xf>
    <xf numFmtId="187" fontId="2" fillId="15" borderId="22" xfId="54" applyNumberFormat="1" applyFont="1" applyFill="1" applyBorder="1" applyAlignment="1">
      <alignment horizontal="right" vertical="center"/>
    </xf>
    <xf numFmtId="39" fontId="17" fillId="16" borderId="0" xfId="8" applyNumberFormat="1" applyFont="1" applyFill="1" applyAlignment="1">
      <alignment vertical="center"/>
    </xf>
    <xf numFmtId="39" fontId="4" fillId="0" borderId="0" xfId="28" applyNumberFormat="1" applyFont="1" applyAlignment="1">
      <alignment horizontal="center" vertical="center"/>
    </xf>
    <xf numFmtId="176" fontId="4" fillId="0" borderId="31" xfId="28" applyNumberFormat="1" applyFont="1" applyBorder="1" applyAlignment="1">
      <alignment horizontal="center" vertical="center"/>
    </xf>
    <xf numFmtId="39" fontId="4" fillId="0" borderId="0" xfId="8" applyNumberFormat="1" applyFont="1" applyAlignment="1">
      <alignment horizontal="center" vertical="center"/>
    </xf>
    <xf numFmtId="188" fontId="4" fillId="0" borderId="0" xfId="8" applyNumberFormat="1" applyFont="1" applyAlignment="1">
      <alignment horizontal="center" vertical="center"/>
    </xf>
    <xf numFmtId="40" fontId="2" fillId="0" borderId="0" xfId="28" applyNumberFormat="1" applyFont="1" applyAlignment="1">
      <alignment vertical="center"/>
    </xf>
    <xf numFmtId="40" fontId="4" fillId="0" borderId="20" xfId="54" applyNumberFormat="1" applyFont="1" applyBorder="1" applyAlignment="1">
      <alignment horizontal="center" vertical="center"/>
    </xf>
    <xf numFmtId="40" fontId="2" fillId="0" borderId="26" xfId="28" applyNumberFormat="1" applyFont="1" applyBorder="1" applyAlignment="1">
      <alignment vertical="center"/>
    </xf>
    <xf numFmtId="39" fontId="4" fillId="0" borderId="0" xfId="8" applyNumberFormat="1" applyFont="1" applyAlignment="1">
      <alignment vertical="center"/>
    </xf>
    <xf numFmtId="40" fontId="2" fillId="0" borderId="0" xfId="54" applyNumberFormat="1" applyFont="1" applyAlignment="1">
      <alignment horizontal="right" vertical="center"/>
    </xf>
    <xf numFmtId="39" fontId="4" fillId="0" borderId="0" xfId="54" applyNumberFormat="1" applyFont="1" applyAlignment="1">
      <alignment vertical="center"/>
    </xf>
    <xf numFmtId="180" fontId="4" fillId="0" borderId="0" xfId="54" applyFont="1" applyAlignment="1">
      <alignment vertical="center"/>
    </xf>
    <xf numFmtId="187" fontId="4" fillId="0" borderId="32" xfId="54" applyNumberFormat="1" applyFont="1" applyBorder="1" applyAlignment="1">
      <alignment horizontal="right" vertical="center"/>
    </xf>
    <xf numFmtId="180" fontId="4" fillId="0" borderId="25" xfId="54" applyFont="1" applyBorder="1" applyAlignment="1">
      <alignment horizontal="right" vertical="center"/>
    </xf>
    <xf numFmtId="187" fontId="2" fillId="0" borderId="22" xfId="54" applyNumberFormat="1" applyFont="1" applyBorder="1" applyAlignment="1">
      <alignment horizontal="right" vertical="center" wrapText="1"/>
    </xf>
    <xf numFmtId="187" fontId="2" fillId="0" borderId="25" xfId="54" applyNumberFormat="1" applyFont="1" applyBorder="1" applyAlignment="1">
      <alignment horizontal="right" vertical="center" wrapText="1"/>
    </xf>
    <xf numFmtId="180" fontId="4" fillId="12" borderId="0" xfId="54" applyFont="1" applyFill="1" applyAlignment="1">
      <alignment vertical="center"/>
    </xf>
    <xf numFmtId="39" fontId="18" fillId="0" borderId="33" xfId="8" applyNumberFormat="1" applyFont="1" applyBorder="1" applyAlignment="1">
      <alignment horizontal="center" vertical="center" wrapText="1"/>
    </xf>
    <xf numFmtId="39" fontId="18" fillId="0" borderId="34" xfId="8" applyNumberFormat="1" applyFont="1" applyBorder="1" applyAlignment="1">
      <alignment horizontal="center" vertical="center" wrapText="1"/>
    </xf>
    <xf numFmtId="39" fontId="18" fillId="0" borderId="34" xfId="8" applyNumberFormat="1" applyFont="1" applyBorder="1" applyAlignment="1">
      <alignment vertical="center"/>
    </xf>
    <xf numFmtId="176" fontId="4" fillId="0" borderId="20" xfId="54" applyNumberFormat="1" applyFont="1" applyBorder="1" applyAlignment="1">
      <alignment horizontal="center" vertical="center"/>
    </xf>
    <xf numFmtId="176" fontId="2" fillId="0" borderId="22" xfId="54" applyNumberFormat="1" applyFont="1" applyBorder="1" applyAlignment="1">
      <alignment horizontal="right" vertical="center"/>
    </xf>
    <xf numFmtId="180" fontId="18" fillId="0" borderId="34" xfId="54" applyFont="1" applyBorder="1" applyAlignment="1">
      <alignment vertical="center"/>
    </xf>
    <xf numFmtId="180" fontId="2" fillId="0" borderId="0" xfId="54" applyFont="1" applyAlignment="1">
      <alignment vertical="center"/>
    </xf>
    <xf numFmtId="180" fontId="2" fillId="0" borderId="22" xfId="54" applyFont="1" applyBorder="1" applyAlignment="1">
      <alignment horizontal="right" vertical="center"/>
    </xf>
    <xf numFmtId="176" fontId="2" fillId="0" borderId="0" xfId="58" applyFont="1" applyAlignment="1">
      <alignment vertical="center"/>
    </xf>
    <xf numFmtId="180" fontId="4" fillId="0" borderId="34" xfId="54" applyFont="1" applyBorder="1" applyAlignment="1">
      <alignment vertical="center"/>
    </xf>
    <xf numFmtId="180" fontId="4" fillId="0" borderId="32" xfId="54" applyFont="1" applyBorder="1" applyAlignment="1">
      <alignment horizontal="right" vertical="center"/>
    </xf>
    <xf numFmtId="180" fontId="2" fillId="0" borderId="0" xfId="54" applyFont="1" applyAlignment="1">
      <alignment horizontal="right" vertical="center"/>
    </xf>
    <xf numFmtId="180" fontId="4" fillId="0" borderId="20" xfId="54" applyFont="1" applyBorder="1" applyAlignment="1">
      <alignment horizontal="right" vertical="center"/>
    </xf>
    <xf numFmtId="180" fontId="4" fillId="0" borderId="22" xfId="54" applyFont="1" applyBorder="1" applyAlignment="1">
      <alignment horizontal="right" vertical="center"/>
    </xf>
    <xf numFmtId="180" fontId="2" fillId="0" borderId="22" xfId="54" applyFont="1" applyBorder="1" applyAlignment="1">
      <alignment horizontal="right" vertical="center" wrapText="1"/>
    </xf>
    <xf numFmtId="180" fontId="2" fillId="0" borderId="25" xfId="54" applyFont="1" applyBorder="1" applyAlignment="1">
      <alignment horizontal="right" vertical="center" wrapText="1"/>
    </xf>
    <xf numFmtId="180" fontId="4" fillId="0" borderId="26" xfId="54" applyFont="1" applyBorder="1" applyAlignment="1">
      <alignment horizontal="right" vertical="center"/>
    </xf>
    <xf numFmtId="180" fontId="18" fillId="12" borderId="34" xfId="54" applyFont="1" applyFill="1" applyBorder="1" applyAlignment="1">
      <alignment vertical="center"/>
    </xf>
    <xf numFmtId="180" fontId="2" fillId="12" borderId="0" xfId="54" applyFont="1" applyFill="1" applyAlignment="1">
      <alignment vertical="center"/>
    </xf>
    <xf numFmtId="176" fontId="2" fillId="12" borderId="0" xfId="58" applyFont="1" applyFill="1" applyAlignment="1">
      <alignment vertical="center"/>
    </xf>
    <xf numFmtId="180" fontId="2" fillId="12" borderId="22" xfId="54" applyFont="1" applyFill="1" applyBorder="1" applyAlignment="1">
      <alignment horizontal="right" vertical="center"/>
    </xf>
    <xf numFmtId="180" fontId="4" fillId="0" borderId="24" xfId="54" applyFont="1" applyBorder="1" applyAlignment="1">
      <alignment horizontal="right" vertical="center"/>
    </xf>
    <xf numFmtId="182" fontId="2" fillId="10" borderId="22" xfId="28" applyNumberFormat="1" applyFont="1" applyFill="1" applyBorder="1" applyAlignment="1">
      <alignment horizontal="center" vertical="center"/>
    </xf>
    <xf numFmtId="0" fontId="2" fillId="10" borderId="22" xfId="28" applyFont="1" applyFill="1" applyBorder="1" applyAlignment="1">
      <alignment horizontal="left" vertical="center"/>
    </xf>
    <xf numFmtId="187" fontId="2" fillId="10" borderId="22" xfId="54" applyNumberFormat="1" applyFont="1" applyFill="1" applyBorder="1" applyAlignment="1">
      <alignment horizontal="right" vertical="center"/>
    </xf>
    <xf numFmtId="182" fontId="2" fillId="0" borderId="22" xfId="28" applyNumberFormat="1" applyFont="1" applyFill="1" applyBorder="1" applyAlignment="1">
      <alignment horizontal="center" vertical="center"/>
    </xf>
    <xf numFmtId="1" fontId="2" fillId="0" borderId="22" xfId="2" applyNumberFormat="1" applyFont="1" applyFill="1" applyBorder="1" applyAlignment="1">
      <alignment horizontal="center" vertical="center"/>
    </xf>
    <xf numFmtId="1" fontId="2" fillId="0" borderId="22" xfId="28" applyNumberFormat="1" applyFont="1" applyFill="1" applyBorder="1" applyAlignment="1">
      <alignment horizontal="center" vertical="center"/>
    </xf>
    <xf numFmtId="0" fontId="2" fillId="0" borderId="22" xfId="28" applyFont="1" applyFill="1" applyBorder="1" applyAlignment="1">
      <alignment horizontal="left" vertical="center"/>
    </xf>
    <xf numFmtId="182" fontId="2" fillId="0" borderId="0" xfId="28" applyNumberFormat="1" applyFont="1" applyFill="1" applyBorder="1" applyAlignment="1">
      <alignment horizontal="center" vertical="center"/>
    </xf>
    <xf numFmtId="182" fontId="2" fillId="0" borderId="10" xfId="28" applyNumberFormat="1" applyFont="1" applyFill="1" applyBorder="1" applyAlignment="1">
      <alignment horizontal="center" vertical="center"/>
    </xf>
    <xf numFmtId="0" fontId="2" fillId="0" borderId="11" xfId="28" applyFont="1" applyFill="1" applyBorder="1" applyAlignment="1">
      <alignment horizontal="left" vertical="center"/>
    </xf>
    <xf numFmtId="0" fontId="2" fillId="0" borderId="0" xfId="28" applyFont="1" applyFill="1" applyBorder="1" applyAlignment="1">
      <alignment horizontal="left" vertical="center"/>
    </xf>
    <xf numFmtId="187" fontId="2" fillId="0" borderId="10" xfId="54" applyNumberFormat="1" applyFont="1" applyFill="1" applyBorder="1" applyAlignment="1">
      <alignment horizontal="right" vertical="center"/>
    </xf>
    <xf numFmtId="187" fontId="2" fillId="0" borderId="0" xfId="54" applyNumberFormat="1" applyFont="1" applyFill="1" applyBorder="1" applyAlignment="1">
      <alignment horizontal="right" vertical="center"/>
    </xf>
    <xf numFmtId="187" fontId="2" fillId="0" borderId="9" xfId="54" applyNumberFormat="1" applyFont="1" applyFill="1" applyBorder="1" applyAlignment="1">
      <alignment horizontal="right" vertical="center"/>
    </xf>
    <xf numFmtId="0" fontId="2" fillId="0" borderId="30" xfId="28" applyFont="1" applyFill="1" applyBorder="1" applyAlignment="1">
      <alignment horizontal="left" vertical="center"/>
    </xf>
    <xf numFmtId="182" fontId="2" fillId="0" borderId="25" xfId="28" applyNumberFormat="1" applyFont="1" applyFill="1" applyBorder="1" applyAlignment="1">
      <alignment horizontal="center" vertical="center"/>
    </xf>
    <xf numFmtId="182" fontId="2" fillId="0" borderId="11" xfId="28" applyNumberFormat="1" applyFont="1" applyFill="1" applyBorder="1" applyAlignment="1">
      <alignment horizontal="center" vertical="center"/>
    </xf>
    <xf numFmtId="0" fontId="2" fillId="0" borderId="10" xfId="28" applyFont="1" applyFill="1" applyBorder="1" applyAlignment="1">
      <alignment horizontal="left" vertical="center"/>
    </xf>
    <xf numFmtId="187" fontId="2" fillId="0" borderId="11" xfId="54" applyNumberFormat="1" applyFont="1" applyFill="1" applyBorder="1" applyAlignment="1">
      <alignment horizontal="right" vertical="center"/>
    </xf>
    <xf numFmtId="1" fontId="2" fillId="0" borderId="10" xfId="28" applyNumberFormat="1" applyFont="1" applyFill="1" applyBorder="1" applyAlignment="1">
      <alignment horizontal="center" vertical="center"/>
    </xf>
    <xf numFmtId="187" fontId="2" fillId="0" borderId="22" xfId="54" applyNumberFormat="1" applyFont="1" applyFill="1" applyBorder="1" applyAlignment="1">
      <alignment horizontal="center" vertical="center"/>
    </xf>
    <xf numFmtId="187" fontId="2" fillId="17" borderId="10" xfId="54" applyNumberFormat="1" applyFont="1" applyFill="1" applyBorder="1" applyAlignment="1">
      <alignment horizontal="right" vertical="center"/>
    </xf>
    <xf numFmtId="180" fontId="4" fillId="0" borderId="0" xfId="54" applyFont="1" applyFill="1" applyAlignment="1">
      <alignment vertical="center"/>
    </xf>
    <xf numFmtId="180" fontId="2" fillId="0" borderId="0" xfId="54" applyFont="1" applyFill="1" applyAlignment="1">
      <alignment vertical="center"/>
    </xf>
    <xf numFmtId="180" fontId="18" fillId="0" borderId="34" xfId="54" applyFont="1" applyFill="1" applyBorder="1" applyAlignment="1">
      <alignment vertical="center"/>
    </xf>
    <xf numFmtId="180" fontId="2" fillId="0" borderId="22" xfId="54" applyFont="1" applyFill="1" applyBorder="1" applyAlignment="1">
      <alignment horizontal="right" vertical="center"/>
    </xf>
    <xf numFmtId="180" fontId="19" fillId="0" borderId="34" xfId="54" applyFont="1" applyFill="1" applyBorder="1" applyAlignment="1">
      <alignment vertical="center"/>
    </xf>
    <xf numFmtId="187" fontId="2" fillId="0" borderId="35" xfId="54" applyNumberFormat="1" applyFont="1" applyFill="1" applyBorder="1" applyAlignment="1">
      <alignment horizontal="right" vertical="center"/>
    </xf>
    <xf numFmtId="182" fontId="2" fillId="0" borderId="36" xfId="28" applyNumberFormat="1" applyFont="1" applyBorder="1" applyAlignment="1">
      <alignment horizontal="center" vertical="center"/>
    </xf>
    <xf numFmtId="182" fontId="2" fillId="0" borderId="35" xfId="28" applyNumberFormat="1" applyFont="1" applyBorder="1" applyAlignment="1">
      <alignment horizontal="center" vertical="center"/>
    </xf>
    <xf numFmtId="0" fontId="4" fillId="0" borderId="37" xfId="28" applyFont="1" applyBorder="1" applyAlignment="1">
      <alignment vertical="center"/>
    </xf>
    <xf numFmtId="187" fontId="11" fillId="0" borderId="0" xfId="8" applyNumberFormat="1" applyFont="1" applyAlignment="1">
      <alignment vertical="center"/>
    </xf>
    <xf numFmtId="0" fontId="4" fillId="0" borderId="0" xfId="8" applyFont="1" applyAlignment="1">
      <alignment horizontal="left" vertical="center"/>
    </xf>
    <xf numFmtId="187" fontId="4" fillId="0" borderId="15" xfId="54" applyNumberFormat="1" applyFont="1" applyBorder="1" applyAlignment="1">
      <alignment horizontal="right" vertical="center"/>
    </xf>
    <xf numFmtId="187" fontId="2" fillId="0" borderId="0" xfId="8" applyNumberFormat="1" applyFont="1" applyAlignment="1">
      <alignment vertical="center"/>
    </xf>
    <xf numFmtId="182" fontId="4" fillId="0" borderId="38" xfId="28" applyNumberFormat="1" applyFont="1" applyBorder="1" applyAlignment="1">
      <alignment horizontal="center" vertical="center"/>
    </xf>
    <xf numFmtId="182" fontId="4" fillId="0" borderId="39" xfId="28" applyNumberFormat="1" applyFont="1" applyBorder="1" applyAlignment="1">
      <alignment horizontal="center" vertical="center"/>
    </xf>
    <xf numFmtId="182" fontId="4" fillId="0" borderId="40" xfId="28" applyNumberFormat="1" applyFont="1" applyBorder="1" applyAlignment="1">
      <alignment horizontal="center" vertical="center"/>
    </xf>
    <xf numFmtId="179" fontId="4" fillId="0" borderId="20" xfId="28" applyNumberFormat="1" applyFont="1" applyBorder="1" applyAlignment="1">
      <alignment horizontal="center" vertical="center"/>
    </xf>
    <xf numFmtId="179" fontId="4" fillId="0" borderId="0" xfId="28" applyNumberFormat="1" applyFont="1" applyAlignment="1">
      <alignment horizontal="center" vertical="center"/>
    </xf>
    <xf numFmtId="179" fontId="4" fillId="0" borderId="21" xfId="28" applyNumberFormat="1" applyFont="1" applyBorder="1" applyAlignment="1">
      <alignment horizontal="center" vertical="center"/>
    </xf>
    <xf numFmtId="182" fontId="4" fillId="0" borderId="41" xfId="28" applyNumberFormat="1" applyFont="1" applyBorder="1" applyAlignment="1">
      <alignment horizontal="center" vertical="center"/>
    </xf>
    <xf numFmtId="0" fontId="4" fillId="0" borderId="41" xfId="28" applyFont="1" applyBorder="1" applyAlignment="1">
      <alignment vertical="center"/>
    </xf>
    <xf numFmtId="0" fontId="2" fillId="0" borderId="0" xfId="28" applyFont="1" applyBorder="1" applyAlignment="1">
      <alignment vertical="center"/>
    </xf>
    <xf numFmtId="179" fontId="4" fillId="0" borderId="22" xfId="28" applyNumberFormat="1" applyFont="1" applyBorder="1" applyAlignment="1">
      <alignment horizontal="center" vertical="center"/>
    </xf>
    <xf numFmtId="182" fontId="4" fillId="0" borderId="42" xfId="28" applyNumberFormat="1" applyFont="1" applyBorder="1" applyAlignment="1">
      <alignment horizontal="center" vertical="center"/>
    </xf>
    <xf numFmtId="0" fontId="4" fillId="0" borderId="42" xfId="28" applyFont="1" applyBorder="1" applyAlignment="1">
      <alignment vertical="center"/>
    </xf>
    <xf numFmtId="0" fontId="2" fillId="0" borderId="5" xfId="28" applyFont="1" applyBorder="1" applyAlignment="1">
      <alignment horizontal="left" vertical="center"/>
    </xf>
    <xf numFmtId="186" fontId="4" fillId="0" borderId="42" xfId="28" applyNumberFormat="1" applyFont="1" applyBorder="1" applyAlignment="1">
      <alignment horizontal="center" vertical="center"/>
    </xf>
    <xf numFmtId="182" fontId="2" fillId="18" borderId="25" xfId="28" applyNumberFormat="1" applyFont="1" applyFill="1" applyBorder="1" applyAlignment="1">
      <alignment horizontal="center" vertical="center"/>
    </xf>
    <xf numFmtId="182" fontId="2" fillId="18" borderId="10" xfId="28" applyNumberFormat="1" applyFont="1" applyFill="1" applyBorder="1" applyAlignment="1">
      <alignment horizontal="center" vertical="center"/>
    </xf>
    <xf numFmtId="182" fontId="2" fillId="18" borderId="30" xfId="28" applyNumberFormat="1" applyFont="1" applyFill="1" applyBorder="1" applyAlignment="1">
      <alignment horizontal="center" vertical="center"/>
    </xf>
    <xf numFmtId="0" fontId="2" fillId="18" borderId="22" xfId="28" applyFont="1" applyFill="1" applyBorder="1" applyAlignment="1">
      <alignment horizontal="left" vertical="center"/>
    </xf>
    <xf numFmtId="187" fontId="2" fillId="18" borderId="22" xfId="54" applyNumberFormat="1" applyFont="1" applyFill="1" applyBorder="1" applyAlignment="1">
      <alignment horizontal="right" vertical="center"/>
    </xf>
    <xf numFmtId="187" fontId="2" fillId="18" borderId="25" xfId="54" applyNumberFormat="1" applyFont="1" applyFill="1" applyBorder="1" applyAlignment="1">
      <alignment horizontal="right" vertical="center"/>
    </xf>
    <xf numFmtId="187" fontId="2" fillId="18" borderId="43" xfId="54" applyNumberFormat="1" applyFont="1" applyFill="1" applyBorder="1" applyAlignment="1">
      <alignment horizontal="right" vertical="center"/>
    </xf>
    <xf numFmtId="182" fontId="2" fillId="18" borderId="22" xfId="28" applyNumberFormat="1" applyFont="1" applyFill="1" applyBorder="1" applyAlignment="1">
      <alignment horizontal="center" vertical="center"/>
    </xf>
    <xf numFmtId="182" fontId="9" fillId="5" borderId="0" xfId="28" applyNumberFormat="1" applyFont="1" applyFill="1" applyBorder="1" applyAlignment="1">
      <alignment horizontal="center" vertical="center"/>
    </xf>
    <xf numFmtId="182" fontId="9" fillId="5" borderId="9" xfId="28" applyNumberFormat="1" applyFont="1" applyFill="1" applyBorder="1" applyAlignment="1">
      <alignment horizontal="center" vertical="center"/>
    </xf>
    <xf numFmtId="182" fontId="9" fillId="5" borderId="43" xfId="28" applyNumberFormat="1" applyFont="1" applyFill="1" applyBorder="1" applyAlignment="1">
      <alignment horizontal="center" vertical="center"/>
    </xf>
    <xf numFmtId="0" fontId="9" fillId="5" borderId="22" xfId="28" applyFont="1" applyFill="1" applyBorder="1" applyAlignment="1">
      <alignment horizontal="left" vertical="center"/>
    </xf>
    <xf numFmtId="0" fontId="9" fillId="5" borderId="0" xfId="28" applyFont="1" applyFill="1" applyBorder="1" applyAlignment="1">
      <alignment horizontal="left" vertical="center"/>
    </xf>
    <xf numFmtId="187" fontId="9" fillId="5" borderId="9" xfId="54" applyNumberFormat="1" applyFont="1" applyFill="1" applyBorder="1" applyAlignment="1">
      <alignment horizontal="right" vertical="center"/>
    </xf>
    <xf numFmtId="187" fontId="9" fillId="5" borderId="10" xfId="54" applyNumberFormat="1" applyFont="1" applyFill="1" applyBorder="1" applyAlignment="1">
      <alignment horizontal="right" vertical="center"/>
    </xf>
    <xf numFmtId="0" fontId="9" fillId="5" borderId="25" xfId="28" applyFont="1" applyFill="1" applyBorder="1" applyAlignment="1">
      <alignment horizontal="left" vertical="center"/>
    </xf>
    <xf numFmtId="0" fontId="9" fillId="5" borderId="10" xfId="28" applyFont="1" applyFill="1" applyBorder="1" applyAlignment="1">
      <alignment horizontal="left" vertical="center"/>
    </xf>
    <xf numFmtId="182" fontId="2" fillId="0" borderId="9" xfId="28" applyNumberFormat="1" applyFont="1" applyFill="1" applyBorder="1" applyAlignment="1">
      <alignment horizontal="center" vertical="center"/>
    </xf>
    <xf numFmtId="182" fontId="2" fillId="0" borderId="43" xfId="28" applyNumberFormat="1" applyFont="1" applyFill="1" applyBorder="1" applyAlignment="1">
      <alignment horizontal="center" vertical="center"/>
    </xf>
    <xf numFmtId="0" fontId="2" fillId="0" borderId="25" xfId="28" applyFont="1" applyFill="1" applyBorder="1" applyAlignment="1">
      <alignment horizontal="left" vertical="center"/>
    </xf>
    <xf numFmtId="182" fontId="9" fillId="0" borderId="9" xfId="28" applyNumberFormat="1" applyFont="1" applyFill="1" applyBorder="1" applyAlignment="1">
      <alignment horizontal="center" vertical="center"/>
    </xf>
    <xf numFmtId="1" fontId="2" fillId="0" borderId="9" xfId="2" applyNumberFormat="1" applyFont="1" applyFill="1" applyBorder="1" applyAlignment="1">
      <alignment horizontal="center" vertical="center"/>
    </xf>
    <xf numFmtId="182" fontId="2" fillId="5" borderId="0" xfId="28" applyNumberFormat="1" applyFont="1" applyFill="1" applyBorder="1" applyAlignment="1">
      <alignment horizontal="center" vertical="center"/>
    </xf>
    <xf numFmtId="1" fontId="2" fillId="5" borderId="9" xfId="2" applyNumberFormat="1" applyFont="1" applyFill="1" applyBorder="1" applyAlignment="1">
      <alignment horizontal="center" vertical="center"/>
    </xf>
    <xf numFmtId="182" fontId="2" fillId="5" borderId="9" xfId="28" applyNumberFormat="1" applyFont="1" applyFill="1" applyBorder="1" applyAlignment="1">
      <alignment horizontal="center" vertical="center"/>
    </xf>
    <xf numFmtId="0" fontId="2" fillId="5" borderId="0" xfId="28" applyFont="1" applyFill="1" applyBorder="1" applyAlignment="1">
      <alignment horizontal="left" vertical="center"/>
    </xf>
    <xf numFmtId="0" fontId="2" fillId="5" borderId="10" xfId="28" applyFont="1" applyFill="1" applyBorder="1" applyAlignment="1">
      <alignment horizontal="left" vertical="center"/>
    </xf>
    <xf numFmtId="187" fontId="2" fillId="5" borderId="9" xfId="54" applyNumberFormat="1" applyFont="1" applyFill="1" applyBorder="1" applyAlignment="1">
      <alignment horizontal="right" vertical="center"/>
    </xf>
    <xf numFmtId="187" fontId="2" fillId="5" borderId="10" xfId="54" applyNumberFormat="1" applyFont="1" applyFill="1" applyBorder="1" applyAlignment="1">
      <alignment horizontal="right" vertical="center"/>
    </xf>
    <xf numFmtId="0" fontId="2" fillId="0" borderId="9" xfId="2" applyNumberFormat="1" applyFont="1" applyFill="1" applyBorder="1" applyAlignment="1">
      <alignment horizontal="center" vertical="center"/>
    </xf>
    <xf numFmtId="182" fontId="2" fillId="0" borderId="38" xfId="8" applyNumberFormat="1" applyFont="1" applyBorder="1" applyAlignment="1">
      <alignment vertical="center"/>
    </xf>
    <xf numFmtId="182" fontId="2" fillId="0" borderId="1" xfId="8" applyNumberFormat="1" applyFont="1" applyBorder="1" applyAlignment="1">
      <alignment vertical="center"/>
    </xf>
    <xf numFmtId="0" fontId="2" fillId="0" borderId="38" xfId="8" applyFont="1" applyBorder="1" applyAlignment="1">
      <alignment horizontal="left" vertical="center"/>
    </xf>
    <xf numFmtId="0" fontId="2" fillId="0" borderId="1" xfId="8" applyFont="1" applyBorder="1" applyAlignment="1">
      <alignment vertical="center"/>
    </xf>
    <xf numFmtId="187" fontId="2" fillId="0" borderId="38" xfId="8" applyNumberFormat="1" applyFont="1" applyBorder="1" applyAlignment="1">
      <alignment vertical="center"/>
    </xf>
    <xf numFmtId="187" fontId="2" fillId="0" borderId="1" xfId="8" applyNumberFormat="1" applyFont="1" applyBorder="1" applyAlignment="1">
      <alignment vertical="center"/>
    </xf>
    <xf numFmtId="40" fontId="2" fillId="0" borderId="0" xfId="8" applyNumberFormat="1" applyFont="1" applyAlignment="1">
      <alignment vertical="center"/>
    </xf>
    <xf numFmtId="187" fontId="9" fillId="0" borderId="0" xfId="54" applyNumberFormat="1" applyFont="1" applyAlignment="1">
      <alignment horizontal="right" vertical="center"/>
    </xf>
    <xf numFmtId="187" fontId="4" fillId="0" borderId="15" xfId="54" applyNumberFormat="1" applyFont="1" applyFill="1" applyBorder="1" applyAlignment="1">
      <alignment horizontal="right" vertical="center"/>
    </xf>
    <xf numFmtId="179" fontId="4" fillId="0" borderId="27" xfId="28" applyNumberFormat="1" applyFont="1" applyBorder="1" applyAlignment="1">
      <alignment horizontal="center" vertical="center"/>
    </xf>
    <xf numFmtId="179" fontId="4" fillId="0" borderId="28" xfId="28" applyNumberFormat="1" applyFont="1" applyBorder="1" applyAlignment="1">
      <alignment horizontal="center" vertical="center"/>
    </xf>
    <xf numFmtId="179" fontId="2" fillId="0" borderId="0" xfId="28" applyNumberFormat="1" applyFont="1" applyAlignment="1">
      <alignment vertical="center"/>
    </xf>
    <xf numFmtId="179" fontId="4" fillId="0" borderId="42" xfId="28" applyNumberFormat="1" applyFont="1" applyBorder="1" applyAlignment="1">
      <alignment horizontal="center" vertical="center"/>
    </xf>
    <xf numFmtId="179" fontId="4" fillId="12" borderId="22" xfId="28" applyNumberFormat="1" applyFont="1" applyFill="1" applyBorder="1" applyAlignment="1">
      <alignment horizontal="center" vertical="center"/>
    </xf>
    <xf numFmtId="187" fontId="2" fillId="0" borderId="1" xfId="2" applyNumberFormat="1" applyFont="1" applyBorder="1" applyAlignment="1">
      <alignment vertical="center"/>
    </xf>
    <xf numFmtId="187" fontId="2" fillId="0" borderId="1" xfId="8" applyNumberFormat="1" applyFont="1" applyFill="1" applyBorder="1" applyAlignment="1">
      <alignment vertical="center"/>
    </xf>
    <xf numFmtId="187" fontId="9" fillId="5" borderId="43" xfId="54" applyNumberFormat="1" applyFont="1" applyFill="1" applyBorder="1" applyAlignment="1">
      <alignment horizontal="right" vertical="center"/>
    </xf>
    <xf numFmtId="187" fontId="9" fillId="5" borderId="25" xfId="54" applyNumberFormat="1" applyFont="1" applyFill="1" applyBorder="1" applyAlignment="1">
      <alignment horizontal="right" vertical="center"/>
    </xf>
    <xf numFmtId="187" fontId="9" fillId="5" borderId="0" xfId="54" applyNumberFormat="1" applyFont="1" applyFill="1" applyBorder="1" applyAlignment="1">
      <alignment horizontal="right" vertical="center"/>
    </xf>
    <xf numFmtId="187" fontId="2" fillId="0" borderId="1" xfId="2" applyNumberFormat="1" applyFont="1" applyFill="1" applyBorder="1" applyAlignment="1">
      <alignment vertical="center"/>
    </xf>
    <xf numFmtId="187" fontId="2" fillId="5" borderId="0" xfId="54" applyNumberFormat="1" applyFont="1" applyFill="1" applyBorder="1" applyAlignment="1">
      <alignment horizontal="right" vertical="center"/>
    </xf>
    <xf numFmtId="185" fontId="4" fillId="0" borderId="20" xfId="28" applyNumberFormat="1" applyFont="1" applyBorder="1" applyAlignment="1">
      <alignment horizontal="center" vertical="center"/>
    </xf>
    <xf numFmtId="179" fontId="4" fillId="0" borderId="22" xfId="28" applyNumberFormat="1" applyFont="1" applyFill="1" applyBorder="1" applyAlignment="1">
      <alignment horizontal="center" vertical="center"/>
    </xf>
    <xf numFmtId="187" fontId="2" fillId="5" borderId="1" xfId="8" applyNumberFormat="1" applyFont="1" applyFill="1" applyBorder="1" applyAlignment="1">
      <alignment vertical="center"/>
    </xf>
    <xf numFmtId="40" fontId="2" fillId="0" borderId="1" xfId="8" applyNumberFormat="1" applyFont="1" applyBorder="1" applyAlignment="1">
      <alignment vertical="center"/>
    </xf>
    <xf numFmtId="40" fontId="2" fillId="0" borderId="1" xfId="8" applyNumberFormat="1" applyFont="1" applyFill="1" applyBorder="1" applyAlignment="1">
      <alignment vertical="center"/>
    </xf>
    <xf numFmtId="187" fontId="4" fillId="8" borderId="15" xfId="54" applyNumberFormat="1" applyFont="1" applyFill="1" applyBorder="1" applyAlignment="1">
      <alignment horizontal="right" vertical="center"/>
    </xf>
    <xf numFmtId="180" fontId="4" fillId="0" borderId="15" xfId="54" applyFont="1" applyBorder="1" applyAlignment="1">
      <alignment horizontal="right" vertical="center"/>
    </xf>
    <xf numFmtId="187" fontId="4" fillId="0" borderId="0" xfId="54" applyNumberFormat="1" applyFont="1" applyAlignment="1">
      <alignment horizontal="center" vertical="center"/>
    </xf>
    <xf numFmtId="180" fontId="4" fillId="0" borderId="0" xfId="54" applyFont="1" applyAlignment="1">
      <alignment horizontal="right" vertical="center"/>
    </xf>
    <xf numFmtId="187" fontId="2" fillId="12" borderId="0" xfId="8" applyNumberFormat="1" applyFont="1" applyFill="1" applyAlignment="1">
      <alignment vertical="center"/>
    </xf>
    <xf numFmtId="40" fontId="2" fillId="0" borderId="1" xfId="2" applyNumberFormat="1" applyFont="1" applyBorder="1" applyAlignment="1">
      <alignment vertical="center"/>
    </xf>
    <xf numFmtId="40" fontId="2" fillId="0" borderId="0" xfId="8" applyNumberFormat="1" applyFont="1" applyFill="1" applyAlignment="1">
      <alignment vertical="center"/>
    </xf>
    <xf numFmtId="39" fontId="2" fillId="0" borderId="0" xfId="8" applyNumberFormat="1" applyFont="1" applyFill="1" applyAlignment="1">
      <alignment vertical="center"/>
    </xf>
    <xf numFmtId="40" fontId="2" fillId="12" borderId="0" xfId="8" applyNumberFormat="1" applyFont="1" applyFill="1" applyAlignment="1">
      <alignment vertical="center"/>
    </xf>
    <xf numFmtId="40" fontId="4" fillId="8" borderId="44" xfId="8" applyNumberFormat="1" applyFont="1" applyFill="1" applyBorder="1" applyAlignment="1">
      <alignment vertical="center"/>
    </xf>
    <xf numFmtId="180" fontId="18" fillId="0" borderId="44" xfId="54" applyFont="1" applyBorder="1" applyAlignment="1">
      <alignment vertical="center"/>
    </xf>
    <xf numFmtId="180" fontId="18" fillId="0" borderId="0" xfId="54" applyFont="1" applyAlignment="1">
      <alignment vertical="center"/>
    </xf>
    <xf numFmtId="182" fontId="4" fillId="0" borderId="0" xfId="8" applyNumberFormat="1" applyFont="1" applyAlignment="1">
      <alignment vertical="center"/>
    </xf>
    <xf numFmtId="0" fontId="4" fillId="0" borderId="0" xfId="45" applyFont="1" applyAlignment="1">
      <alignment vertical="center"/>
    </xf>
    <xf numFmtId="185" fontId="4" fillId="0" borderId="0" xfId="45" applyNumberFormat="1" applyFont="1" applyAlignment="1">
      <alignment horizontal="left" vertical="center"/>
    </xf>
    <xf numFmtId="176" fontId="20" fillId="0" borderId="0" xfId="21" applyFont="1" applyAlignment="1">
      <alignment vertical="center"/>
    </xf>
    <xf numFmtId="0" fontId="20" fillId="0" borderId="0" xfId="36" applyFont="1" applyAlignment="1">
      <alignment vertical="center"/>
    </xf>
    <xf numFmtId="0" fontId="21" fillId="0" borderId="0" xfId="36" applyFont="1" applyAlignment="1">
      <alignment vertical="center"/>
    </xf>
    <xf numFmtId="185" fontId="20" fillId="19" borderId="0" xfId="36" applyNumberFormat="1" applyFont="1" applyFill="1" applyAlignment="1">
      <alignment vertical="center"/>
    </xf>
    <xf numFmtId="0" fontId="20" fillId="20" borderId="1" xfId="36" applyFont="1" applyFill="1" applyBorder="1" applyAlignment="1">
      <alignment horizontal="right" vertical="center"/>
    </xf>
    <xf numFmtId="189" fontId="20" fillId="0" borderId="1" xfId="36" applyNumberFormat="1" applyFont="1" applyBorder="1" applyAlignment="1">
      <alignment vertical="center"/>
    </xf>
    <xf numFmtId="190" fontId="20" fillId="0" borderId="1" xfId="21" applyNumberFormat="1" applyFont="1" applyBorder="1" applyAlignment="1">
      <alignment vertical="center"/>
    </xf>
    <xf numFmtId="184" fontId="20" fillId="0" borderId="1" xfId="21" applyNumberFormat="1" applyFont="1" applyBorder="1" applyAlignment="1">
      <alignment horizontal="right" vertical="center"/>
    </xf>
    <xf numFmtId="0" fontId="20" fillId="21" borderId="1" xfId="36" applyFont="1" applyFill="1" applyBorder="1" applyAlignment="1">
      <alignment horizontal="right" vertical="center"/>
    </xf>
    <xf numFmtId="0" fontId="21" fillId="0" borderId="0" xfId="36" applyFont="1" applyAlignment="1">
      <alignment horizontal="left" vertical="center"/>
    </xf>
    <xf numFmtId="0" fontId="20" fillId="0" borderId="0" xfId="36" applyFont="1" applyAlignment="1">
      <alignment horizontal="center" vertical="center"/>
    </xf>
    <xf numFmtId="176" fontId="22" fillId="3" borderId="2" xfId="21" applyFont="1" applyFill="1" applyBorder="1" applyAlignment="1">
      <alignment horizontal="center" vertical="center"/>
    </xf>
    <xf numFmtId="0" fontId="2" fillId="0" borderId="0" xfId="45" applyFont="1" applyAlignment="1">
      <alignment vertical="center"/>
    </xf>
    <xf numFmtId="0" fontId="2" fillId="0" borderId="0" xfId="45" applyFont="1" applyFill="1" applyAlignment="1">
      <alignment vertical="center"/>
    </xf>
    <xf numFmtId="185" fontId="20" fillId="0" borderId="0" xfId="36" applyNumberFormat="1" applyFont="1" applyFill="1" applyAlignment="1">
      <alignment horizontal="center" vertical="center"/>
    </xf>
    <xf numFmtId="40" fontId="20" fillId="0" borderId="9" xfId="21" applyNumberFormat="1" applyFont="1" applyFill="1" applyBorder="1" applyAlignment="1">
      <alignment vertical="center"/>
    </xf>
    <xf numFmtId="40" fontId="2" fillId="0" borderId="10" xfId="21" applyNumberFormat="1" applyFont="1" applyFill="1" applyBorder="1" applyAlignment="1">
      <alignment vertical="center"/>
    </xf>
    <xf numFmtId="185" fontId="20" fillId="0" borderId="0" xfId="36" applyNumberFormat="1" applyFont="1" applyAlignment="1">
      <alignment horizontal="center" vertical="center"/>
    </xf>
    <xf numFmtId="40" fontId="20" fillId="0" borderId="9" xfId="21" applyNumberFormat="1" applyFont="1" applyBorder="1" applyAlignment="1">
      <alignment vertical="center"/>
    </xf>
    <xf numFmtId="40" fontId="2" fillId="0" borderId="10" xfId="21" applyNumberFormat="1" applyFont="1" applyBorder="1" applyAlignment="1">
      <alignment vertical="center"/>
    </xf>
    <xf numFmtId="40" fontId="21" fillId="0" borderId="9" xfId="21" applyNumberFormat="1" applyFont="1" applyBorder="1" applyAlignment="1">
      <alignment vertical="center"/>
    </xf>
    <xf numFmtId="0" fontId="20" fillId="0" borderId="9" xfId="36" applyFont="1" applyBorder="1" applyAlignment="1">
      <alignment vertical="center"/>
    </xf>
    <xf numFmtId="40" fontId="20" fillId="0" borderId="10" xfId="21" applyNumberFormat="1" applyFont="1" applyBorder="1" applyAlignment="1">
      <alignment vertical="center"/>
    </xf>
    <xf numFmtId="40" fontId="20" fillId="0" borderId="10" xfId="21" applyNumberFormat="1" applyFont="1" applyFill="1" applyBorder="1" applyAlignment="1">
      <alignment vertical="center"/>
    </xf>
    <xf numFmtId="40" fontId="21" fillId="0" borderId="10" xfId="21" applyNumberFormat="1" applyFont="1" applyBorder="1" applyAlignment="1">
      <alignment vertical="center"/>
    </xf>
    <xf numFmtId="185" fontId="21" fillId="0" borderId="0" xfId="36" applyNumberFormat="1" applyFont="1" applyAlignment="1">
      <alignment horizontal="center" vertical="center"/>
    </xf>
    <xf numFmtId="0" fontId="20" fillId="0" borderId="0" xfId="36" applyFont="1" applyFill="1" applyAlignment="1">
      <alignment vertical="center"/>
    </xf>
    <xf numFmtId="40" fontId="20" fillId="8" borderId="10" xfId="21" applyNumberFormat="1" applyFont="1" applyFill="1" applyBorder="1" applyAlignment="1">
      <alignment vertical="center"/>
    </xf>
    <xf numFmtId="40" fontId="2" fillId="8" borderId="10" xfId="21" applyNumberFormat="1" applyFont="1" applyFill="1" applyBorder="1" applyAlignment="1">
      <alignment vertical="center"/>
    </xf>
    <xf numFmtId="2" fontId="23" fillId="0" borderId="0" xfId="45" applyNumberFormat="1" applyFont="1" applyAlignment="1">
      <alignment vertical="center"/>
    </xf>
    <xf numFmtId="2" fontId="24" fillId="0" borderId="0" xfId="36" applyNumberFormat="1" applyFont="1" applyAlignment="1">
      <alignment horizontal="center" vertical="center"/>
    </xf>
    <xf numFmtId="40" fontId="24" fillId="0" borderId="10" xfId="21" applyNumberFormat="1" applyFont="1" applyBorder="1" applyAlignment="1">
      <alignment vertical="center"/>
    </xf>
    <xf numFmtId="40" fontId="23" fillId="0" borderId="10" xfId="21" applyNumberFormat="1" applyFont="1" applyBorder="1" applyAlignment="1">
      <alignment vertical="center"/>
    </xf>
    <xf numFmtId="185" fontId="2" fillId="0" borderId="0" xfId="45" applyNumberFormat="1" applyFont="1" applyFill="1" applyAlignment="1">
      <alignment horizontal="left" vertical="center"/>
    </xf>
    <xf numFmtId="40" fontId="20" fillId="5" borderId="10" xfId="21" applyNumberFormat="1" applyFont="1" applyFill="1" applyBorder="1" applyAlignment="1">
      <alignment vertical="center"/>
    </xf>
    <xf numFmtId="40" fontId="20" fillId="0" borderId="10" xfId="2" applyNumberFormat="1" applyFont="1" applyBorder="1" applyAlignment="1">
      <alignment vertical="center"/>
    </xf>
    <xf numFmtId="40" fontId="2" fillId="0" borderId="10" xfId="2" applyNumberFormat="1" applyFont="1" applyBorder="1" applyAlignment="1">
      <alignment vertical="center"/>
    </xf>
    <xf numFmtId="184" fontId="20" fillId="0" borderId="1" xfId="21" applyNumberFormat="1" applyFont="1" applyBorder="1" applyAlignment="1">
      <alignment vertical="center"/>
    </xf>
    <xf numFmtId="184" fontId="2" fillId="0" borderId="1" xfId="21" applyNumberFormat="1" applyFont="1" applyBorder="1" applyAlignment="1">
      <alignment vertical="center"/>
    </xf>
    <xf numFmtId="184" fontId="2" fillId="0" borderId="1" xfId="21" applyNumberFormat="1" applyFont="1" applyBorder="1" applyAlignment="1">
      <alignment horizontal="right" vertical="center"/>
    </xf>
    <xf numFmtId="184" fontId="20" fillId="0" borderId="0" xfId="21" applyNumberFormat="1" applyFont="1" applyAlignment="1">
      <alignment vertical="center"/>
    </xf>
    <xf numFmtId="184" fontId="2" fillId="0" borderId="0" xfId="21" applyNumberFormat="1" applyFont="1" applyAlignment="1">
      <alignment vertical="center"/>
    </xf>
    <xf numFmtId="176" fontId="20" fillId="0" borderId="0" xfId="58" applyFont="1" applyAlignment="1">
      <alignment vertical="center"/>
    </xf>
    <xf numFmtId="185" fontId="4" fillId="0" borderId="0" xfId="45" applyNumberFormat="1" applyFont="1" applyFill="1" applyAlignment="1">
      <alignment horizontal="left" vertical="center"/>
    </xf>
    <xf numFmtId="176" fontId="21" fillId="0" borderId="10" xfId="21" applyFont="1" applyBorder="1" applyAlignment="1">
      <alignment vertical="center"/>
    </xf>
    <xf numFmtId="2" fontId="23" fillId="0" borderId="0" xfId="45" applyNumberFormat="1" applyFont="1" applyFill="1" applyAlignment="1">
      <alignment vertical="center"/>
    </xf>
    <xf numFmtId="2" fontId="24" fillId="0" borderId="0" xfId="36" applyNumberFormat="1" applyFont="1" applyFill="1" applyAlignment="1">
      <alignment horizontal="center" vertical="center"/>
    </xf>
    <xf numFmtId="40" fontId="24" fillId="0" borderId="10" xfId="21" applyNumberFormat="1" applyFont="1" applyFill="1" applyBorder="1" applyAlignment="1">
      <alignment vertical="center"/>
    </xf>
    <xf numFmtId="40" fontId="23" fillId="0" borderId="10" xfId="21" applyNumberFormat="1" applyFont="1" applyFill="1" applyBorder="1" applyAlignment="1">
      <alignment vertical="center"/>
    </xf>
    <xf numFmtId="40" fontId="9" fillId="0" borderId="10" xfId="21" applyNumberFormat="1" applyFont="1" applyFill="1" applyBorder="1" applyAlignment="1">
      <alignment vertical="center"/>
    </xf>
    <xf numFmtId="0" fontId="9" fillId="0" borderId="0" xfId="36" applyFont="1" applyAlignment="1">
      <alignment vertical="center"/>
    </xf>
    <xf numFmtId="40" fontId="20" fillId="0" borderId="7" xfId="21" applyNumberFormat="1" applyFont="1" applyFill="1" applyBorder="1" applyAlignment="1">
      <alignment vertical="center"/>
    </xf>
    <xf numFmtId="40" fontId="9" fillId="0" borderId="7" xfId="21" applyNumberFormat="1" applyFont="1" applyFill="1" applyBorder="1" applyAlignment="1">
      <alignment vertical="center"/>
    </xf>
    <xf numFmtId="0" fontId="20" fillId="0" borderId="0" xfId="36" applyFont="1" applyBorder="1" applyAlignment="1">
      <alignment vertical="center"/>
    </xf>
    <xf numFmtId="40" fontId="20" fillId="0" borderId="7" xfId="21" applyNumberFormat="1" applyFont="1" applyBorder="1" applyAlignment="1">
      <alignment vertical="center"/>
    </xf>
    <xf numFmtId="179" fontId="21" fillId="0" borderId="10" xfId="2" applyFont="1" applyBorder="1" applyAlignment="1">
      <alignment vertical="center"/>
    </xf>
    <xf numFmtId="0" fontId="24" fillId="0" borderId="0" xfId="36" applyFont="1" applyFill="1" applyAlignment="1">
      <alignment vertical="center"/>
    </xf>
    <xf numFmtId="185" fontId="24" fillId="0" borderId="0" xfId="36" applyNumberFormat="1" applyFont="1" applyFill="1" applyAlignment="1">
      <alignment horizontal="center" vertical="center"/>
    </xf>
    <xf numFmtId="40" fontId="24" fillId="0" borderId="9" xfId="21" applyNumberFormat="1" applyFont="1" applyFill="1" applyBorder="1" applyAlignment="1">
      <alignment vertical="center"/>
    </xf>
    <xf numFmtId="0" fontId="20" fillId="0" borderId="0" xfId="36" applyFont="1" applyFill="1" applyAlignment="1">
      <alignment vertical="center" wrapText="1"/>
    </xf>
    <xf numFmtId="0" fontId="20" fillId="4" borderId="0" xfId="36" applyFont="1" applyFill="1" applyAlignment="1">
      <alignment vertical="center" wrapText="1"/>
    </xf>
    <xf numFmtId="185" fontId="20" fillId="4" borderId="0" xfId="36" applyNumberFormat="1" applyFont="1" applyFill="1" applyAlignment="1">
      <alignment horizontal="center" vertical="center"/>
    </xf>
    <xf numFmtId="40" fontId="20" fillId="4" borderId="9" xfId="21" applyNumberFormat="1" applyFont="1" applyFill="1" applyBorder="1" applyAlignment="1">
      <alignment vertical="center"/>
    </xf>
    <xf numFmtId="40" fontId="20" fillId="4" borderId="10" xfId="21" applyNumberFormat="1" applyFont="1" applyFill="1" applyBorder="1" applyAlignment="1">
      <alignment vertical="center"/>
    </xf>
    <xf numFmtId="40" fontId="21" fillId="0" borderId="8" xfId="21" applyNumberFormat="1" applyFont="1" applyBorder="1" applyAlignment="1">
      <alignment vertical="center"/>
    </xf>
    <xf numFmtId="40" fontId="21" fillId="0" borderId="7" xfId="21" applyNumberFormat="1" applyFont="1" applyBorder="1" applyAlignment="1">
      <alignment vertical="center"/>
    </xf>
    <xf numFmtId="176" fontId="20" fillId="0" borderId="0" xfId="21" applyFont="1" applyAlignment="1">
      <alignment horizontal="center" vertical="center"/>
    </xf>
    <xf numFmtId="40" fontId="20" fillId="0" borderId="0" xfId="21" applyNumberFormat="1" applyFont="1" applyAlignment="1">
      <alignment vertical="center"/>
    </xf>
    <xf numFmtId="176" fontId="20" fillId="12" borderId="0" xfId="21" applyFont="1" applyFill="1" applyBorder="1" applyAlignment="1">
      <alignment vertical="center"/>
    </xf>
    <xf numFmtId="40" fontId="20" fillId="12" borderId="0" xfId="21" applyNumberFormat="1" applyFont="1" applyFill="1" applyBorder="1" applyAlignment="1">
      <alignment vertical="center"/>
    </xf>
    <xf numFmtId="40" fontId="20" fillId="0" borderId="0" xfId="36" applyNumberFormat="1" applyFont="1" applyFill="1" applyAlignment="1">
      <alignment vertical="center"/>
    </xf>
    <xf numFmtId="176" fontId="20" fillId="0" borderId="0" xfId="21" applyFont="1" applyFill="1" applyAlignment="1">
      <alignment vertical="center"/>
    </xf>
    <xf numFmtId="40" fontId="20" fillId="0" borderId="0" xfId="21" applyNumberFormat="1" applyFont="1" applyBorder="1" applyAlignment="1">
      <alignment vertical="center"/>
    </xf>
    <xf numFmtId="0" fontId="9" fillId="0" borderId="0" xfId="36" applyFont="1" applyBorder="1" applyAlignment="1">
      <alignment vertical="center"/>
    </xf>
    <xf numFmtId="0" fontId="20" fillId="0" borderId="0" xfId="36" applyFont="1" applyFill="1" applyBorder="1" applyAlignment="1">
      <alignment horizontal="left" vertical="center"/>
    </xf>
    <xf numFmtId="183" fontId="2" fillId="0" borderId="0" xfId="21" applyNumberFormat="1" applyFont="1" applyAlignment="1">
      <alignment vertical="center"/>
    </xf>
    <xf numFmtId="191" fontId="20" fillId="0" borderId="0" xfId="21" applyNumberFormat="1" applyFont="1" applyFill="1" applyAlignment="1">
      <alignment vertical="center"/>
    </xf>
    <xf numFmtId="40" fontId="20" fillId="0" borderId="5" xfId="21" applyNumberFormat="1" applyFont="1" applyBorder="1" applyAlignment="1">
      <alignment vertical="center"/>
    </xf>
    <xf numFmtId="40" fontId="20" fillId="5" borderId="0" xfId="21" applyNumberFormat="1" applyFont="1" applyFill="1" applyBorder="1" applyAlignment="1">
      <alignment vertical="center"/>
    </xf>
    <xf numFmtId="0" fontId="20" fillId="0" borderId="0" xfId="36" applyFont="1" applyFill="1" applyBorder="1" applyAlignment="1">
      <alignment vertical="center"/>
    </xf>
    <xf numFmtId="0" fontId="20" fillId="0" borderId="9" xfId="36" applyFont="1" applyFill="1" applyBorder="1" applyAlignment="1">
      <alignment vertical="center"/>
    </xf>
    <xf numFmtId="185" fontId="20" fillId="0" borderId="0" xfId="36" applyNumberFormat="1" applyFont="1" applyAlignment="1">
      <alignment horizontal="left" vertical="center"/>
    </xf>
    <xf numFmtId="40" fontId="20" fillId="5" borderId="0" xfId="21" applyNumberFormat="1" applyFont="1" applyFill="1" applyAlignment="1">
      <alignment vertical="center"/>
    </xf>
    <xf numFmtId="40" fontId="20" fillId="0" borderId="15" xfId="21" applyNumberFormat="1" applyFont="1" applyBorder="1" applyAlignment="1">
      <alignment vertical="center"/>
    </xf>
    <xf numFmtId="0" fontId="20" fillId="0" borderId="9" xfId="36" applyFont="1" applyBorder="1" applyAlignment="1">
      <alignment horizontal="left" vertical="center"/>
    </xf>
    <xf numFmtId="40" fontId="20" fillId="5" borderId="15" xfId="21" applyNumberFormat="1" applyFont="1" applyFill="1" applyBorder="1" applyAlignment="1">
      <alignment vertical="center"/>
    </xf>
    <xf numFmtId="0" fontId="20" fillId="0" borderId="0" xfId="36" applyFont="1" applyAlignment="1">
      <alignment horizontal="left" vertical="center"/>
    </xf>
    <xf numFmtId="40" fontId="20" fillId="12" borderId="0" xfId="21" applyNumberFormat="1" applyFont="1" applyFill="1" applyBorder="1" applyAlignment="1">
      <alignment horizontal="center" vertical="center"/>
    </xf>
    <xf numFmtId="40" fontId="20" fillId="0" borderId="0" xfId="36" applyNumberFormat="1" applyFont="1" applyFill="1" applyBorder="1" applyAlignment="1">
      <alignment horizontal="center" vertical="center"/>
    </xf>
    <xf numFmtId="176" fontId="9" fillId="0" borderId="0" xfId="21" applyFont="1" applyAlignment="1">
      <alignment vertical="center"/>
    </xf>
    <xf numFmtId="176" fontId="20" fillId="0" borderId="0" xfId="36" applyNumberFormat="1" applyFont="1" applyBorder="1" applyAlignment="1">
      <alignment vertical="center"/>
    </xf>
    <xf numFmtId="0" fontId="20" fillId="0" borderId="0" xfId="36" applyFont="1" applyBorder="1" applyAlignment="1">
      <alignment horizontal="left" vertical="center"/>
    </xf>
    <xf numFmtId="4" fontId="2" fillId="13" borderId="0" xfId="57" applyFont="1" applyBorder="1" applyAlignment="1" applyProtection="1">
      <alignment vertical="center"/>
      <protection locked="0"/>
    </xf>
    <xf numFmtId="176" fontId="25" fillId="0" borderId="0" xfId="21" applyFont="1" applyAlignment="1">
      <alignment horizontal="left" vertical="center"/>
    </xf>
    <xf numFmtId="176" fontId="21" fillId="0" borderId="0" xfId="21" applyFont="1" applyAlignment="1">
      <alignment vertical="center"/>
    </xf>
    <xf numFmtId="0" fontId="26" fillId="0" borderId="0" xfId="36" applyFont="1" applyAlignment="1">
      <alignment vertical="center"/>
    </xf>
    <xf numFmtId="185" fontId="26" fillId="0" borderId="0" xfId="36" applyNumberFormat="1" applyFont="1" applyAlignment="1">
      <alignment horizontal="center" vertical="center"/>
    </xf>
    <xf numFmtId="176" fontId="9" fillId="0" borderId="0" xfId="58" applyFont="1" applyAlignment="1">
      <alignment horizontal="center" vertical="center"/>
    </xf>
    <xf numFmtId="39" fontId="2" fillId="0" borderId="0" xfId="45" applyNumberFormat="1" applyFont="1" applyAlignment="1">
      <alignment horizontal="right" vertical="center" wrapText="1"/>
    </xf>
    <xf numFmtId="176" fontId="27" fillId="0" borderId="0" xfId="58" applyFont="1" applyAlignment="1">
      <alignment vertical="center"/>
    </xf>
    <xf numFmtId="39" fontId="20" fillId="0" borderId="0" xfId="36" applyNumberFormat="1" applyFont="1" applyAlignment="1">
      <alignment vertical="center"/>
    </xf>
    <xf numFmtId="176" fontId="20" fillId="0" borderId="0" xfId="36" applyNumberFormat="1" applyFont="1" applyAlignment="1">
      <alignment vertical="center"/>
    </xf>
    <xf numFmtId="185" fontId="20" fillId="0" borderId="0" xfId="36" applyNumberFormat="1" applyFont="1" applyAlignment="1">
      <alignment vertical="center"/>
    </xf>
    <xf numFmtId="182" fontId="2" fillId="8" borderId="22" xfId="28" applyNumberFormat="1" applyFont="1" applyFill="1" applyBorder="1" applyAlignment="1" quotePrefix="1">
      <alignment horizontal="center" vertical="center"/>
    </xf>
    <xf numFmtId="182" fontId="2" fillId="0" borderId="22" xfId="28" applyNumberFormat="1" applyFont="1" applyBorder="1" applyAlignment="1" quotePrefix="1">
      <alignment horizontal="center" vertical="center"/>
    </xf>
    <xf numFmtId="0" fontId="2" fillId="4" borderId="0" xfId="24" applyFont="1" applyFill="1" applyAlignment="1" quotePrefix="1">
      <alignment horizontal="center" vertical="center"/>
    </xf>
    <xf numFmtId="0" fontId="9" fillId="0" borderId="0" xfId="24" applyFont="1" applyAlignment="1" quotePrefix="1">
      <alignment horizontal="center" vertical="center"/>
    </xf>
    <xf numFmtId="0" fontId="2" fillId="0" borderId="0" xfId="24" applyFont="1" applyAlignment="1" quotePrefix="1">
      <alignment horizontal="center" vertical="center"/>
    </xf>
    <xf numFmtId="185" fontId="2" fillId="0" borderId="0" xfId="24" applyNumberFormat="1" applyFont="1" applyAlignment="1" quotePrefix="1">
      <alignment horizontal="center" vertical="center"/>
    </xf>
    <xf numFmtId="176" fontId="2" fillId="0" borderId="0" xfId="49" applyFont="1" applyAlignment="1" quotePrefix="1">
      <alignment horizontal="center" vertical="center"/>
    </xf>
    <xf numFmtId="0" fontId="0" fillId="0" borderId="1" xfId="0" applyBorder="1" quotePrefix="1"/>
  </cellXfs>
  <cellStyles count="6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Normal_PatchLink Accounts-Mar 07" xfId="8"/>
    <cellStyle name="60% - Accent4" xfId="9" builtinId="44"/>
    <cellStyle name="Followed Hyperlink" xfId="10" builtinId="9"/>
    <cellStyle name="Check Cell" xfId="11" builtinId="23"/>
    <cellStyle name="Heading 2" xfId="12" builtinId="17"/>
    <cellStyle name="Note" xfId="13" builtinId="10"/>
    <cellStyle name="40% - Accent3" xfId="14" builtinId="39"/>
    <cellStyle name="Warning Text" xfId="15" builtinId="11"/>
    <cellStyle name="40% - Accent2" xfId="16" builtinId="35"/>
    <cellStyle name="Title" xfId="17" builtinId="15"/>
    <cellStyle name="CExplanatory Text" xfId="18" builtinId="53"/>
    <cellStyle name="Heading 1" xfId="19" builtinId="16"/>
    <cellStyle name="Heading 3" xfId="20" builtinId="18"/>
    <cellStyle name="Comma 5 11" xfId="21"/>
    <cellStyle name="Heading 4" xfId="22" builtinId="19"/>
    <cellStyle name="Input" xfId="23" builtinId="20"/>
    <cellStyle name="Normal 6 11 2 2" xfId="24"/>
    <cellStyle name="60% - Accent3" xfId="25" builtinId="40"/>
    <cellStyle name="Good" xfId="26" builtinId="26"/>
    <cellStyle name="Output" xfId="27" builtinId="21"/>
    <cellStyle name="Normal_TOREX SCHEDULE" xfId="28"/>
    <cellStyle name="20% - Accent1" xfId="29" builtinId="30"/>
    <cellStyle name="Calculation" xfId="30" builtinId="22"/>
    <cellStyle name="Linked Cell" xfId="31" builtinId="24"/>
    <cellStyle name="Total" xfId="32" builtinId="25"/>
    <cellStyle name="Bad" xfId="33" builtinId="27"/>
    <cellStyle name="Neutral" xfId="34" builtinId="28"/>
    <cellStyle name="Accent1" xfId="35" builtinId="29"/>
    <cellStyle name="Normal 6 13" xfId="36"/>
    <cellStyle name="20% - Accent5" xfId="37" builtinId="46"/>
    <cellStyle name="60% - Accent1" xfId="38" builtinId="32"/>
    <cellStyle name="Accent2" xfId="39" builtinId="33"/>
    <cellStyle name="20% - Accent2" xfId="40" builtinId="34"/>
    <cellStyle name="20% - Accent6" xfId="41" builtinId="50"/>
    <cellStyle name="60% - Accent2" xfId="42" builtinId="36"/>
    <cellStyle name="Accent3" xfId="43" builtinId="37"/>
    <cellStyle name="20% - Accent3" xfId="44" builtinId="38"/>
    <cellStyle name="Normal 104" xfId="45"/>
    <cellStyle name="Accent4" xfId="46" builtinId="41"/>
    <cellStyle name="20% - Accent4" xfId="47" builtinId="42"/>
    <cellStyle name="40% - Accent4" xfId="48" builtinId="43"/>
    <cellStyle name="Comma 5 9" xfId="49"/>
    <cellStyle name="Accent5" xfId="50" builtinId="45"/>
    <cellStyle name="40% - Accent5" xfId="51" builtinId="47"/>
    <cellStyle name="60% - Accent5" xfId="52" builtinId="48"/>
    <cellStyle name="Accent6" xfId="53" builtinId="49"/>
    <cellStyle name="Comma 2 3" xfId="54"/>
    <cellStyle name="40% - Accent6" xfId="55" builtinId="51"/>
    <cellStyle name="60% - Accent6" xfId="56" builtinId="52"/>
    <cellStyle name="APPS_DEG_Basic_White_Cell_Amount" xfId="57"/>
    <cellStyle name="Comma 10 4 2" xfId="58"/>
    <cellStyle name="Comma 3" xfId="5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externalLink" Target="externalLinks/externalLink3.xml"/><Relationship Id="rId8" Type="http://schemas.openxmlformats.org/officeDocument/2006/relationships/externalLink" Target="externalLinks/externalLink2.xml"/><Relationship Id="rId7" Type="http://schemas.openxmlformats.org/officeDocument/2006/relationships/externalLink" Target="externalLinks/externalLink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4" Type="http://schemas.openxmlformats.org/officeDocument/2006/relationships/sharedStrings" Target="sharedStrings.xml"/><Relationship Id="rId33" Type="http://schemas.openxmlformats.org/officeDocument/2006/relationships/styles" Target="styles.xml"/><Relationship Id="rId32" Type="http://schemas.openxmlformats.org/officeDocument/2006/relationships/theme" Target="theme/theme1.xml"/><Relationship Id="rId31" Type="http://schemas.openxmlformats.org/officeDocument/2006/relationships/externalLink" Target="externalLinks/externalLink25.xml"/><Relationship Id="rId30" Type="http://schemas.openxmlformats.org/officeDocument/2006/relationships/externalLink" Target="externalLinks/externalLink24.xml"/><Relationship Id="rId3" Type="http://schemas.openxmlformats.org/officeDocument/2006/relationships/worksheet" Target="worksheets/sheet3.xml"/><Relationship Id="rId29" Type="http://schemas.openxmlformats.org/officeDocument/2006/relationships/externalLink" Target="externalLinks/externalLink23.xml"/><Relationship Id="rId28" Type="http://schemas.openxmlformats.org/officeDocument/2006/relationships/externalLink" Target="externalLinks/externalLink22.xml"/><Relationship Id="rId27" Type="http://schemas.openxmlformats.org/officeDocument/2006/relationships/externalLink" Target="externalLinks/externalLink21.xml"/><Relationship Id="rId26" Type="http://schemas.openxmlformats.org/officeDocument/2006/relationships/externalLink" Target="externalLinks/externalLink20.xml"/><Relationship Id="rId25" Type="http://schemas.openxmlformats.org/officeDocument/2006/relationships/externalLink" Target="externalLinks/externalLink19.xml"/><Relationship Id="rId24" Type="http://schemas.openxmlformats.org/officeDocument/2006/relationships/externalLink" Target="externalLinks/externalLink18.xml"/><Relationship Id="rId23" Type="http://schemas.openxmlformats.org/officeDocument/2006/relationships/externalLink" Target="externalLinks/externalLink17.xml"/><Relationship Id="rId22" Type="http://schemas.openxmlformats.org/officeDocument/2006/relationships/externalLink" Target="externalLinks/externalLink16.xml"/><Relationship Id="rId21" Type="http://schemas.openxmlformats.org/officeDocument/2006/relationships/externalLink" Target="externalLinks/externalLink15.xml"/><Relationship Id="rId20" Type="http://schemas.openxmlformats.org/officeDocument/2006/relationships/externalLink" Target="externalLinks/externalLink14.xml"/><Relationship Id="rId2" Type="http://schemas.openxmlformats.org/officeDocument/2006/relationships/worksheet" Target="worksheets/sheet2.xml"/><Relationship Id="rId19" Type="http://schemas.openxmlformats.org/officeDocument/2006/relationships/externalLink" Target="externalLinks/externalLink13.xml"/><Relationship Id="rId18" Type="http://schemas.openxmlformats.org/officeDocument/2006/relationships/externalLink" Target="externalLinks/externalLink12.xml"/><Relationship Id="rId17" Type="http://schemas.openxmlformats.org/officeDocument/2006/relationships/externalLink" Target="externalLinks/externalLink11.xml"/><Relationship Id="rId16" Type="http://schemas.openxmlformats.org/officeDocument/2006/relationships/externalLink" Target="externalLinks/externalLink10.xml"/><Relationship Id="rId15" Type="http://schemas.openxmlformats.org/officeDocument/2006/relationships/externalLink" Target="externalLinks/externalLink9.xml"/><Relationship Id="rId14" Type="http://schemas.openxmlformats.org/officeDocument/2006/relationships/externalLink" Target="externalLinks/externalLink8.xml"/><Relationship Id="rId13" Type="http://schemas.openxmlformats.org/officeDocument/2006/relationships/externalLink" Target="externalLinks/externalLink7.xml"/><Relationship Id="rId12" Type="http://schemas.openxmlformats.org/officeDocument/2006/relationships/externalLink" Target="externalLinks/externalLink6.xml"/><Relationship Id="rId11" Type="http://schemas.openxmlformats.org/officeDocument/2006/relationships/externalLink" Target="externalLinks/externalLink5.xml"/><Relationship Id="rId10" Type="http://schemas.openxmlformats.org/officeDocument/2006/relationships/externalLink" Target="externalLinks/externalLink4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4" Type="http://schemas.openxmlformats.org/officeDocument/2006/relationships/image" Target="../media/image8.png"/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23</xdr:col>
      <xdr:colOff>560295</xdr:colOff>
      <xdr:row>0</xdr:row>
      <xdr:rowOff>0</xdr:rowOff>
    </xdr:from>
    <xdr:ext cx="11446269" cy="5388295"/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4813895" y="0"/>
          <a:ext cx="11445875" cy="5387975"/>
        </a:xfrm>
        <a:prstGeom prst="rect">
          <a:avLst/>
        </a:prstGeom>
      </xdr:spPr>
    </xdr:pic>
    <xdr:clientData/>
  </xdr:oneCellAnchor>
  <xdr:twoCellAnchor editAs="oneCell">
    <xdr:from>
      <xdr:col>8</xdr:col>
      <xdr:colOff>1066800</xdr:colOff>
      <xdr:row>29</xdr:row>
      <xdr:rowOff>104775</xdr:rowOff>
    </xdr:from>
    <xdr:to>
      <xdr:col>13</xdr:col>
      <xdr:colOff>1066121</xdr:colOff>
      <xdr:row>67</xdr:row>
      <xdr:rowOff>106040</xdr:rowOff>
    </xdr:to>
    <xdr:pic>
      <xdr:nvPicPr>
        <xdr:cNvPr id="3" name="Picture 5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622405" y="1971675"/>
          <a:ext cx="5416550" cy="4267835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124</xdr:row>
      <xdr:rowOff>0</xdr:rowOff>
    </xdr:from>
    <xdr:to>
      <xdr:col>16</xdr:col>
      <xdr:colOff>209023</xdr:colOff>
      <xdr:row>167</xdr:row>
      <xdr:rowOff>143937</xdr:rowOff>
    </xdr:to>
    <xdr:pic>
      <xdr:nvPicPr>
        <xdr:cNvPr id="4" name="Picture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772900" y="13759180"/>
          <a:ext cx="7841615" cy="5915660"/>
        </a:xfrm>
        <a:prstGeom prst="rect">
          <a:avLst/>
        </a:prstGeom>
      </xdr:spPr>
    </xdr:pic>
    <xdr:clientData/>
  </xdr:twoCellAnchor>
  <xdr:twoCellAnchor editAs="oneCell">
    <xdr:from>
      <xdr:col>9</xdr:col>
      <xdr:colOff>76199</xdr:colOff>
      <xdr:row>84</xdr:row>
      <xdr:rowOff>53975</xdr:rowOff>
    </xdr:from>
    <xdr:to>
      <xdr:col>18</xdr:col>
      <xdr:colOff>36910</xdr:colOff>
      <xdr:row>124</xdr:row>
      <xdr:rowOff>44450</xdr:rowOff>
    </xdr:to>
    <xdr:pic>
      <xdr:nvPicPr>
        <xdr:cNvPr id="5" name="Picture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1848465" y="8455025"/>
          <a:ext cx="9170035" cy="534860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38</xdr:col>
      <xdr:colOff>0</xdr:colOff>
      <xdr:row>0</xdr:row>
      <xdr:rowOff>0</xdr:rowOff>
    </xdr:from>
    <xdr:to>
      <xdr:col>47</xdr:col>
      <xdr:colOff>580918</xdr:colOff>
      <xdr:row>32</xdr:row>
      <xdr:rowOff>18473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1738590" y="0"/>
          <a:ext cx="6993890" cy="4314190"/>
        </a:xfrm>
        <a:prstGeom prst="rect">
          <a:avLst/>
        </a:prstGeom>
      </xdr:spPr>
    </xdr:pic>
    <xdr:clientData/>
  </xdr:twoCellAnchor>
  <xdr:twoCellAnchor editAs="oneCell">
    <xdr:from>
      <xdr:col>38</xdr:col>
      <xdr:colOff>0</xdr:colOff>
      <xdr:row>50</xdr:row>
      <xdr:rowOff>0</xdr:rowOff>
    </xdr:from>
    <xdr:to>
      <xdr:col>60</xdr:col>
      <xdr:colOff>506875</xdr:colOff>
      <xdr:row>105</xdr:row>
      <xdr:rowOff>77310</xdr:rowOff>
    </xdr:to>
    <xdr:pic>
      <xdr:nvPicPr>
        <xdr:cNvPr id="3" name="Picture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21738590" y="6734175"/>
          <a:ext cx="15348585" cy="7430135"/>
        </a:xfrm>
        <a:prstGeom prst="rect">
          <a:avLst/>
        </a:prstGeom>
      </xdr:spPr>
    </xdr:pic>
    <xdr:clientData/>
  </xdr:twoCellAnchor>
  <xdr:twoCellAnchor editAs="oneCell">
    <xdr:from>
      <xdr:col>0</xdr:col>
      <xdr:colOff>334853</xdr:colOff>
      <xdr:row>165</xdr:row>
      <xdr:rowOff>80460</xdr:rowOff>
    </xdr:from>
    <xdr:to>
      <xdr:col>8</xdr:col>
      <xdr:colOff>646994</xdr:colOff>
      <xdr:row>222</xdr:row>
      <xdr:rowOff>35893</xdr:rowOff>
    </xdr:to>
    <xdr:pic>
      <xdr:nvPicPr>
        <xdr:cNvPr id="4" name="Picture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334645" y="22292310"/>
          <a:ext cx="8463280" cy="7556500"/>
        </a:xfrm>
        <a:prstGeom prst="rect">
          <a:avLst/>
        </a:prstGeom>
      </xdr:spPr>
    </xdr:pic>
    <xdr:clientData/>
  </xdr:twoCellAnchor>
  <xdr:twoCellAnchor editAs="oneCell">
    <xdr:from>
      <xdr:col>0</xdr:col>
      <xdr:colOff>353786</xdr:colOff>
      <xdr:row>231</xdr:row>
      <xdr:rowOff>72572</xdr:rowOff>
    </xdr:from>
    <xdr:to>
      <xdr:col>8</xdr:col>
      <xdr:colOff>312346</xdr:colOff>
      <xdr:row>288</xdr:row>
      <xdr:rowOff>12497</xdr:rowOff>
    </xdr:to>
    <xdr:pic>
      <xdr:nvPicPr>
        <xdr:cNvPr id="5" name="Picture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353695" y="31085790"/>
          <a:ext cx="8109585" cy="75406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67236</xdr:colOff>
      <xdr:row>67</xdr:row>
      <xdr:rowOff>78441</xdr:rowOff>
    </xdr:from>
    <xdr:to>
      <xdr:col>0</xdr:col>
      <xdr:colOff>134472</xdr:colOff>
      <xdr:row>67</xdr:row>
      <xdr:rowOff>156882</xdr:rowOff>
    </xdr:to>
    <xdr:sp>
      <xdr:nvSpPr>
        <xdr:cNvPr id="2" name="4-Point Star 3"/>
        <xdr:cNvSpPr/>
      </xdr:nvSpPr>
      <xdr:spPr>
        <a:xfrm>
          <a:off x="66675" y="9208770"/>
          <a:ext cx="67310" cy="55245"/>
        </a:xfrm>
        <a:prstGeom prst="star4">
          <a:avLst/>
        </a:prstGeom>
        <a:solidFill>
          <a:schemeClr val="tx2">
            <a:lumMod val="40000"/>
            <a:lumOff val="60000"/>
          </a:schemeClr>
        </a:solidFill>
        <a:ln>
          <a:solidFill>
            <a:schemeClr val="tx2">
              <a:lumMod val="40000"/>
              <a:lumOff val="6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SG" sz="1100"/>
        </a:p>
      </xdr:txBody>
    </xdr:sp>
    <xdr:clientData/>
  </xdr:twoCellAnchor>
  <xdr:twoCellAnchor editAs="oneCell">
    <xdr:from>
      <xdr:col>1</xdr:col>
      <xdr:colOff>1343025</xdr:colOff>
      <xdr:row>103</xdr:row>
      <xdr:rowOff>19050</xdr:rowOff>
    </xdr:from>
    <xdr:to>
      <xdr:col>23</xdr:col>
      <xdr:colOff>474656</xdr:colOff>
      <xdr:row>118</xdr:row>
      <xdr:rowOff>85449</xdr:rowOff>
    </xdr:to>
    <xdr:pic>
      <xdr:nvPicPr>
        <xdr:cNvPr id="3" name="Picture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3188970" y="14007465"/>
          <a:ext cx="13279755" cy="206629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52</xdr:row>
      <xdr:rowOff>0</xdr:rowOff>
    </xdr:from>
    <xdr:to>
      <xdr:col>6</xdr:col>
      <xdr:colOff>420386</xdr:colOff>
      <xdr:row>74</xdr:row>
      <xdr:rowOff>153006</xdr:rowOff>
    </xdr:to>
    <xdr:pic>
      <xdr:nvPicPr>
        <xdr:cNvPr id="3" name="Picture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10312400"/>
          <a:ext cx="9629775" cy="42037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0.100.116\share_drive\Users\kokpeow.tan.CLIFFORDCAPITAL\AppData\Local\Microsoft\Windows\Temporary%20Internet%20Files\Content.Outlook\TJWTQYYV\Forecast%20Deals%20FY2016%20-%20Updated%206Oct2015%20w%20TSY%20ref%20rates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xca-fs1\dfs\Documents%20and%20Settings\swchakraborty\My%20Documents\Budget\India%20Budget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0.100.116\share_drive\Documents%20and%20Settings\1334572\Local%20Settings\Temporary%20Internet%20Files\Content.Outlook\KEDGG6ST\2011%2003%2004_Falkenberg_draft%20model_v11_SG%20update%202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0.100.116\share_drive\Documents%20and%20Settings\1352865\Local%20Settings\Temporary%20Internet%20Files\OLK14E\Bloc%2018_BP_Angola%20PSC.calc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0.100.116\share_drive\Documents%20and%20Settings\1334572\Local%20Settings\Temporary%20Internet%20Files\Content.Outlook\KEDGG6ST\2010%2012%20NII%20-%20final%20excl%20%20RWA.xlsm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0.100.116\share_drive\Documents%20and%20Settings\1334572\Local%20Settings\Temporary%20Internet%20Files\Content.Outlook\KEDGG6ST\2011%2003%20NII%20-%20final.xlsm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h_nas\groups\FinConsol\Audit%20Mar%2017\Consol%20Pack\Subsidiary%20Reporting%20Pack%20II%20-%20(wef%20Q4%20Mar16)%20-%20Sep15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\Risk%20Mgt\Working%20papers\Limits\CreditLimits_15Jul03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\Risk%20Mgt\Committees\CRC\17%20Nov%2003\A_5CRC2Diversification_final_sim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Finance%20Group\Finance\Accounts\Monthly%20Accounts\FY2016\1)%20Jan%2016\Oracle\Journal\Journal_Nov15\JournalEntry-Accrual%20of%20Bonus%20and%20directors%20Fees_Nov15.xlsm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rowzee\documents\Accounting\temp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xca-fs1\dfs\Departments\Accounting\Curtis\International\Ixia%20India\2006\02-February\Accounting\Monthly%20Closings\Oct.%20'01\India%20BS%20Translation%20FY%20'02%20-%20October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0.100.116\share_drive\Users\Ng%20Ee%20Huang\AppData\Local\Microsoft\Windows\Temporary%20Internet%20Files\Content.Outlook\P2RF96GY\Portfolio%20Tracker%20February%202014%20Monthly%20Mgt%20Report%20(Risk)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0.100.116\share_drive\Documents%20and%20Settings\1334572\Local%20Settings\Temporary%20Internet%20Files\Content.Outlook\KEDGG6ST\Submissions\Janhar.xlsm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\FinConsol%2005\Reporting%20Pack%20&amp;%20User%20Guide\REPPACK05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0.100.123\Critical%20Data\Risk%20Group\Provisioning\PROVISIONING%20CALCULATIONS\2018\1.%20Jan\Master%20FRS%20109%20Calculation%20Tool%20(wo%20data%20table%20template)%20-%20Jan-18%20v2%20(delinked).xlsm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rowzee\accounting\Curtis\budget\2003\versions%20exported%20to%20Dynamics\R&amp;D%20-%20budget-CH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Hyperion\Clifford%20Capital\Original%20Files\Latest\Chainsys%20-%20Finance%20Budget%20and%20Planning\FCCS\TB_CCHMS_June2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xca-fs1\dfs\Departments\Accounting\Curtis\International\Ixia%20India\2006\02-February\Accounting\Monthly%20Closings\Dec.%20'01\India%20BS%20Translation%20FY%20'02%20-%20December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xca-fs1\dfs\CITIBANK\Tax%20&amp;%20Budgetary_payments2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ttps://cliffordcap-my.sharepoint.com/Users/NGEEHU~1/AppData/Local/Temp/TM1C1A5.xlsm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0.100.116\share_drive\DOCUME~1\122874~1.ZON\LOCALS~1\Temp\DropOL\NII%2031%20December%202009%20-%20Johannesburg%20Update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xca-fs1\dfs\Documents%20and%20Settings\swchakraborty\My%20Documents\Budget\2005_Budget_Update_Q4_Finalv2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0.100.116\share_drive\Documents%20and%20Settings\1334572\Local%20Settings\Temporary%20Internet%20Files\Content.Outlook\KEDGG6ST\Jon%20Haydock_test%20Aug06)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0.100.116\share_drive\Front%20Office\PROJECTS\Sembcorp%20-%20Mirfa%20IWPP\Financial%20Model\130125%20Mirfa%20Financial%20Model%20v113%20Banks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Y2015"/>
      <sheetName val="FY2016"/>
      <sheetName val="FY2017-18"/>
      <sheetName val="Summary"/>
      <sheetName val="Rates"/>
      <sheetName val="BP2015(Ref)"/>
      <sheetName val="Sheet1"/>
      <sheetName val="IT budget submission"/>
      <sheetName val="Summary3"/>
      <sheetName val="Capex"/>
    </sheetNames>
    <sheetDataSet>
      <sheetData sheetId="0" refreshError="1"/>
      <sheetData sheetId="1" refreshError="1"/>
      <sheetData sheetId="2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GENERAL DATA"/>
      <sheetName val="Current Employees"/>
      <sheetName val="New Employees"/>
      <sheetName val="Consultants"/>
      <sheetName val="Cap Ex"/>
      <sheetName val="T&amp;E"/>
      <sheetName val="Mrkt Programs"/>
      <sheetName val="Other Exceptions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Assumptions"/>
      <sheetName val="Financials"/>
      <sheetName val="Workings - Starting Portfolio"/>
      <sheetName val="Portfolio updated_$1B"/>
      <sheetName val="Portfolio (new)_$1B Format"/>
      <sheetName val="Charts"/>
      <sheetName val="Workings&gt;&gt;"/>
      <sheetName val="NII_not linked"/>
      <sheetName val="EL"/>
      <sheetName val=" PEF Portfolio Metrics 2005-1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12.xml><?xml version="1.0" encoding="utf-8"?>
<externalLink xmlns="http://schemas.openxmlformats.org/spreadsheetml/2006/main">
  <externalBook xmlns:r="http://schemas.openxmlformats.org/officeDocument/2006/relationships" r:id="rId1">
    <sheetNames>
      <sheetName val="Fiscal Inputs"/>
      <sheetName val="Field Data"/>
      <sheetName val="Field Info"/>
      <sheetName val="Company Offsets"/>
      <sheetName val="Revenues"/>
      <sheetName val="Field Costs"/>
      <sheetName val="Economic Parameters"/>
      <sheetName val="Tax Calculations"/>
      <sheetName val="Fiscal Outputs"/>
      <sheetName val="Company Tax Calc"/>
      <sheetName val="Field Fin Outputs"/>
      <sheetName val="Company Fin Outputs"/>
      <sheetName val="Summary Cash Flow"/>
      <sheetName val="PVCalcs"/>
      <sheetName val="PV Table"/>
      <sheetName val="Expanded Cash Flow"/>
      <sheetName val="Pre-Tax Cash Flow"/>
      <sheetName val="Government Take Cash Flow"/>
      <sheetName val="Entitlement Cash Flow"/>
      <sheetName val="Standard Cash Flow"/>
      <sheetName val="Summary Valuation"/>
      <sheetName val="Pric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13.xml><?xml version="1.0" encoding="utf-8"?>
<externalLink xmlns="http://schemas.openxmlformats.org/spreadsheetml/2006/main">
  <externalBook xmlns:r="http://schemas.openxmlformats.org/officeDocument/2006/relationships" r:id="rId1">
    <sheetNames>
      <sheetName val="Output"/>
      <sheetName val="Indices"/>
      <sheetName val="Loan details"/>
      <sheetName val="New Loans"/>
    </sheetNames>
    <sheetDataSet>
      <sheetData sheetId="0"/>
      <sheetData sheetId="1"/>
      <sheetData sheetId="2"/>
      <sheetData sheetId="3"/>
    </sheetDataSet>
  </externalBook>
</externalLink>
</file>

<file path=xl/externalLinks/externalLink14.xml><?xml version="1.0" encoding="utf-8"?>
<externalLink xmlns="http://schemas.openxmlformats.org/spreadsheetml/2006/main">
  <externalBook xmlns:r="http://schemas.openxmlformats.org/officeDocument/2006/relationships" r:id="rId1">
    <sheetNames>
      <sheetName val="Output"/>
      <sheetName val="Loan details"/>
      <sheetName val="Indices"/>
      <sheetName val="New Loans"/>
    </sheetNames>
    <sheetDataSet>
      <sheetData sheetId="0"/>
      <sheetData sheetId="1"/>
      <sheetData sheetId="2"/>
      <sheetData sheetId="3"/>
    </sheetDataSet>
  </externalBook>
</externalLink>
</file>

<file path=xl/externalLinks/externalLink15.xml><?xml version="1.0" encoding="utf-8"?>
<externalLink xmlns="http://schemas.openxmlformats.org/spreadsheetml/2006/main">
  <externalBook xmlns:r="http://schemas.openxmlformats.org/officeDocument/2006/relationships" r:id="rId1">
    <sheetNames>
      <sheetName val="Datafile (Final)"/>
      <sheetName val="Datafile(WC_ss)"/>
      <sheetName val="Sheet1"/>
      <sheetName val="Main"/>
      <sheetName val="CoverPage"/>
      <sheetName val="Supp1.1"/>
      <sheetName val="Supp1.2"/>
      <sheetName val="Supp1.3_SS"/>
      <sheetName val="Supp1.4_SS"/>
      <sheetName val="Supp 01_SS"/>
      <sheetName val="Supp 05"/>
      <sheetName val="Supp 01 (Old)"/>
      <sheetName val="Supp 03_SS"/>
      <sheetName val="Supp 4"/>
      <sheetName val="Supp 5"/>
      <sheetName val="Supp 7_SS"/>
      <sheetName val="Supp 8_SS"/>
      <sheetName val="Supp 9_SS"/>
      <sheetName val="Supp 7"/>
      <sheetName val="Supp 06"/>
      <sheetName val="Supp 02a"/>
      <sheetName val="Supp03ss"/>
      <sheetName val="Supp 04x"/>
      <sheetName val="Supp03a ss"/>
      <sheetName val="Supp04ss"/>
      <sheetName val="Supp 07"/>
      <sheetName val="Supp06ss"/>
      <sheetName val="Supp 08"/>
      <sheetName val="Supp 10.1"/>
      <sheetName val="Supp 10.2"/>
      <sheetName val="Supp 10.3"/>
      <sheetName val="Supp 10.4"/>
      <sheetName val="Supp 10.5"/>
      <sheetName val="Supp08ss"/>
      <sheetName val="Supp 08a"/>
      <sheetName val="Supp 10old"/>
      <sheetName val="Supp 11_SS"/>
      <sheetName val="Supp 12.1_SS"/>
      <sheetName val="Supp 12.2_SS"/>
      <sheetName val="Supp 12.3_SS"/>
      <sheetName val="Supp 9a"/>
      <sheetName val="Supp 9b"/>
      <sheetName val="Supp 9c"/>
      <sheetName val="Supp10a"/>
      <sheetName val="Supp10b"/>
      <sheetName val="Supp10c"/>
      <sheetName val="Supp 10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</sheetDataSet>
  </externalBook>
</externalLink>
</file>

<file path=xl/externalLinks/externalLink16.xml><?xml version="1.0" encoding="utf-8"?>
<externalLink xmlns="http://schemas.openxmlformats.org/spreadsheetml/2006/main">
  <externalBook xmlns:r="http://schemas.openxmlformats.org/officeDocument/2006/relationships" r:id="rId1">
    <sheetNames>
      <sheetName val="Annex 2 Credit limits (Jan03)"/>
      <sheetName val="Rates"/>
    </sheetNames>
    <sheetDataSet>
      <sheetData sheetId="0" refreshError="1"/>
      <sheetData sheetId="1" refreshError="1"/>
    </sheetDataSet>
  </externalBook>
</externalLink>
</file>

<file path=xl/externalLinks/externalLink17.xml><?xml version="1.0" encoding="utf-8"?>
<externalLink xmlns="http://schemas.openxmlformats.org/spreadsheetml/2006/main">
  <externalBook xmlns:r="http://schemas.openxmlformats.org/officeDocument/2006/relationships" r:id="rId1">
    <sheetNames>
      <sheetName val="Assumptions (orig)"/>
      <sheetName val="Assumptions"/>
      <sheetName val="ex_main paper-sd limits"/>
      <sheetName val="ex_MAIN PPR - AV FOR INV"/>
      <sheetName val="ex_AGGREG"/>
      <sheetName val="ex_main paper-BELOW BBB"/>
      <sheetName val="ex_SECTOR TARGETS"/>
      <sheetName val="App 3 - total"/>
      <sheetName val="App 3a - SD-final"/>
      <sheetName val="App 3b - PEFI final"/>
      <sheetName val="App 3c FMD-final"/>
      <sheetName val="App 3d- TC LEGACY"/>
      <sheetName val="TGT CTRIES_slide"/>
      <sheetName val="main paper target"/>
      <sheetName val="ex_SECTOR TARGETS (slide)"/>
      <sheetName val="chart sector CURR"/>
      <sheetName val="chart sector TGT"/>
      <sheetName val="chart sector TGT (ADJ)"/>
      <sheetName val="SECTOR TARGETS (main paper)"/>
      <sheetName val="TGT CTRIES_slide (pres)"/>
      <sheetName val="EXAMPLE_slide (PRES)"/>
      <sheetName val="EXAMPLE_slide (icc)"/>
      <sheetName val="main paper-CRM"/>
      <sheetName val="main paper bz units"/>
      <sheetName val="main paper-AGGREG"/>
      <sheetName val="main paper-CRM (2)"/>
      <sheetName val="Main paper proj"/>
      <sheetName val="SD inv"/>
      <sheetName val="SD sector (%)"/>
      <sheetName val="SD ctry (%)"/>
      <sheetName val="Adj SD ctry (%)"/>
      <sheetName val="INITIAL CTRY TARGETS"/>
      <sheetName val="REVISED CTRY TARGETS"/>
      <sheetName val="INITIAL sector TARGETS"/>
      <sheetName val="Adj SD sector (%)"/>
      <sheetName val="REVISED sector TARGETS"/>
      <sheetName val="TLCs-$"/>
      <sheetName val="TLCs-%"/>
      <sheetName val="TLCs-REVISED $"/>
      <sheetName val="TLC details"/>
      <sheetName val="SD-sector (TMK)"/>
      <sheetName val="SD-sector (TMK &amp; TLCs)"/>
      <sheetName val="App 2a - SD-final (chg)"/>
      <sheetName val="App 2b - PEFI final (chg)"/>
      <sheetName val="App 2c FMD-final (chg)"/>
      <sheetName val="App 2d- TC LEGACY (chg)"/>
      <sheetName val="Prev limits"/>
      <sheetName val="eq-incorp-list"/>
      <sheetName val="Annex 2 Credit limits (Jan03)"/>
      <sheetName val="FMD"/>
      <sheetName val="SD Global"/>
      <sheetName val="SD Asia"/>
      <sheetName val="SD Asean"/>
      <sheetName val="SD"/>
      <sheetName val="PEFI"/>
      <sheetName val="TC Legacy"/>
      <sheetName val="exposure"/>
      <sheetName val="Adjustments"/>
      <sheetName val="COUNTRY"/>
      <sheetName val="GDP US$b"/>
      <sheetName val="Reserves"/>
      <sheetName val="portfolio"/>
      <sheetName val="App _sectors"/>
      <sheetName val="Sector_Data"/>
    </sheetNames>
    <sheetDataSet>
      <sheetData sheetId="0"/>
      <sheetData sheetId="1" refreshError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</sheetDataSet>
  </externalBook>
</externalLink>
</file>

<file path=xl/externalLinks/externalLink18.xml><?xml version="1.0" encoding="utf-8"?>
<externalLink xmlns="http://schemas.openxmlformats.org/spreadsheetml/2006/main">
  <externalBook xmlns:r="http://schemas.openxmlformats.org/officeDocument/2006/relationships" r:id="rId1">
    <sheetNames>
      <sheetName val="Single Journal"/>
      <sheetName val="Multiple Journals"/>
      <sheetName val="Bulk Journals"/>
      <sheetName val="."/>
      <sheetName val="_ADFDI_Parameters"/>
      <sheetName val="_ADFDI_Metadata"/>
      <sheetName val="_ADFDI_WorkbookData"/>
      <sheetName val="_ADFDI_BCMetadata"/>
      <sheetName val="_ADFDI_DynamicTable"/>
      <sheetName val="_ADFDI_LO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</sheetDataSet>
  </externalBook>
</externalLink>
</file>

<file path=xl/externalLinks/externalLink19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temp"/>
      <sheetName val="#REF"/>
    </sheetNames>
    <sheetDataSet>
      <sheetData sheetId="0"/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XXXX"/>
      <sheetName val="May '01"/>
      <sheetName val="June '01"/>
      <sheetName val="July '01"/>
      <sheetName val="Aug '01"/>
      <sheetName val="Sep '01"/>
      <sheetName val="Oct '01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0.xml><?xml version="1.0" encoding="utf-8"?>
<externalLink xmlns="http://schemas.openxmlformats.org/spreadsheetml/2006/main">
  <externalBook xmlns:r="http://schemas.openxmlformats.org/officeDocument/2006/relationships" r:id="rId1">
    <sheetNames>
      <sheetName val="Portfolio Summary"/>
      <sheetName val="Inputs"/>
      <sheetName val="WAL CG _RD"/>
      <sheetName val="WAL PD CG_Use"/>
      <sheetName val="Outputs"/>
      <sheetName val="Sponsors"/>
      <sheetName val="Offtakers"/>
      <sheetName val="Oil Price"/>
      <sheetName val="Monthly Management Reporting"/>
      <sheetName val="Risk Concerntration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21.xml><?xml version="1.0" encoding="utf-8"?>
<externalLink xmlns="http://schemas.openxmlformats.org/spreadsheetml/2006/main">
  <externalBook xmlns:r="http://schemas.openxmlformats.org/officeDocument/2006/relationships" r:id="rId1">
    <sheetNames>
      <sheetName val="Output"/>
      <sheetName val="Loan details"/>
      <sheetName val="Indices"/>
      <sheetName val="New Loans"/>
    </sheetNames>
    <sheetDataSet>
      <sheetData sheetId="0"/>
      <sheetData sheetId="1" refreshError="1"/>
      <sheetData sheetId="2"/>
      <sheetData sheetId="3" refreshError="1"/>
    </sheetDataSet>
  </externalBook>
</externalLink>
</file>

<file path=xl/externalLinks/externalLink22.xml><?xml version="1.0" encoding="utf-8"?>
<externalLink xmlns="http://schemas.openxmlformats.org/spreadsheetml/2006/main">
  <externalBook xmlns:r="http://schemas.openxmlformats.org/officeDocument/2006/relationships" r:id="rId1">
    <sheetNames>
      <sheetName val="pldt"/>
      <sheetName val="COVER"/>
      <sheetName val="CONTENT"/>
      <sheetName val="Sch 1"/>
      <sheetName val="Sch2.1"/>
      <sheetName val="Sch2.2"/>
      <sheetName val="Sch2.4.1"/>
      <sheetName val="Sch2.4.2"/>
      <sheetName val="Sch2.4.3"/>
      <sheetName val="Sch2.4.4"/>
      <sheetName val="Guidance on classfn of expenses"/>
      <sheetName val="Sch 3.1"/>
      <sheetName val="Sch 3.2"/>
      <sheetName val="Sch 4.1"/>
      <sheetName val="Sch 4.2"/>
      <sheetName val="Sch 4.4"/>
      <sheetName val="Sch 4.5"/>
      <sheetName val="Sch 5"/>
      <sheetName val="Sch 6"/>
      <sheetName val="Sch 7"/>
      <sheetName val="Sch 8"/>
      <sheetName val="Sch 9"/>
      <sheetName val="Sch 10"/>
      <sheetName val="Sch 11"/>
      <sheetName val="Sch 12.1"/>
      <sheetName val="Sch 12.1.1"/>
      <sheetName val="Sch 12.2"/>
      <sheetName val="Sch 12.3"/>
      <sheetName val="Sch 13"/>
      <sheetName val="Sch 14"/>
      <sheetName val="Sch 15.1"/>
      <sheetName val="Sch 15.2"/>
      <sheetName val="Sch 15.3"/>
      <sheetName val="Sch 16.1"/>
      <sheetName val="Sch 16.2"/>
      <sheetName val="Sch 17.1"/>
      <sheetName val="Sch 17.2"/>
      <sheetName val="Sch 18.1"/>
      <sheetName val="Sch18.2"/>
      <sheetName val="Sch 19"/>
      <sheetName val="Sch 20"/>
      <sheetName val="Sch 21.1"/>
      <sheetName val="Sch 21.2"/>
      <sheetName val="Sch 21.3"/>
      <sheetName val="Sch 22.1"/>
      <sheetName val="Sch 22.2"/>
      <sheetName val="Sch 22.3"/>
      <sheetName val="Sch 22.4"/>
      <sheetName val="Sch 23.1"/>
      <sheetName val="Sch 23.2"/>
      <sheetName val="Sch 24"/>
      <sheetName val="Sch 26.1"/>
      <sheetName val="Sch 26.2"/>
      <sheetName val="Sch 27.1"/>
      <sheetName val="Sch27.2"/>
      <sheetName val="Sch 27.3"/>
      <sheetName val="Sch 28.1"/>
      <sheetName val="Sch 28.2"/>
      <sheetName val="Sch 29"/>
      <sheetName val="Sch 30"/>
      <sheetName val="Sch 31.1 "/>
      <sheetName val="Sch 31.2"/>
      <sheetName val="Sch 31.3"/>
      <sheetName val="Module1"/>
      <sheetName val="Sch 3_1"/>
      <sheetName val="Sch 16_1"/>
      <sheetName val="Sch 17_1"/>
      <sheetName val="Sch 22_2"/>
      <sheetName val="Sch 22_4"/>
      <sheetName val="Datafile (Final)"/>
      <sheetName val="Datafile(WC_ss)"/>
      <sheetName val="Sheet1"/>
      <sheetName val="CoverPage"/>
      <sheetName val="Supp1.1"/>
      <sheetName val="Supp1.2"/>
      <sheetName val="Supp1.3_SS"/>
      <sheetName val="Supp1.4_SS"/>
      <sheetName val="Supp 01"/>
      <sheetName val="Supp 02"/>
      <sheetName val="Supp 03"/>
      <sheetName val="Supp 4"/>
      <sheetName val="Supp 5"/>
      <sheetName val="Supp 7_SS"/>
      <sheetName val="Supp 8_SS"/>
      <sheetName val="Supp 9_SS"/>
      <sheetName val="Supp 7"/>
      <sheetName val="Supp 04"/>
      <sheetName val="Supp 04A"/>
      <sheetName val="Supp 05"/>
      <sheetName val="Supp 06"/>
      <sheetName val="Supp 07"/>
      <sheetName val="Supp 10.1"/>
      <sheetName val="Supp 10.2"/>
      <sheetName val="Supp 10.3"/>
      <sheetName val="Supp 10.4"/>
      <sheetName val="Supp 10.5"/>
      <sheetName val="Supp 08"/>
      <sheetName val="Supp 09"/>
      <sheetName val="Supp 11_SS"/>
      <sheetName val="Supp 12.1_SS"/>
      <sheetName val="Supp 12.2_SS"/>
      <sheetName val="Supp 12.3_S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</sheetDataSet>
  </externalBook>
</externalLink>
</file>

<file path=xl/externalLinks/externalLink23.xml><?xml version="1.0" encoding="utf-8"?>
<externalLink xmlns="http://schemas.openxmlformats.org/spreadsheetml/2006/main">
  <externalBook xmlns:r="http://schemas.openxmlformats.org/officeDocument/2006/relationships" r:id="rId1">
    <sheetNames>
      <sheetName val="Version Control"/>
      <sheetName val="Instructions"/>
      <sheetName val="Out of scope"/>
      <sheetName val="1.Portfolio Overview"/>
      <sheetName val="2.Staging"/>
      <sheetName val="2.Staging-Neri"/>
      <sheetName val="Staging Analysis"/>
      <sheetName val="2.Staging (Weighted)"/>
      <sheetName val="SICRAnalysis"/>
      <sheetName val="TM1_Linked"/>
      <sheetName val="TM1_Paste"/>
      <sheetName val="Dropdown"/>
      <sheetName val="Input Master"/>
      <sheetName val="Template"/>
      <sheetName val="DEAL INFO&gt;&gt;&gt;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41"/>
      <sheetName val="42"/>
      <sheetName val="43"/>
      <sheetName val="44"/>
      <sheetName val="45"/>
      <sheetName val="46"/>
      <sheetName val="47"/>
      <sheetName val="48"/>
      <sheetName val="49"/>
      <sheetName val="50"/>
      <sheetName val="51"/>
      <sheetName val="52"/>
      <sheetName val="53"/>
      <sheetName val="54"/>
      <sheetName val="55"/>
      <sheetName val="56"/>
      <sheetName val="57"/>
      <sheetName val="58"/>
      <sheetName val="FOR STRESS TEST&gt;&gt;&gt;"/>
      <sheetName val="For stress test-Summary to use"/>
      <sheetName val="For stress test-Event Risk"/>
      <sheetName val="For stress test-Equity"/>
      <sheetName val="OM Deal 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</sheetDataSet>
  </externalBook>
</externalLink>
</file>

<file path=xl/externalLinks/externalLink24.xml><?xml version="1.0" encoding="utf-8"?>
<externalLink xmlns="http://schemas.openxmlformats.org/spreadsheetml/2006/main">
  <externalBook xmlns:r="http://schemas.openxmlformats.org/officeDocument/2006/relationships" r:id="rId1">
    <sheetNames>
      <sheetName val="0000"/>
      <sheetName val="Cliff Notes"/>
      <sheetName val="ENGINEERING"/>
      <sheetName val="CapX Detail"/>
      <sheetName val="Headcount"/>
      <sheetName val="Eng. sum."/>
      <sheetName val="Eng."/>
      <sheetName val="Hardware sum."/>
      <sheetName val="Hardware"/>
      <sheetName val="Soft. sum."/>
      <sheetName val="Software"/>
      <sheetName val="doc. sum."/>
      <sheetName val="documents"/>
      <sheetName val="QA sum."/>
      <sheetName val="QA"/>
      <sheetName val="Service sum."/>
      <sheetName val="Services"/>
      <sheetName val="NetOps sum."/>
      <sheetName val="NetOps"/>
      <sheetName val="La Jolla sum."/>
      <sheetName val="La Jolla"/>
      <sheetName val="Proj Mgr sum."/>
      <sheetName val="Proj Mgr"/>
      <sheetName val="Conformance sum."/>
      <sheetName val="Conformance"/>
      <sheetName val="GENERAL DATA"/>
      <sheetName val="Deprec.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externalLinks/externalLink25.xml><?xml version="1.0" encoding="utf-8"?>
<externalLink xmlns="http://schemas.openxmlformats.org/spreadsheetml/2006/main">
  <externalBook xmlns:r="http://schemas.openxmlformats.org/officeDocument/2006/relationships" r:id="rId1">
    <sheetNames>
      <sheetName val="TB_Jun21"/>
      <sheetName val="1. Cash Balances_Jun21"/>
      <sheetName val="2. Other Trade Receivables"/>
      <sheetName val="3. Other Deposits &amp; Receivables"/>
      <sheetName val="3.1 Other Receivables - 10901"/>
      <sheetName val="3.2 Deposit summary-10902"/>
      <sheetName val="3.3 Prepayment-10904"/>
      <sheetName val="3.4 Interco Balance"/>
      <sheetName val="3.5 Sweep"/>
      <sheetName val="4 FA Detail (US$)_Jun21"/>
      <sheetName val="FA_Oracle_Jun21"/>
      <sheetName val="FA_Oracle_May21"/>
      <sheetName val="FA_Oracle_Apr21"/>
      <sheetName val="FA_Oracle_Mar21"/>
      <sheetName val="4.1 ORQ Lease - Recalc"/>
      <sheetName val="4.2 Canon Orix Lease"/>
      <sheetName val="5. Trade Payables"/>
      <sheetName val="6. Other Liabilities"/>
      <sheetName val="6.1 Unamortised Svc Fee"/>
      <sheetName val="6.2  Accrual 2021"/>
      <sheetName val="6.3 Other Payable"/>
      <sheetName val="FA_Oracle_Dec20"/>
      <sheetName val="FA_Oracle_Feb21"/>
      <sheetName val="FA_Oracle_Jan21"/>
      <sheetName val="7 Provision"/>
      <sheetName val="7.1 LTIU"/>
      <sheetName val="8 Provision for Taxation"/>
      <sheetName val="Technology"/>
      <sheetName val="FA_Oracle_Oct20"/>
      <sheetName val="FA_Oracle_Sep20"/>
      <sheetName val="FA_Oracle_Aug20"/>
      <sheetName val="Oracle FA_Apr20"/>
      <sheetName val="NBV=0"/>
      <sheetName val="NBV&gt;0"/>
      <sheetName val="8. Income"/>
      <sheetName val="4.1 ORQ Lease"/>
      <sheetName val="Reval_SGD_Jun_1"/>
      <sheetName val="Reval_SGD_Jun_2"/>
      <sheetName val="Reval_SGD_Jun_3"/>
      <sheetName val="Reval Payable Jun"/>
      <sheetName val="FX"/>
      <sheetName val="YTD Variance CCHMS"/>
    </sheetNames>
    <sheetDataSet>
      <sheetData sheetId="0"/>
      <sheetData sheetId="1">
        <row r="5">
          <cell r="D5">
            <v>44377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89">
          <cell r="J189">
            <v>2077125.32</v>
          </cell>
        </row>
        <row r="189">
          <cell r="N189">
            <v>743097.9</v>
          </cell>
          <cell r="O189">
            <v>1334027.42</v>
          </cell>
        </row>
        <row r="196">
          <cell r="J196">
            <v>2808603.75</v>
          </cell>
        </row>
        <row r="196">
          <cell r="O196">
            <v>1710741.63</v>
          </cell>
        </row>
      </sheetData>
      <sheetData sheetId="11"/>
      <sheetData sheetId="12"/>
      <sheetData sheetId="13"/>
      <sheetData sheetId="14">
        <row r="49">
          <cell r="R49">
            <v>901450.011802269</v>
          </cell>
        </row>
      </sheetData>
      <sheetData sheetId="15">
        <row r="48">
          <cell r="K48">
            <v>14062.4268763964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>
        <row r="64">
          <cell r="N64">
            <v>91008.89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>
        <row r="28">
          <cell r="D28">
            <v>1.3221</v>
          </cell>
          <cell r="E28">
            <v>1.329</v>
          </cell>
        </row>
        <row r="29">
          <cell r="E29">
            <v>1.3326</v>
          </cell>
        </row>
        <row r="30">
          <cell r="E30">
            <v>1.3448</v>
          </cell>
        </row>
        <row r="31">
          <cell r="E31">
            <v>1.3308</v>
          </cell>
        </row>
        <row r="32">
          <cell r="E32">
            <v>1.3217</v>
          </cell>
        </row>
        <row r="33">
          <cell r="E33">
            <v>1.3454</v>
          </cell>
        </row>
      </sheetData>
      <sheetData sheetId="4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XXXX"/>
      <sheetName val="May '01"/>
      <sheetName val="June '01"/>
      <sheetName val="July '01"/>
      <sheetName val="Aug '01"/>
      <sheetName val="Sep '01"/>
      <sheetName val="Oct '01"/>
      <sheetName val="Nov '01"/>
      <sheetName val="Dec '01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pay"/>
      <sheetName val="trez"/>
      <sheetName val="Banks"/>
    </sheetNames>
    <sheetDataSet>
      <sheetData sheetId="0" refreshError="1"/>
      <sheetData sheetId="1" refreshError="1"/>
      <sheetData sheetId="2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BankLoanDetails"/>
      <sheetName val="Reference"/>
      <sheetName val="BankLoanReport"/>
      <sheetName val="BankLoanStatus"/>
      <sheetName val="{PL}PickLst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Project name"/>
      <sheetName val="Output"/>
      <sheetName val="Loan details"/>
      <sheetName val="Indices"/>
      <sheetName val="New Loan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2005_Budget_Update_Q4_Finalv2"/>
      <sheetName val="#REF"/>
    </sheetNames>
    <sheetDataSet>
      <sheetData sheetId="0" refreshError="1"/>
      <sheetData sheetId="1" refreshError="1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Assumptions"/>
      <sheetName val="Cover"/>
      <sheetName val="P&amp;L"/>
      <sheetName val="BS"/>
      <sheetName val="Ke"/>
      <sheetName val="DCF valuation_IRR"/>
      <sheetName val="Comparable valuation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Cover"/>
      <sheetName val="Graphs"/>
      <sheetName val="Summary"/>
      <sheetName val="Checks"/>
      <sheetName val="Scenarios"/>
      <sheetName val="FinStatmts (Qtly)"/>
      <sheetName val="FinStatmts (SemiAnn)"/>
      <sheetName val="FinStatmts (Ann)"/>
      <sheetName val="General Ass."/>
      <sheetName val="Const. Ass."/>
      <sheetName val="Oper.Ass."/>
      <sheetName val="Oper.Calculation"/>
      <sheetName val="Timing&amp;Mask"/>
      <sheetName val="Sources&amp;Uses"/>
      <sheetName val="Rev&amp;Costs (Mtly)"/>
      <sheetName val="Rev&amp;Costs (Qtly)"/>
      <sheetName val="Swaps"/>
      <sheetName val="Debt"/>
      <sheetName val="Workings"/>
      <sheetName val="Depr."/>
      <sheetName val="LDs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2:R219"/>
  <sheetViews>
    <sheetView topLeftCell="B1" workbookViewId="0">
      <pane xSplit="2" ySplit="4" topLeftCell="D116" activePane="bottomRight" state="frozen"/>
      <selection/>
      <selection pane="topRight"/>
      <selection pane="bottomLeft"/>
      <selection pane="bottomRight" activeCell="C23" sqref="C23"/>
    </sheetView>
  </sheetViews>
  <sheetFormatPr defaultColWidth="9.13636363636364" defaultRowHeight="10.5"/>
  <cols>
    <col min="1" max="1" width="13.1363636363636" style="419" customWidth="1"/>
    <col min="2" max="2" width="10.7090909090909" style="419" customWidth="1"/>
    <col min="3" max="3" width="61.1363636363636" style="419" customWidth="1"/>
    <col min="4" max="5" width="10.4272727272727" style="419" customWidth="1" outlineLevel="1"/>
    <col min="6" max="6" width="10.4272727272727" style="418" customWidth="1"/>
    <col min="7" max="7" width="11.4272727272727" style="418" customWidth="1"/>
    <col min="8" max="8" width="23.4272727272727" style="419" customWidth="1"/>
    <col min="9" max="9" width="17.4272727272727" style="419" customWidth="1"/>
    <col min="10" max="10" width="22.7090909090909" style="418" customWidth="1"/>
    <col min="11" max="11" width="15.4272727272727" style="418" customWidth="1"/>
    <col min="12" max="12" width="20" style="418" customWidth="1"/>
    <col min="13" max="13" width="2" style="418" customWidth="1"/>
    <col min="14" max="14" width="16.8545454545455" style="419" customWidth="1"/>
    <col min="15" max="15" width="14.4272727272727" style="419" customWidth="1"/>
    <col min="16" max="16" width="17.8545454545455" style="419" customWidth="1"/>
    <col min="17" max="17" width="13.4272727272727" style="419" customWidth="1"/>
    <col min="18" max="18" width="9.13636363636364" style="419"/>
    <col min="19" max="22" width="9.42727272727273" style="419" customWidth="1"/>
    <col min="23" max="16384" width="9.13636363636364" style="419"/>
  </cols>
  <sheetData>
    <row r="2" spans="2:3">
      <c r="B2" s="420" t="s">
        <v>0</v>
      </c>
      <c r="C2" s="420"/>
    </row>
    <row r="3" spans="2:3">
      <c r="B3" s="420" t="s">
        <v>1</v>
      </c>
      <c r="C3" s="420"/>
    </row>
    <row r="4" outlineLevel="1" spans="4:16">
      <c r="D4" s="421">
        <v>80721</v>
      </c>
      <c r="E4" s="421">
        <v>80752</v>
      </c>
      <c r="F4" s="421">
        <v>80780</v>
      </c>
      <c r="G4" s="421">
        <v>80811</v>
      </c>
      <c r="H4" s="421">
        <v>80841</v>
      </c>
      <c r="I4" s="421">
        <v>80872</v>
      </c>
      <c r="J4" s="421">
        <v>80902</v>
      </c>
      <c r="K4" s="421">
        <v>80933</v>
      </c>
      <c r="L4" s="421">
        <v>80964</v>
      </c>
      <c r="N4" s="421">
        <v>80994</v>
      </c>
      <c r="O4" s="421">
        <v>81025</v>
      </c>
      <c r="P4" s="421">
        <v>81055</v>
      </c>
    </row>
    <row r="5" outlineLevel="1" spans="2:16">
      <c r="B5" s="422" t="s">
        <v>2</v>
      </c>
      <c r="C5" s="422"/>
      <c r="D5" s="423">
        <f>[25]FX!D28</f>
        <v>1.3221</v>
      </c>
      <c r="E5" s="424">
        <f>D6</f>
        <v>1.329</v>
      </c>
      <c r="F5" s="424">
        <f>E6</f>
        <v>1.3326</v>
      </c>
      <c r="G5" s="424">
        <f>F6</f>
        <v>1.3448</v>
      </c>
      <c r="H5" s="425">
        <f>G6</f>
        <v>1.3308</v>
      </c>
      <c r="I5" s="455">
        <f>H6</f>
        <v>1.3217</v>
      </c>
      <c r="J5" s="455"/>
      <c r="K5" s="455"/>
      <c r="L5" s="456"/>
      <c r="M5" s="424"/>
      <c r="N5" s="457"/>
      <c r="O5" s="424"/>
      <c r="P5" s="424"/>
    </row>
    <row r="6" outlineLevel="1" spans="2:16">
      <c r="B6" s="426" t="s">
        <v>3</v>
      </c>
      <c r="C6" s="426"/>
      <c r="D6" s="423">
        <f>[25]FX!E28</f>
        <v>1.329</v>
      </c>
      <c r="E6" s="424">
        <f>[25]FX!E29</f>
        <v>1.3326</v>
      </c>
      <c r="F6" s="424">
        <f>[25]FX!E30</f>
        <v>1.3448</v>
      </c>
      <c r="G6" s="424">
        <f>[25]FX!E31</f>
        <v>1.3308</v>
      </c>
      <c r="H6" s="424">
        <f>[25]FX!E32</f>
        <v>1.3217</v>
      </c>
      <c r="I6" s="424">
        <f>[25]FX!E33</f>
        <v>1.3454</v>
      </c>
      <c r="J6" s="456"/>
      <c r="K6" s="456"/>
      <c r="L6" s="457"/>
      <c r="M6" s="457"/>
      <c r="N6" s="455"/>
      <c r="O6" s="455"/>
      <c r="P6" s="455"/>
    </row>
    <row r="7" spans="4:17">
      <c r="D7" s="427"/>
      <c r="E7" s="427"/>
      <c r="F7" s="427"/>
      <c r="G7" s="427"/>
      <c r="H7" s="427"/>
      <c r="I7" s="427"/>
      <c r="J7" s="458"/>
      <c r="K7" s="459"/>
      <c r="L7" s="459"/>
      <c r="M7" s="459"/>
      <c r="N7" s="418"/>
      <c r="O7" s="418"/>
      <c r="P7" s="418"/>
      <c r="Q7" s="418"/>
    </row>
    <row r="8" spans="2:13">
      <c r="B8" s="427" t="s">
        <v>4</v>
      </c>
      <c r="C8" s="427"/>
      <c r="D8" s="428"/>
      <c r="E8" s="428"/>
      <c r="F8" s="429" t="s">
        <v>5</v>
      </c>
      <c r="G8" s="429" t="s">
        <v>6</v>
      </c>
      <c r="J8" s="419"/>
      <c r="K8" s="419"/>
      <c r="L8" s="419"/>
      <c r="M8" s="419"/>
    </row>
    <row r="9" s="418" customFormat="1" spans="2:17">
      <c r="B9" s="430"/>
      <c r="C9" s="431"/>
      <c r="D9" s="432"/>
      <c r="E9" s="432"/>
      <c r="F9" s="433"/>
      <c r="G9" s="434"/>
      <c r="H9" s="419"/>
      <c r="I9" s="460"/>
      <c r="J9" s="460"/>
      <c r="N9" s="419"/>
      <c r="O9" s="419"/>
      <c r="P9" s="419"/>
      <c r="Q9" s="419"/>
    </row>
    <row r="10" s="418" customFormat="1" spans="2:17">
      <c r="B10" s="430"/>
      <c r="C10" s="431"/>
      <c r="D10" s="432"/>
      <c r="E10" s="432"/>
      <c r="F10" s="433"/>
      <c r="G10" s="434"/>
      <c r="H10" s="419"/>
      <c r="I10" s="460"/>
      <c r="J10" s="460"/>
      <c r="N10" s="419"/>
      <c r="O10" s="419"/>
      <c r="P10" s="419"/>
      <c r="Q10" s="419"/>
    </row>
    <row r="11" s="418" customFormat="1" spans="2:17">
      <c r="B11" s="430"/>
      <c r="C11" s="430"/>
      <c r="D11" s="435"/>
      <c r="E11" s="435"/>
      <c r="F11" s="436"/>
      <c r="G11" s="437"/>
      <c r="H11" s="419"/>
      <c r="I11" s="460"/>
      <c r="J11" s="460"/>
      <c r="N11" s="419"/>
      <c r="O11" s="419"/>
      <c r="P11" s="419"/>
      <c r="Q11" s="419"/>
    </row>
    <row r="12" s="418" customFormat="1" hidden="1" spans="2:17">
      <c r="B12" s="430"/>
      <c r="C12" s="416" t="s">
        <v>7</v>
      </c>
      <c r="D12" s="435"/>
      <c r="E12" s="435"/>
      <c r="F12" s="438">
        <f>SUM(F13:F21)</f>
        <v>0</v>
      </c>
      <c r="G12" s="438">
        <f>SUM(G13:G21)</f>
        <v>0</v>
      </c>
      <c r="H12" s="439"/>
      <c r="I12" s="460"/>
      <c r="J12" s="460"/>
      <c r="N12" s="419"/>
      <c r="O12" s="419"/>
      <c r="P12" s="419"/>
      <c r="Q12" s="419"/>
    </row>
    <row r="13" s="418" customFormat="1" hidden="1" outlineLevel="1" spans="2:17">
      <c r="B13" s="430"/>
      <c r="C13" s="430" t="s">
        <v>8</v>
      </c>
      <c r="D13" s="435"/>
      <c r="E13" s="435"/>
      <c r="F13" s="440">
        <v>2666.67</v>
      </c>
      <c r="G13" s="437">
        <v>1913.51176808266</v>
      </c>
      <c r="H13" s="419"/>
      <c r="I13" s="460"/>
      <c r="J13" s="460"/>
      <c r="N13" s="419"/>
      <c r="O13" s="419"/>
      <c r="P13" s="419"/>
      <c r="Q13" s="419"/>
    </row>
    <row r="14" s="418" customFormat="1" hidden="1" outlineLevel="1" spans="2:17">
      <c r="B14" s="430"/>
      <c r="C14" s="430" t="s">
        <v>9</v>
      </c>
      <c r="D14" s="435"/>
      <c r="E14" s="435"/>
      <c r="F14" s="440">
        <v>-2000</v>
      </c>
      <c r="G14" s="437">
        <v>-1455.07457257184</v>
      </c>
      <c r="H14" s="419"/>
      <c r="I14" s="460"/>
      <c r="J14" s="460"/>
      <c r="N14" s="419"/>
      <c r="O14" s="419"/>
      <c r="P14" s="419"/>
      <c r="Q14" s="419"/>
    </row>
    <row r="15" s="418" customFormat="1" hidden="1" outlineLevel="1" spans="2:17">
      <c r="B15" s="430"/>
      <c r="C15" s="430" t="s">
        <v>10</v>
      </c>
      <c r="D15" s="435"/>
      <c r="E15" s="435"/>
      <c r="F15" s="440">
        <v>666.67</v>
      </c>
      <c r="G15" s="437">
        <v>485.027282648236</v>
      </c>
      <c r="H15" s="419"/>
      <c r="I15" s="460"/>
      <c r="J15" s="460"/>
      <c r="N15" s="419"/>
      <c r="O15" s="419"/>
      <c r="P15" s="419"/>
      <c r="Q15" s="419"/>
    </row>
    <row r="16" s="418" customFormat="1" hidden="1" outlineLevel="1" spans="2:17">
      <c r="B16" s="430"/>
      <c r="C16" s="430" t="s">
        <v>11</v>
      </c>
      <c r="D16" s="435"/>
      <c r="E16" s="435"/>
      <c r="F16" s="440">
        <v>666.67</v>
      </c>
      <c r="G16" s="437">
        <v>490.090421230611</v>
      </c>
      <c r="H16" s="419"/>
      <c r="I16" s="460"/>
      <c r="J16" s="460"/>
      <c r="N16" s="419"/>
      <c r="O16" s="419"/>
      <c r="P16" s="419"/>
      <c r="Q16" s="419"/>
    </row>
    <row r="17" s="418" customFormat="1" hidden="1" outlineLevel="1" spans="2:17">
      <c r="B17" s="430"/>
      <c r="C17" s="430" t="s">
        <v>12</v>
      </c>
      <c r="D17" s="435"/>
      <c r="E17" s="435"/>
      <c r="F17" s="440">
        <v>666.67</v>
      </c>
      <c r="G17" s="437">
        <v>488.259850593233</v>
      </c>
      <c r="H17" s="419"/>
      <c r="I17" s="460"/>
      <c r="J17" s="460"/>
      <c r="N17" s="419"/>
      <c r="O17" s="419"/>
      <c r="P17" s="419"/>
      <c r="Q17" s="419"/>
    </row>
    <row r="18" s="418" customFormat="1" hidden="1" outlineLevel="1" spans="2:17">
      <c r="B18" s="430"/>
      <c r="C18" s="430" t="s">
        <v>13</v>
      </c>
      <c r="D18" s="435"/>
      <c r="E18" s="435"/>
      <c r="F18" s="440">
        <v>666.67</v>
      </c>
      <c r="G18" s="437">
        <v>487.902517564403</v>
      </c>
      <c r="H18" s="419"/>
      <c r="I18" s="460"/>
      <c r="J18" s="460"/>
      <c r="N18" s="419"/>
      <c r="O18" s="419"/>
      <c r="P18" s="419"/>
      <c r="Q18" s="419"/>
    </row>
    <row r="19" s="418" customFormat="1" hidden="1" outlineLevel="1" spans="2:17">
      <c r="B19" s="430"/>
      <c r="C19" s="430" t="s">
        <v>14</v>
      </c>
      <c r="D19" s="435"/>
      <c r="E19" s="435"/>
      <c r="F19" s="441">
        <v>-2000</v>
      </c>
      <c r="G19" s="434">
        <v>-1490.75730471079</v>
      </c>
      <c r="H19" s="419"/>
      <c r="I19" s="460"/>
      <c r="J19" s="460"/>
      <c r="N19" s="419"/>
      <c r="O19" s="419"/>
      <c r="P19" s="419"/>
      <c r="Q19" s="419"/>
    </row>
    <row r="20" s="418" customFormat="1" hidden="1" outlineLevel="1" spans="2:17">
      <c r="B20" s="430"/>
      <c r="C20" s="430" t="s">
        <v>15</v>
      </c>
      <c r="D20" s="435"/>
      <c r="E20" s="435"/>
      <c r="F20" s="441">
        <v>666.67</v>
      </c>
      <c r="G20" s="434">
        <v>496.921586165772</v>
      </c>
      <c r="H20" s="419"/>
      <c r="I20" s="460"/>
      <c r="J20" s="460"/>
      <c r="N20" s="419"/>
      <c r="O20" s="419"/>
      <c r="P20" s="419"/>
      <c r="Q20" s="419"/>
    </row>
    <row r="21" s="418" customFormat="1" outlineLevel="1" spans="2:17">
      <c r="B21" s="430"/>
      <c r="C21" s="430" t="s">
        <v>16</v>
      </c>
      <c r="D21" s="435"/>
      <c r="E21" s="435"/>
      <c r="F21" s="441">
        <v>-2000.02</v>
      </c>
      <c r="G21" s="434">
        <f>-SUM(G13:G20)</f>
        <v>-1415.88154900228</v>
      </c>
      <c r="H21" s="419"/>
      <c r="I21" s="460"/>
      <c r="J21" s="460"/>
      <c r="N21" s="419"/>
      <c r="O21" s="419"/>
      <c r="P21" s="419"/>
      <c r="Q21" s="419"/>
    </row>
    <row r="22" s="418" customFormat="1" spans="2:17">
      <c r="B22" s="430"/>
      <c r="C22" s="430"/>
      <c r="D22" s="435"/>
      <c r="E22" s="435"/>
      <c r="F22" s="440"/>
      <c r="G22" s="437"/>
      <c r="H22" s="419"/>
      <c r="I22" s="460"/>
      <c r="J22" s="460"/>
      <c r="N22" s="419"/>
      <c r="O22" s="419"/>
      <c r="P22" s="419"/>
      <c r="Q22" s="419"/>
    </row>
    <row r="23" s="418" customFormat="1" spans="2:17">
      <c r="B23" s="430"/>
      <c r="C23" s="416" t="s">
        <v>17</v>
      </c>
      <c r="D23" s="435"/>
      <c r="E23" s="435"/>
      <c r="F23" s="442">
        <f>SUM(F24:F29)</f>
        <v>4999.97</v>
      </c>
      <c r="G23" s="442">
        <f>SUM(G24:G29)</f>
        <v>3634.72699837297</v>
      </c>
      <c r="H23" s="419"/>
      <c r="I23" s="460"/>
      <c r="J23" s="460"/>
      <c r="N23" s="419"/>
      <c r="O23" s="419"/>
      <c r="P23" s="419"/>
      <c r="Q23" s="419"/>
    </row>
    <row r="24" s="418" customFormat="1" hidden="1" outlineLevel="1" spans="2:17">
      <c r="B24" s="430"/>
      <c r="C24" s="430" t="s">
        <v>18</v>
      </c>
      <c r="D24" s="435"/>
      <c r="E24" s="435"/>
      <c r="F24" s="440">
        <v>2222.22</v>
      </c>
      <c r="G24" s="437">
        <v>1594.58955223881</v>
      </c>
      <c r="H24" s="419"/>
      <c r="I24" s="460"/>
      <c r="J24" s="460"/>
      <c r="N24" s="419"/>
      <c r="O24" s="419"/>
      <c r="P24" s="419"/>
      <c r="Q24" s="419"/>
    </row>
    <row r="25" s="418" customFormat="1" hidden="1" outlineLevel="1" spans="2:17">
      <c r="B25" s="430"/>
      <c r="C25" s="430" t="s">
        <v>19</v>
      </c>
      <c r="D25" s="435"/>
      <c r="E25" s="435"/>
      <c r="F25" s="440">
        <v>555.55</v>
      </c>
      <c r="G25" s="437">
        <v>404.183339396144</v>
      </c>
      <c r="H25" s="419"/>
      <c r="I25" s="460"/>
      <c r="J25" s="460"/>
      <c r="N25" s="419"/>
      <c r="O25" s="419"/>
      <c r="P25" s="419"/>
      <c r="Q25" s="419"/>
    </row>
    <row r="26" s="418" customFormat="1" hidden="1" outlineLevel="1" spans="2:17">
      <c r="B26" s="430"/>
      <c r="C26" s="430" t="s">
        <v>11</v>
      </c>
      <c r="D26" s="435"/>
      <c r="E26" s="435"/>
      <c r="F26" s="440">
        <v>555.55</v>
      </c>
      <c r="G26" s="437">
        <v>408.402558259207</v>
      </c>
      <c r="H26" s="419"/>
      <c r="I26" s="460"/>
      <c r="J26" s="460"/>
      <c r="N26" s="419"/>
      <c r="O26" s="419"/>
      <c r="P26" s="419"/>
      <c r="Q26" s="419"/>
    </row>
    <row r="27" s="418" customFormat="1" hidden="1" outlineLevel="1" spans="2:17">
      <c r="B27" s="430"/>
      <c r="C27" s="430" t="s">
        <v>12</v>
      </c>
      <c r="D27" s="435"/>
      <c r="E27" s="435"/>
      <c r="F27" s="440">
        <v>555.55</v>
      </c>
      <c r="G27" s="437">
        <v>406.877105610078</v>
      </c>
      <c r="H27" s="419"/>
      <c r="I27" s="460"/>
      <c r="J27" s="460"/>
      <c r="N27" s="419"/>
      <c r="O27" s="419"/>
      <c r="P27" s="419"/>
      <c r="Q27" s="419"/>
    </row>
    <row r="28" s="418" customFormat="1" hidden="1" outlineLevel="1" spans="2:17">
      <c r="B28" s="430"/>
      <c r="C28" s="430" t="s">
        <v>13</v>
      </c>
      <c r="D28" s="435"/>
      <c r="E28" s="435"/>
      <c r="F28" s="440">
        <v>555.55</v>
      </c>
      <c r="G28" s="437">
        <v>406.579332552693</v>
      </c>
      <c r="H28" s="419"/>
      <c r="I28" s="460"/>
      <c r="J28" s="460"/>
      <c r="N28" s="419"/>
      <c r="O28" s="419"/>
      <c r="P28" s="419"/>
      <c r="Q28" s="419"/>
    </row>
    <row r="29" s="418" customFormat="1" hidden="1" outlineLevel="1" spans="2:17">
      <c r="B29" s="430"/>
      <c r="C29" s="430" t="s">
        <v>15</v>
      </c>
      <c r="D29" s="435"/>
      <c r="E29" s="435"/>
      <c r="F29" s="441">
        <v>555.55</v>
      </c>
      <c r="G29" s="434">
        <v>414.095110316041</v>
      </c>
      <c r="H29" s="419"/>
      <c r="I29" s="460"/>
      <c r="J29" s="460"/>
      <c r="N29" s="419"/>
      <c r="O29" s="419"/>
      <c r="P29" s="419"/>
      <c r="Q29" s="419"/>
    </row>
    <row r="30" s="418" customFormat="1" collapsed="1" spans="2:17">
      <c r="B30" s="430"/>
      <c r="C30" s="430"/>
      <c r="D30" s="435"/>
      <c r="E30" s="435"/>
      <c r="F30" s="440"/>
      <c r="G30" s="437"/>
      <c r="H30" s="419"/>
      <c r="I30" s="460"/>
      <c r="J30" s="460"/>
      <c r="N30" s="419"/>
      <c r="O30" s="419"/>
      <c r="P30" s="419"/>
      <c r="Q30" s="419"/>
    </row>
    <row r="31" s="418" customFormat="1" spans="2:17">
      <c r="B31" s="430"/>
      <c r="C31" s="416" t="s">
        <v>20</v>
      </c>
      <c r="D31" s="443"/>
      <c r="E31" s="443"/>
      <c r="F31" s="442">
        <f>SUM(F32:F37)</f>
        <v>0</v>
      </c>
      <c r="G31" s="442">
        <f>SUM(G32:G37)</f>
        <v>0</v>
      </c>
      <c r="H31" s="444"/>
      <c r="I31" s="460"/>
      <c r="J31" s="460"/>
      <c r="N31" s="419"/>
      <c r="O31" s="419"/>
      <c r="P31" s="419"/>
      <c r="Q31" s="419"/>
    </row>
    <row r="32" s="418" customFormat="1" hidden="1" outlineLevel="1" spans="2:17">
      <c r="B32" s="430"/>
      <c r="C32" s="430" t="s">
        <v>21</v>
      </c>
      <c r="D32" s="435"/>
      <c r="E32" s="435"/>
      <c r="F32" s="440">
        <v>6666.66666666667</v>
      </c>
      <c r="G32" s="437">
        <v>4850.24857523948</v>
      </c>
      <c r="H32" s="419"/>
      <c r="I32" s="460"/>
      <c r="J32" s="460"/>
      <c r="N32" s="419"/>
      <c r="O32" s="419"/>
      <c r="P32" s="419"/>
      <c r="Q32" s="419"/>
    </row>
    <row r="33" s="418" customFormat="1" hidden="1" outlineLevel="1" spans="2:17">
      <c r="B33" s="430"/>
      <c r="C33" s="430" t="s">
        <v>11</v>
      </c>
      <c r="D33" s="435"/>
      <c r="E33" s="435"/>
      <c r="F33" s="440">
        <v>1333.33333333333</v>
      </c>
      <c r="G33" s="440">
        <v>980.175941581514</v>
      </c>
      <c r="H33" s="419"/>
      <c r="I33" s="460"/>
      <c r="J33" s="460"/>
      <c r="N33" s="419"/>
      <c r="O33" s="419"/>
      <c r="P33" s="419"/>
      <c r="Q33" s="419"/>
    </row>
    <row r="34" s="418" customFormat="1" hidden="1" outlineLevel="1" spans="2:17">
      <c r="B34" s="430"/>
      <c r="C34" s="430" t="s">
        <v>12</v>
      </c>
      <c r="D34" s="435"/>
      <c r="E34" s="435"/>
      <c r="F34" s="440">
        <v>1333.33333333333</v>
      </c>
      <c r="G34" s="437">
        <v>976.514818612372</v>
      </c>
      <c r="H34" s="419"/>
      <c r="I34" s="460"/>
      <c r="J34" s="460"/>
      <c r="N34" s="419"/>
      <c r="O34" s="419"/>
      <c r="P34" s="419"/>
      <c r="Q34" s="419"/>
    </row>
    <row r="35" s="418" customFormat="1" hidden="1" outlineLevel="1" spans="2:17">
      <c r="B35" s="430"/>
      <c r="C35" s="430" t="s">
        <v>13</v>
      </c>
      <c r="D35" s="435"/>
      <c r="E35" s="435"/>
      <c r="F35" s="440">
        <v>1333.33333333333</v>
      </c>
      <c r="G35" s="437">
        <v>975.800156128025</v>
      </c>
      <c r="H35" s="419"/>
      <c r="I35" s="460"/>
      <c r="J35" s="460"/>
      <c r="N35" s="419"/>
      <c r="O35" s="419"/>
      <c r="P35" s="419"/>
      <c r="Q35" s="419"/>
    </row>
    <row r="36" s="418" customFormat="1" hidden="1" outlineLevel="1" spans="2:17">
      <c r="B36" s="430"/>
      <c r="C36" s="430" t="s">
        <v>15</v>
      </c>
      <c r="D36" s="435"/>
      <c r="E36" s="435"/>
      <c r="F36" s="441">
        <v>1333.33333333333</v>
      </c>
      <c r="G36" s="434">
        <v>993.838203140529</v>
      </c>
      <c r="H36" s="419"/>
      <c r="I36" s="460"/>
      <c r="J36" s="460"/>
      <c r="N36" s="419"/>
      <c r="O36" s="419"/>
      <c r="P36" s="419"/>
      <c r="Q36" s="419"/>
    </row>
    <row r="37" s="418" customFormat="1" hidden="1" outlineLevel="1" spans="2:17">
      <c r="B37" s="430"/>
      <c r="C37" s="430" t="s">
        <v>22</v>
      </c>
      <c r="D37" s="435"/>
      <c r="E37" s="435"/>
      <c r="F37" s="445">
        <v>-12000</v>
      </c>
      <c r="G37" s="446">
        <f>-SUM(G32:G36)</f>
        <v>-8776.57769470192</v>
      </c>
      <c r="H37" s="419"/>
      <c r="I37" s="460"/>
      <c r="J37" s="460"/>
      <c r="N37" s="419"/>
      <c r="O37" s="419"/>
      <c r="P37" s="419"/>
      <c r="Q37" s="419"/>
    </row>
    <row r="38" s="418" customFormat="1" collapsed="1" spans="2:17">
      <c r="B38" s="430"/>
      <c r="C38" s="430"/>
      <c r="D38" s="435"/>
      <c r="E38" s="435"/>
      <c r="F38" s="440"/>
      <c r="G38" s="437"/>
      <c r="H38" s="419"/>
      <c r="I38" s="460"/>
      <c r="J38" s="460"/>
      <c r="N38" s="419"/>
      <c r="O38" s="419"/>
      <c r="P38" s="419"/>
      <c r="Q38" s="419"/>
    </row>
    <row r="39" s="418" customFormat="1" spans="2:17">
      <c r="B39" s="430"/>
      <c r="C39" s="447"/>
      <c r="D39" s="448"/>
      <c r="E39" s="448"/>
      <c r="F39" s="449"/>
      <c r="G39" s="450"/>
      <c r="H39" s="419"/>
      <c r="I39" s="460"/>
      <c r="J39" s="460"/>
      <c r="N39" s="419"/>
      <c r="O39" s="419"/>
      <c r="P39" s="419"/>
      <c r="Q39" s="419"/>
    </row>
    <row r="40" s="418" customFormat="1" spans="2:17">
      <c r="B40" s="430"/>
      <c r="C40" s="416" t="s">
        <v>23</v>
      </c>
      <c r="D40" s="448"/>
      <c r="E40" s="448"/>
      <c r="F40" s="442">
        <f>SUM(F41:F47)</f>
        <v>2000</v>
      </c>
      <c r="G40" s="442">
        <f>SUM(G41:G53)</f>
        <v>1494.04038518955</v>
      </c>
      <c r="H40" s="419"/>
      <c r="I40" s="460"/>
      <c r="J40" s="460"/>
      <c r="N40" s="419"/>
      <c r="O40" s="419"/>
      <c r="P40" s="419"/>
      <c r="Q40" s="419"/>
    </row>
    <row r="41" s="418" customFormat="1" outlineLevel="1" spans="2:17">
      <c r="B41" s="430"/>
      <c r="C41" s="451">
        <v>44197</v>
      </c>
      <c r="D41" s="448"/>
      <c r="E41" s="448"/>
      <c r="F41" s="441">
        <v>666.67</v>
      </c>
      <c r="G41" s="440">
        <f>F41/D5</f>
        <v>504.250813100371</v>
      </c>
      <c r="H41" s="419"/>
      <c r="I41" s="460"/>
      <c r="J41" s="460"/>
      <c r="N41" s="419"/>
      <c r="O41" s="419"/>
      <c r="P41" s="419"/>
      <c r="Q41" s="419"/>
    </row>
    <row r="42" s="418" customFormat="1" outlineLevel="1" spans="2:17">
      <c r="B42" s="430"/>
      <c r="C42" s="451">
        <v>44228</v>
      </c>
      <c r="D42" s="448"/>
      <c r="E42" s="448"/>
      <c r="F42" s="440">
        <v>666.67</v>
      </c>
      <c r="G42" s="440">
        <f>F42/E5</f>
        <v>501.63280662152</v>
      </c>
      <c r="H42" s="419"/>
      <c r="I42" s="460"/>
      <c r="J42" s="460"/>
      <c r="N42" s="419"/>
      <c r="O42" s="419"/>
      <c r="P42" s="419"/>
      <c r="Q42" s="419"/>
    </row>
    <row r="43" s="418" customFormat="1" outlineLevel="1" spans="2:17">
      <c r="B43" s="430"/>
      <c r="C43" s="451">
        <v>44256</v>
      </c>
      <c r="D43" s="448"/>
      <c r="E43" s="448"/>
      <c r="F43" s="440">
        <v>666.66</v>
      </c>
      <c r="G43" s="440">
        <f>F43/F5</f>
        <v>500.27014858172</v>
      </c>
      <c r="H43" s="419"/>
      <c r="I43" s="460"/>
      <c r="J43" s="460"/>
      <c r="N43" s="419"/>
      <c r="O43" s="419"/>
      <c r="P43" s="419"/>
      <c r="Q43" s="419"/>
    </row>
    <row r="44" s="418" customFormat="1" outlineLevel="1" spans="2:17">
      <c r="B44" s="430"/>
      <c r="C44" s="451">
        <v>44287</v>
      </c>
      <c r="D44" s="451"/>
      <c r="E44" s="448"/>
      <c r="F44" s="452">
        <v>666.67</v>
      </c>
      <c r="G44" s="453">
        <f>F44/G5</f>
        <v>495.739143367043</v>
      </c>
      <c r="H44" s="419"/>
      <c r="I44" s="460"/>
      <c r="J44" s="460"/>
      <c r="N44" s="419"/>
      <c r="O44" s="419"/>
      <c r="P44" s="419"/>
      <c r="Q44" s="419"/>
    </row>
    <row r="45" s="418" customFormat="1" outlineLevel="1" spans="2:17">
      <c r="B45" s="430"/>
      <c r="C45" s="451">
        <v>44317</v>
      </c>
      <c r="D45" s="448"/>
      <c r="E45" s="448"/>
      <c r="F45" s="440">
        <v>666.67</v>
      </c>
      <c r="G45" s="440">
        <f>F45/H5</f>
        <v>500.954313195071</v>
      </c>
      <c r="H45" s="419"/>
      <c r="I45" s="460"/>
      <c r="J45" s="460"/>
      <c r="N45" s="419"/>
      <c r="O45" s="419"/>
      <c r="P45" s="419"/>
      <c r="Q45" s="419"/>
    </row>
    <row r="46" s="418" customFormat="1" outlineLevel="1" spans="2:17">
      <c r="B46" s="430"/>
      <c r="C46" s="451">
        <v>44348</v>
      </c>
      <c r="D46" s="448"/>
      <c r="E46" s="448"/>
      <c r="F46" s="440">
        <v>666.66</v>
      </c>
      <c r="G46" s="440">
        <f>F46/I5</f>
        <v>504.39585382462</v>
      </c>
      <c r="H46" s="419"/>
      <c r="I46" s="460"/>
      <c r="J46" s="460"/>
      <c r="N46" s="419"/>
      <c r="O46" s="419"/>
      <c r="P46" s="419"/>
      <c r="Q46" s="419"/>
    </row>
    <row r="47" s="418" customFormat="1" outlineLevel="1" spans="2:17">
      <c r="B47" s="430"/>
      <c r="C47" s="451" t="s">
        <v>24</v>
      </c>
      <c r="D47" s="448"/>
      <c r="E47" s="448"/>
      <c r="F47" s="440">
        <v>-2000</v>
      </c>
      <c r="G47" s="440">
        <f>F47/I5</f>
        <v>-1513.20269350079</v>
      </c>
      <c r="H47" s="419"/>
      <c r="I47" s="460"/>
      <c r="J47" s="460"/>
      <c r="N47" s="419"/>
      <c r="O47" s="419"/>
      <c r="P47" s="419"/>
      <c r="Q47" s="419"/>
    </row>
    <row r="48" s="418" customFormat="1" outlineLevel="1" spans="2:17">
      <c r="B48" s="430"/>
      <c r="C48" s="451">
        <v>44378</v>
      </c>
      <c r="D48" s="448"/>
      <c r="E48" s="448"/>
      <c r="F48" s="440">
        <v>666.67</v>
      </c>
      <c r="G48" s="442"/>
      <c r="H48" s="419"/>
      <c r="I48" s="460"/>
      <c r="J48" s="460"/>
      <c r="N48" s="419"/>
      <c r="O48" s="419"/>
      <c r="P48" s="419"/>
      <c r="Q48" s="419"/>
    </row>
    <row r="49" s="418" customFormat="1" outlineLevel="1" spans="2:17">
      <c r="B49" s="430"/>
      <c r="C49" s="451">
        <v>44409</v>
      </c>
      <c r="D49" s="448"/>
      <c r="E49" s="448"/>
      <c r="F49" s="440">
        <v>666.67</v>
      </c>
      <c r="G49" s="442"/>
      <c r="H49" s="419"/>
      <c r="I49" s="460"/>
      <c r="J49" s="460"/>
      <c r="N49" s="419"/>
      <c r="O49" s="419"/>
      <c r="P49" s="419"/>
      <c r="Q49" s="419"/>
    </row>
    <row r="50" s="418" customFormat="1" outlineLevel="1" spans="2:17">
      <c r="B50" s="430"/>
      <c r="C50" s="451">
        <v>44440</v>
      </c>
      <c r="D50" s="448"/>
      <c r="E50" s="448"/>
      <c r="F50" s="440">
        <v>666.66</v>
      </c>
      <c r="G50" s="442"/>
      <c r="H50" s="419"/>
      <c r="I50" s="460"/>
      <c r="J50" s="460"/>
      <c r="N50" s="419"/>
      <c r="O50" s="419"/>
      <c r="P50" s="419"/>
      <c r="Q50" s="419"/>
    </row>
    <row r="51" s="418" customFormat="1" outlineLevel="1" spans="2:17">
      <c r="B51" s="430"/>
      <c r="C51" s="451">
        <v>44470</v>
      </c>
      <c r="D51" s="448"/>
      <c r="E51" s="448"/>
      <c r="F51" s="440">
        <v>666.67</v>
      </c>
      <c r="G51" s="442"/>
      <c r="H51" s="419"/>
      <c r="I51" s="460"/>
      <c r="J51" s="460"/>
      <c r="N51" s="419"/>
      <c r="O51" s="419"/>
      <c r="P51" s="419"/>
      <c r="Q51" s="419"/>
    </row>
    <row r="52" s="418" customFormat="1" outlineLevel="1" spans="2:17">
      <c r="B52" s="430"/>
      <c r="C52" s="451">
        <v>44501</v>
      </c>
      <c r="D52" s="448"/>
      <c r="E52" s="448"/>
      <c r="F52" s="440">
        <v>666.67</v>
      </c>
      <c r="G52" s="442"/>
      <c r="H52" s="419"/>
      <c r="I52" s="460"/>
      <c r="J52" s="460"/>
      <c r="N52" s="419"/>
      <c r="O52" s="419"/>
      <c r="P52" s="419"/>
      <c r="Q52" s="419"/>
    </row>
    <row r="53" s="418" customFormat="1" outlineLevel="1" spans="2:17">
      <c r="B53" s="430"/>
      <c r="C53" s="451">
        <v>44531</v>
      </c>
      <c r="D53" s="448"/>
      <c r="E53" s="448"/>
      <c r="F53" s="440">
        <v>666.66</v>
      </c>
      <c r="G53" s="442"/>
      <c r="H53" s="419"/>
      <c r="I53" s="460"/>
      <c r="J53" s="460"/>
      <c r="N53" s="419"/>
      <c r="O53" s="419"/>
      <c r="P53" s="419"/>
      <c r="Q53" s="419"/>
    </row>
    <row r="54" s="418" customFormat="1" spans="2:17">
      <c r="B54" s="430"/>
      <c r="C54" s="451"/>
      <c r="D54" s="448"/>
      <c r="E54" s="448"/>
      <c r="F54" s="449"/>
      <c r="G54" s="450"/>
      <c r="H54" s="419"/>
      <c r="I54" s="460"/>
      <c r="J54" s="460"/>
      <c r="N54" s="419"/>
      <c r="O54" s="419"/>
      <c r="P54" s="419"/>
      <c r="Q54" s="419"/>
    </row>
    <row r="55" s="418" customFormat="1" spans="2:17">
      <c r="B55" s="430"/>
      <c r="C55" s="416" t="s">
        <v>25</v>
      </c>
      <c r="D55" s="448"/>
      <c r="E55" s="448"/>
      <c r="F55" s="442">
        <f>SUM(F56:F61)</f>
        <v>2500.02</v>
      </c>
      <c r="G55" s="442">
        <f>SUM(G56:G67)</f>
        <v>1879.54198160026</v>
      </c>
      <c r="H55" s="419"/>
      <c r="I55" s="460"/>
      <c r="J55" s="460"/>
      <c r="N55" s="419"/>
      <c r="O55" s="419"/>
      <c r="P55" s="419"/>
      <c r="Q55" s="419"/>
    </row>
    <row r="56" s="418" customFormat="1" outlineLevel="1" spans="2:17">
      <c r="B56" s="430"/>
      <c r="C56" s="451">
        <v>44197</v>
      </c>
      <c r="D56" s="448"/>
      <c r="E56" s="448"/>
      <c r="F56" s="441">
        <v>416.67</v>
      </c>
      <c r="G56" s="440">
        <f>F56/D5</f>
        <v>315.157703653279</v>
      </c>
      <c r="H56" s="419"/>
      <c r="I56" s="460"/>
      <c r="J56" s="460"/>
      <c r="N56" s="419"/>
      <c r="O56" s="419"/>
      <c r="P56" s="419"/>
      <c r="Q56" s="419"/>
    </row>
    <row r="57" s="418" customFormat="1" outlineLevel="1" spans="2:17">
      <c r="B57" s="430"/>
      <c r="C57" s="451">
        <v>44228</v>
      </c>
      <c r="D57" s="448"/>
      <c r="E57" s="448"/>
      <c r="F57" s="440">
        <v>416.67</v>
      </c>
      <c r="G57" s="440">
        <f>F57/E5</f>
        <v>313.52144469526</v>
      </c>
      <c r="H57" s="419"/>
      <c r="I57" s="460"/>
      <c r="J57" s="460"/>
      <c r="N57" s="419"/>
      <c r="O57" s="419"/>
      <c r="P57" s="419"/>
      <c r="Q57" s="419"/>
    </row>
    <row r="58" s="418" customFormat="1" outlineLevel="1" spans="2:17">
      <c r="B58" s="430"/>
      <c r="C58" s="451">
        <v>44256</v>
      </c>
      <c r="D58" s="448"/>
      <c r="E58" s="448"/>
      <c r="F58" s="440">
        <v>416.67</v>
      </c>
      <c r="G58" s="440">
        <f>F58/F5</f>
        <v>312.674470959027</v>
      </c>
      <c r="H58" s="419"/>
      <c r="I58" s="460"/>
      <c r="J58" s="460"/>
      <c r="N58" s="419"/>
      <c r="O58" s="419"/>
      <c r="P58" s="419"/>
      <c r="Q58" s="419"/>
    </row>
    <row r="59" s="418" customFormat="1" outlineLevel="1" spans="2:17">
      <c r="B59" s="430"/>
      <c r="C59" s="451">
        <v>44287</v>
      </c>
      <c r="D59" s="448"/>
      <c r="E59" s="448"/>
      <c r="F59" s="452">
        <v>416.67</v>
      </c>
      <c r="G59" s="440">
        <f>F59/G5</f>
        <v>309.837894110648</v>
      </c>
      <c r="H59" s="419"/>
      <c r="I59" s="460"/>
      <c r="J59" s="460"/>
      <c r="N59" s="419"/>
      <c r="O59" s="419"/>
      <c r="P59" s="419"/>
      <c r="Q59" s="419"/>
    </row>
    <row r="60" s="418" customFormat="1" outlineLevel="1" spans="2:17">
      <c r="B60" s="430"/>
      <c r="C60" s="451">
        <v>44317</v>
      </c>
      <c r="D60" s="448"/>
      <c r="E60" s="448"/>
      <c r="F60" s="440">
        <v>416.67</v>
      </c>
      <c r="G60" s="454">
        <f>F60/H5</f>
        <v>313.09738503156</v>
      </c>
      <c r="H60" s="419"/>
      <c r="I60" s="460"/>
      <c r="J60" s="460"/>
      <c r="N60" s="419"/>
      <c r="O60" s="419"/>
      <c r="P60" s="419"/>
      <c r="Q60" s="419"/>
    </row>
    <row r="61" s="418" customFormat="1" outlineLevel="1" spans="2:17">
      <c r="B61" s="430"/>
      <c r="C61" s="451">
        <v>44348</v>
      </c>
      <c r="D61" s="448"/>
      <c r="E61" s="448"/>
      <c r="F61" s="440">
        <v>416.67</v>
      </c>
      <c r="G61" s="454">
        <f>F61/I5</f>
        <v>315.253083150488</v>
      </c>
      <c r="H61" s="419"/>
      <c r="I61" s="460"/>
      <c r="J61" s="460"/>
      <c r="N61" s="419"/>
      <c r="O61" s="419"/>
      <c r="P61" s="419"/>
      <c r="Q61" s="419"/>
    </row>
    <row r="62" s="418" customFormat="1" outlineLevel="1" spans="2:17">
      <c r="B62" s="430"/>
      <c r="C62" s="451">
        <v>44378</v>
      </c>
      <c r="D62" s="448"/>
      <c r="E62" s="448"/>
      <c r="F62" s="440">
        <v>416.67</v>
      </c>
      <c r="G62" s="450"/>
      <c r="H62" s="419"/>
      <c r="I62" s="460"/>
      <c r="J62" s="460"/>
      <c r="N62" s="419"/>
      <c r="O62" s="419"/>
      <c r="P62" s="419"/>
      <c r="Q62" s="419"/>
    </row>
    <row r="63" s="418" customFormat="1" outlineLevel="1" spans="2:17">
      <c r="B63" s="430"/>
      <c r="C63" s="451">
        <v>44409</v>
      </c>
      <c r="D63" s="448"/>
      <c r="E63" s="448"/>
      <c r="F63" s="440">
        <v>416.67</v>
      </c>
      <c r="G63" s="450"/>
      <c r="H63" s="419"/>
      <c r="I63" s="460"/>
      <c r="J63" s="460"/>
      <c r="N63" s="419"/>
      <c r="O63" s="419"/>
      <c r="P63" s="419"/>
      <c r="Q63" s="419"/>
    </row>
    <row r="64" s="418" customFormat="1" outlineLevel="1" spans="2:17">
      <c r="B64" s="430"/>
      <c r="C64" s="451">
        <v>44440</v>
      </c>
      <c r="D64" s="448"/>
      <c r="E64" s="448"/>
      <c r="F64" s="440">
        <v>416.67</v>
      </c>
      <c r="G64" s="450"/>
      <c r="H64" s="419"/>
      <c r="I64" s="460"/>
      <c r="J64" s="460"/>
      <c r="N64" s="419"/>
      <c r="O64" s="419"/>
      <c r="P64" s="419"/>
      <c r="Q64" s="419"/>
    </row>
    <row r="65" s="418" customFormat="1" outlineLevel="1" spans="2:17">
      <c r="B65" s="430"/>
      <c r="C65" s="451">
        <v>44470</v>
      </c>
      <c r="D65" s="448"/>
      <c r="E65" s="448"/>
      <c r="F65" s="440">
        <v>416.67</v>
      </c>
      <c r="G65" s="450"/>
      <c r="H65" s="419"/>
      <c r="I65" s="460"/>
      <c r="J65" s="460"/>
      <c r="N65" s="419"/>
      <c r="O65" s="419"/>
      <c r="P65" s="419"/>
      <c r="Q65" s="419"/>
    </row>
    <row r="66" s="418" customFormat="1" outlineLevel="1" spans="2:17">
      <c r="B66" s="430"/>
      <c r="C66" s="451">
        <v>44501</v>
      </c>
      <c r="D66" s="448"/>
      <c r="E66" s="448"/>
      <c r="F66" s="440">
        <v>416.67</v>
      </c>
      <c r="G66" s="450"/>
      <c r="H66" s="419"/>
      <c r="I66" s="460"/>
      <c r="J66" s="460"/>
      <c r="N66" s="419"/>
      <c r="O66" s="419"/>
      <c r="P66" s="419"/>
      <c r="Q66" s="419"/>
    </row>
    <row r="67" s="418" customFormat="1" outlineLevel="1" spans="2:17">
      <c r="B67" s="430"/>
      <c r="C67" s="451">
        <v>44531</v>
      </c>
      <c r="D67" s="448"/>
      <c r="E67" s="448"/>
      <c r="F67" s="440">
        <v>416.63</v>
      </c>
      <c r="G67" s="450"/>
      <c r="H67" s="419"/>
      <c r="I67" s="460"/>
      <c r="J67" s="460"/>
      <c r="N67" s="419"/>
      <c r="O67" s="419"/>
      <c r="P67" s="419"/>
      <c r="Q67" s="419"/>
    </row>
    <row r="68" s="418" customFormat="1" spans="2:17">
      <c r="B68" s="430"/>
      <c r="C68" s="416"/>
      <c r="D68" s="448"/>
      <c r="E68" s="448"/>
      <c r="F68" s="449"/>
      <c r="G68" s="450"/>
      <c r="H68" s="419"/>
      <c r="I68" s="460"/>
      <c r="J68" s="460"/>
      <c r="N68" s="419"/>
      <c r="O68" s="419"/>
      <c r="P68" s="419"/>
      <c r="Q68" s="419"/>
    </row>
    <row r="69" s="418" customFormat="1" spans="2:17">
      <c r="B69" s="430"/>
      <c r="C69" s="461" t="s">
        <v>26</v>
      </c>
      <c r="D69" s="448"/>
      <c r="E69" s="448"/>
      <c r="F69" s="442">
        <f>SUM(F70:F75)</f>
        <v>6739.98</v>
      </c>
      <c r="G69" s="442">
        <f>SUM(G70:G81)</f>
        <v>5067.18960854158</v>
      </c>
      <c r="H69" s="419"/>
      <c r="I69" s="460"/>
      <c r="J69" s="460"/>
      <c r="N69" s="419"/>
      <c r="O69" s="419"/>
      <c r="P69" s="419"/>
      <c r="Q69" s="419"/>
    </row>
    <row r="70" s="418" customFormat="1" outlineLevel="1" spans="2:17">
      <c r="B70" s="430"/>
      <c r="C70" s="451">
        <v>44197</v>
      </c>
      <c r="D70" s="448"/>
      <c r="E70" s="448"/>
      <c r="F70" s="441">
        <v>1123.33</v>
      </c>
      <c r="G70" s="440">
        <f>F70/D5</f>
        <v>849.655850540806</v>
      </c>
      <c r="H70" s="419"/>
      <c r="I70" s="460"/>
      <c r="J70" s="460"/>
      <c r="N70" s="419"/>
      <c r="O70" s="419"/>
      <c r="P70" s="419"/>
      <c r="Q70" s="419"/>
    </row>
    <row r="71" s="418" customFormat="1" outlineLevel="1" spans="2:17">
      <c r="B71" s="430"/>
      <c r="C71" s="451">
        <v>44228</v>
      </c>
      <c r="D71" s="448"/>
      <c r="E71" s="448"/>
      <c r="F71" s="440">
        <v>1123.33</v>
      </c>
      <c r="G71" s="440">
        <f>F71/E5</f>
        <v>845.244544770504</v>
      </c>
      <c r="H71" s="419"/>
      <c r="I71" s="460"/>
      <c r="J71" s="460"/>
      <c r="N71" s="419"/>
      <c r="O71" s="419"/>
      <c r="P71" s="419"/>
      <c r="Q71" s="419"/>
    </row>
    <row r="72" s="418" customFormat="1" outlineLevel="1" spans="2:17">
      <c r="B72" s="430"/>
      <c r="C72" s="451">
        <v>44256</v>
      </c>
      <c r="D72" s="448"/>
      <c r="E72" s="448"/>
      <c r="F72" s="440">
        <v>1123.33</v>
      </c>
      <c r="G72" s="440">
        <f>F72/F5</f>
        <v>842.961128620741</v>
      </c>
      <c r="H72" s="419"/>
      <c r="I72" s="460"/>
      <c r="J72" s="460"/>
      <c r="N72" s="419"/>
      <c r="O72" s="419"/>
      <c r="P72" s="419"/>
      <c r="Q72" s="419"/>
    </row>
    <row r="73" s="418" customFormat="1" outlineLevel="1" spans="2:17">
      <c r="B73" s="430"/>
      <c r="C73" s="451">
        <v>44287</v>
      </c>
      <c r="D73" s="448"/>
      <c r="E73" s="448"/>
      <c r="F73" s="452">
        <v>1123.33</v>
      </c>
      <c r="G73" s="440">
        <f>F73/G5</f>
        <v>835.313801308745</v>
      </c>
      <c r="H73" s="419"/>
      <c r="I73" s="460"/>
      <c r="J73" s="460"/>
      <c r="N73" s="419"/>
      <c r="O73" s="419"/>
      <c r="P73" s="419"/>
      <c r="Q73" s="419"/>
    </row>
    <row r="74" s="418" customFormat="1" outlineLevel="1" spans="2:17">
      <c r="B74" s="430"/>
      <c r="C74" s="451">
        <v>44317</v>
      </c>
      <c r="D74" s="448"/>
      <c r="E74" s="448"/>
      <c r="F74" s="440">
        <v>1123.33</v>
      </c>
      <c r="G74" s="440">
        <f>F74/H5</f>
        <v>844.101292455666</v>
      </c>
      <c r="H74" s="419"/>
      <c r="I74" s="460"/>
      <c r="J74" s="460"/>
      <c r="N74" s="419"/>
      <c r="O74" s="419"/>
      <c r="P74" s="419"/>
      <c r="Q74" s="419"/>
    </row>
    <row r="75" s="418" customFormat="1" outlineLevel="1" spans="2:17">
      <c r="B75" s="430"/>
      <c r="C75" s="451">
        <v>44348</v>
      </c>
      <c r="D75" s="448"/>
      <c r="E75" s="448"/>
      <c r="F75" s="440">
        <v>1123.33</v>
      </c>
      <c r="G75" s="440">
        <f>F75/I5</f>
        <v>849.912990845124</v>
      </c>
      <c r="H75" s="419"/>
      <c r="I75" s="460"/>
      <c r="J75" s="460"/>
      <c r="N75" s="419"/>
      <c r="O75" s="419"/>
      <c r="P75" s="419"/>
      <c r="Q75" s="419"/>
    </row>
    <row r="76" s="418" customFormat="1" outlineLevel="1" spans="2:17">
      <c r="B76" s="430"/>
      <c r="C76" s="451">
        <v>44378</v>
      </c>
      <c r="D76" s="448"/>
      <c r="E76" s="448"/>
      <c r="F76" s="440">
        <v>1123.33</v>
      </c>
      <c r="G76" s="440"/>
      <c r="H76" s="419"/>
      <c r="I76" s="460"/>
      <c r="J76" s="460"/>
      <c r="N76" s="419"/>
      <c r="O76" s="419"/>
      <c r="P76" s="419"/>
      <c r="Q76" s="419"/>
    </row>
    <row r="77" s="418" customFormat="1" outlineLevel="1" spans="2:17">
      <c r="B77" s="430"/>
      <c r="C77" s="451">
        <v>44409</v>
      </c>
      <c r="D77" s="448"/>
      <c r="E77" s="448"/>
      <c r="F77" s="440">
        <v>1123.33</v>
      </c>
      <c r="G77" s="440"/>
      <c r="H77" s="419"/>
      <c r="I77" s="460"/>
      <c r="J77" s="460"/>
      <c r="N77" s="419"/>
      <c r="O77" s="419"/>
      <c r="P77" s="419"/>
      <c r="Q77" s="419"/>
    </row>
    <row r="78" s="418" customFormat="1" outlineLevel="1" spans="2:17">
      <c r="B78" s="430"/>
      <c r="C78" s="451">
        <v>44440</v>
      </c>
      <c r="D78" s="448"/>
      <c r="E78" s="448"/>
      <c r="F78" s="440">
        <v>1123.33</v>
      </c>
      <c r="G78" s="440"/>
      <c r="H78" s="419"/>
      <c r="I78" s="460"/>
      <c r="J78" s="460"/>
      <c r="N78" s="419"/>
      <c r="O78" s="419"/>
      <c r="P78" s="419"/>
      <c r="Q78" s="419"/>
    </row>
    <row r="79" s="418" customFormat="1" outlineLevel="1" spans="2:17">
      <c r="B79" s="430"/>
      <c r="C79" s="451">
        <v>44470</v>
      </c>
      <c r="D79" s="448"/>
      <c r="E79" s="448"/>
      <c r="F79" s="440">
        <v>1123.33</v>
      </c>
      <c r="G79" s="440"/>
      <c r="H79" s="462"/>
      <c r="I79" s="460"/>
      <c r="J79" s="460"/>
      <c r="N79" s="419"/>
      <c r="O79" s="419"/>
      <c r="P79" s="419"/>
      <c r="Q79" s="419"/>
    </row>
    <row r="80" s="418" customFormat="1" outlineLevel="1" spans="2:17">
      <c r="B80" s="430"/>
      <c r="C80" s="451">
        <v>44501</v>
      </c>
      <c r="D80" s="448"/>
      <c r="E80" s="448"/>
      <c r="F80" s="440">
        <v>1123.33</v>
      </c>
      <c r="G80" s="440"/>
      <c r="H80" s="419"/>
      <c r="I80" s="460"/>
      <c r="J80" s="460"/>
      <c r="N80" s="419"/>
      <c r="O80" s="419"/>
      <c r="P80" s="419"/>
      <c r="Q80" s="419"/>
    </row>
    <row r="81" s="418" customFormat="1" outlineLevel="1" spans="2:17">
      <c r="B81" s="430"/>
      <c r="C81" s="451">
        <v>44531</v>
      </c>
      <c r="D81" s="448"/>
      <c r="E81" s="448"/>
      <c r="F81" s="440">
        <v>1123.37</v>
      </c>
      <c r="G81" s="440"/>
      <c r="H81" s="419"/>
      <c r="I81" s="460"/>
      <c r="J81" s="460"/>
      <c r="N81" s="419"/>
      <c r="O81" s="419"/>
      <c r="P81" s="419"/>
      <c r="Q81" s="419"/>
    </row>
    <row r="82" s="418" customFormat="1" spans="2:17">
      <c r="B82" s="430"/>
      <c r="C82" s="451"/>
      <c r="D82" s="448"/>
      <c r="E82" s="448"/>
      <c r="F82" s="449"/>
      <c r="G82" s="450"/>
      <c r="H82" s="419"/>
      <c r="I82" s="460"/>
      <c r="J82" s="460"/>
      <c r="N82" s="419"/>
      <c r="O82" s="419"/>
      <c r="P82" s="419"/>
      <c r="Q82" s="419"/>
    </row>
    <row r="83" s="418" customFormat="1" spans="2:17">
      <c r="B83" s="430"/>
      <c r="C83" s="461" t="s">
        <v>27</v>
      </c>
      <c r="D83" s="448"/>
      <c r="E83" s="448"/>
      <c r="F83" s="442">
        <f>SUM(F84:F89)</f>
        <v>36139.98</v>
      </c>
      <c r="G83" s="442">
        <f>SUM(G84:G95)</f>
        <v>27170.4264862656</v>
      </c>
      <c r="H83" s="419"/>
      <c r="I83" s="460"/>
      <c r="J83" s="460"/>
      <c r="N83" s="419"/>
      <c r="O83" s="419"/>
      <c r="P83" s="419"/>
      <c r="Q83" s="419"/>
    </row>
    <row r="84" s="418" customFormat="1" outlineLevel="1" spans="2:17">
      <c r="B84" s="430"/>
      <c r="C84" s="451">
        <v>44197</v>
      </c>
      <c r="D84" s="448"/>
      <c r="E84" s="448"/>
      <c r="F84" s="441">
        <v>6023.33</v>
      </c>
      <c r="G84" s="440">
        <f>F84/D5</f>
        <v>4555.8807957038</v>
      </c>
      <c r="H84" s="419"/>
      <c r="I84" s="460"/>
      <c r="J84" s="460"/>
      <c r="N84" s="419"/>
      <c r="O84" s="419"/>
      <c r="P84" s="419"/>
      <c r="Q84" s="419"/>
    </row>
    <row r="85" s="418" customFormat="1" outlineLevel="1" spans="2:17">
      <c r="B85" s="430"/>
      <c r="C85" s="451">
        <v>44228</v>
      </c>
      <c r="D85" s="448"/>
      <c r="E85" s="448"/>
      <c r="F85" s="440">
        <v>6023.33</v>
      </c>
      <c r="G85" s="440">
        <f>F85/E5</f>
        <v>4532.22723852521</v>
      </c>
      <c r="H85" s="419"/>
      <c r="I85" s="460"/>
      <c r="J85" s="460"/>
      <c r="N85" s="419"/>
      <c r="O85" s="419"/>
      <c r="P85" s="419"/>
      <c r="Q85" s="419"/>
    </row>
    <row r="86" s="418" customFormat="1" outlineLevel="1" spans="2:17">
      <c r="B86" s="430"/>
      <c r="C86" s="451">
        <v>44256</v>
      </c>
      <c r="D86" s="448"/>
      <c r="E86" s="448"/>
      <c r="F86" s="440">
        <v>6023.33</v>
      </c>
      <c r="G86" s="440">
        <f>F86/F5</f>
        <v>4519.98349092001</v>
      </c>
      <c r="H86" s="419"/>
      <c r="I86" s="460"/>
      <c r="J86" s="460"/>
      <c r="N86" s="419"/>
      <c r="O86" s="419"/>
      <c r="P86" s="419"/>
      <c r="Q86" s="419"/>
    </row>
    <row r="87" s="418" customFormat="1" outlineLevel="1" spans="2:17">
      <c r="B87" s="430"/>
      <c r="C87" s="451">
        <v>44287</v>
      </c>
      <c r="D87" s="448"/>
      <c r="E87" s="448"/>
      <c r="F87" s="452">
        <v>6023.33</v>
      </c>
      <c r="G87" s="440">
        <f>F87/G5</f>
        <v>4478.97828673409</v>
      </c>
      <c r="H87" s="419"/>
      <c r="I87" s="460"/>
      <c r="J87" s="460"/>
      <c r="N87" s="419"/>
      <c r="O87" s="419"/>
      <c r="P87" s="419"/>
      <c r="Q87" s="419"/>
    </row>
    <row r="88" s="418" customFormat="1" outlineLevel="1" spans="2:17">
      <c r="B88" s="430"/>
      <c r="C88" s="451">
        <v>44317</v>
      </c>
      <c r="D88" s="448"/>
      <c r="E88" s="448"/>
      <c r="F88" s="440">
        <v>6023.33</v>
      </c>
      <c r="G88" s="454">
        <f>F88/H5</f>
        <v>4526.09708446048</v>
      </c>
      <c r="H88" s="419"/>
      <c r="I88" s="460"/>
      <c r="J88" s="460"/>
      <c r="N88" s="419"/>
      <c r="O88" s="419"/>
      <c r="P88" s="419"/>
      <c r="Q88" s="419"/>
    </row>
    <row r="89" s="418" customFormat="1" outlineLevel="1" spans="2:17">
      <c r="B89" s="430"/>
      <c r="C89" s="451">
        <v>44348</v>
      </c>
      <c r="D89" s="448"/>
      <c r="E89" s="448"/>
      <c r="F89" s="440">
        <v>6023.33</v>
      </c>
      <c r="G89" s="454">
        <f>F89/I5</f>
        <v>4557.25958992207</v>
      </c>
      <c r="H89" s="419"/>
      <c r="I89" s="460"/>
      <c r="J89" s="460"/>
      <c r="N89" s="419"/>
      <c r="O89" s="419"/>
      <c r="P89" s="419"/>
      <c r="Q89" s="419"/>
    </row>
    <row r="90" s="418" customFormat="1" outlineLevel="1" spans="2:17">
      <c r="B90" s="430"/>
      <c r="C90" s="451">
        <v>44378</v>
      </c>
      <c r="D90" s="448"/>
      <c r="E90" s="448"/>
      <c r="F90" s="440">
        <v>6023.33</v>
      </c>
      <c r="G90" s="450"/>
      <c r="H90" s="419"/>
      <c r="I90" s="460"/>
      <c r="J90" s="460"/>
      <c r="N90" s="419"/>
      <c r="O90" s="419"/>
      <c r="P90" s="419"/>
      <c r="Q90" s="419"/>
    </row>
    <row r="91" s="418" customFormat="1" outlineLevel="1" spans="2:17">
      <c r="B91" s="430"/>
      <c r="C91" s="451">
        <v>44409</v>
      </c>
      <c r="D91" s="448"/>
      <c r="E91" s="448"/>
      <c r="F91" s="440">
        <v>6023.33</v>
      </c>
      <c r="G91" s="440"/>
      <c r="H91" s="419"/>
      <c r="I91" s="460"/>
      <c r="J91" s="460"/>
      <c r="N91" s="419"/>
      <c r="O91" s="419"/>
      <c r="P91" s="419"/>
      <c r="Q91" s="419"/>
    </row>
    <row r="92" s="418" customFormat="1" outlineLevel="1" spans="2:17">
      <c r="B92" s="430"/>
      <c r="C92" s="451">
        <v>44440</v>
      </c>
      <c r="D92" s="448"/>
      <c r="E92" s="448"/>
      <c r="F92" s="440">
        <v>6023.33</v>
      </c>
      <c r="G92" s="450"/>
      <c r="H92" s="419"/>
      <c r="I92" s="460"/>
      <c r="J92" s="460"/>
      <c r="N92" s="419"/>
      <c r="O92" s="419"/>
      <c r="P92" s="419"/>
      <c r="Q92" s="419"/>
    </row>
    <row r="93" s="418" customFormat="1" outlineLevel="1" spans="2:17">
      <c r="B93" s="430"/>
      <c r="C93" s="451">
        <v>44470</v>
      </c>
      <c r="D93" s="448"/>
      <c r="E93" s="448"/>
      <c r="F93" s="440">
        <v>6023.33</v>
      </c>
      <c r="G93" s="450"/>
      <c r="H93" s="419"/>
      <c r="I93" s="460"/>
      <c r="J93" s="460"/>
      <c r="N93" s="419"/>
      <c r="O93" s="419"/>
      <c r="P93" s="419"/>
      <c r="Q93" s="419"/>
    </row>
    <row r="94" s="418" customFormat="1" outlineLevel="1" spans="2:17">
      <c r="B94" s="430"/>
      <c r="C94" s="451">
        <v>44501</v>
      </c>
      <c r="D94" s="448"/>
      <c r="E94" s="448"/>
      <c r="F94" s="440">
        <v>6023.33</v>
      </c>
      <c r="G94" s="450"/>
      <c r="H94" s="419"/>
      <c r="I94" s="460"/>
      <c r="J94" s="460"/>
      <c r="N94" s="419"/>
      <c r="O94" s="419"/>
      <c r="P94" s="419"/>
      <c r="Q94" s="419"/>
    </row>
    <row r="95" s="418" customFormat="1" outlineLevel="1" spans="2:17">
      <c r="B95" s="430"/>
      <c r="C95" s="451">
        <v>44531</v>
      </c>
      <c r="D95" s="448"/>
      <c r="E95" s="448"/>
      <c r="F95" s="440">
        <v>6023.37</v>
      </c>
      <c r="G95" s="450"/>
      <c r="H95" s="419"/>
      <c r="I95" s="460"/>
      <c r="J95" s="460"/>
      <c r="N95" s="419"/>
      <c r="O95" s="419"/>
      <c r="P95" s="419"/>
      <c r="Q95" s="419"/>
    </row>
    <row r="96" s="418" customFormat="1" spans="2:17">
      <c r="B96" s="430"/>
      <c r="C96" s="451"/>
      <c r="D96" s="448"/>
      <c r="E96" s="448"/>
      <c r="F96" s="449"/>
      <c r="G96" s="450"/>
      <c r="H96" s="419"/>
      <c r="I96" s="460"/>
      <c r="J96" s="460"/>
      <c r="N96" s="419"/>
      <c r="O96" s="419"/>
      <c r="P96" s="419"/>
      <c r="Q96" s="419"/>
    </row>
    <row r="97" s="418" customFormat="1" spans="2:17">
      <c r="B97" s="430"/>
      <c r="C97" s="451"/>
      <c r="D97" s="448"/>
      <c r="E97" s="448"/>
      <c r="F97" s="449"/>
      <c r="G97" s="450"/>
      <c r="H97" s="419"/>
      <c r="I97" s="460"/>
      <c r="J97" s="460"/>
      <c r="N97" s="419"/>
      <c r="O97" s="419"/>
      <c r="P97" s="419"/>
      <c r="Q97" s="419"/>
    </row>
    <row r="98" s="418" customFormat="1" spans="2:17">
      <c r="B98" s="430"/>
      <c r="C98" s="451"/>
      <c r="D98" s="448"/>
      <c r="E98" s="448"/>
      <c r="F98" s="449"/>
      <c r="G98" s="450"/>
      <c r="H98" s="419"/>
      <c r="I98" s="460"/>
      <c r="J98" s="460"/>
      <c r="N98" s="419"/>
      <c r="O98" s="419"/>
      <c r="P98" s="419"/>
      <c r="Q98" s="419"/>
    </row>
    <row r="99" s="418" customFormat="1" spans="2:17">
      <c r="B99" s="430"/>
      <c r="C99" s="451"/>
      <c r="D99" s="448"/>
      <c r="E99" s="448"/>
      <c r="F99" s="449"/>
      <c r="G99" s="450"/>
      <c r="H99" s="419"/>
      <c r="I99" s="460"/>
      <c r="J99" s="460"/>
      <c r="N99" s="419"/>
      <c r="O99" s="419"/>
      <c r="P99" s="419"/>
      <c r="Q99" s="419"/>
    </row>
    <row r="100" s="418" customFormat="1" spans="2:17">
      <c r="B100" s="430"/>
      <c r="C100" s="447"/>
      <c r="D100" s="448"/>
      <c r="E100" s="448"/>
      <c r="F100" s="449"/>
      <c r="G100" s="450"/>
      <c r="H100" s="419"/>
      <c r="I100" s="460"/>
      <c r="J100" s="460"/>
      <c r="N100" s="419"/>
      <c r="O100" s="419"/>
      <c r="P100" s="419"/>
      <c r="Q100" s="419"/>
    </row>
    <row r="101" s="418" customFormat="1" ht="11.45" customHeight="1" spans="2:17">
      <c r="B101" s="430"/>
      <c r="C101" s="463"/>
      <c r="D101" s="464"/>
      <c r="E101" s="464"/>
      <c r="F101" s="465"/>
      <c r="G101" s="466"/>
      <c r="H101" s="419"/>
      <c r="I101" s="460"/>
      <c r="J101" s="460"/>
      <c r="N101" s="419"/>
      <c r="O101" s="419"/>
      <c r="P101" s="419"/>
      <c r="Q101" s="419"/>
    </row>
    <row r="102" s="418" customFormat="1" ht="11.45" customHeight="1" spans="2:17">
      <c r="B102" s="430"/>
      <c r="C102" s="431" t="s">
        <v>28</v>
      </c>
      <c r="D102" s="432"/>
      <c r="E102" s="432"/>
      <c r="F102" s="441">
        <v>15000</v>
      </c>
      <c r="G102" s="434">
        <v>11180.6797853309</v>
      </c>
      <c r="H102" s="419"/>
      <c r="I102" s="460"/>
      <c r="J102" s="460"/>
      <c r="N102" s="419"/>
      <c r="O102" s="419"/>
      <c r="P102" s="419"/>
      <c r="Q102" s="419"/>
    </row>
    <row r="103" s="418" customFormat="1" spans="2:17">
      <c r="B103" s="430"/>
      <c r="C103" s="431"/>
      <c r="D103" s="432"/>
      <c r="E103" s="432"/>
      <c r="F103" s="441"/>
      <c r="G103" s="467"/>
      <c r="H103" s="468"/>
      <c r="I103" s="460"/>
      <c r="J103" s="460"/>
      <c r="N103" s="419"/>
      <c r="O103" s="419"/>
      <c r="P103" s="419"/>
      <c r="Q103" s="419"/>
    </row>
    <row r="104" s="418" customFormat="1" spans="2:17">
      <c r="B104" s="430"/>
      <c r="C104" s="431"/>
      <c r="D104" s="432"/>
      <c r="E104" s="432"/>
      <c r="F104" s="469"/>
      <c r="G104" s="470"/>
      <c r="H104" s="468"/>
      <c r="I104" s="460"/>
      <c r="J104" s="460"/>
      <c r="N104" s="419"/>
      <c r="O104" s="419"/>
      <c r="P104" s="419"/>
      <c r="Q104" s="419"/>
    </row>
    <row r="105" s="418" customFormat="1" spans="2:17">
      <c r="B105" s="430"/>
      <c r="C105" s="430"/>
      <c r="D105" s="435"/>
      <c r="E105" s="435"/>
      <c r="F105" s="440">
        <f>SUM(F102:F104)+F31+F23+F12+F40+F55+F69+F83</f>
        <v>67379.95</v>
      </c>
      <c r="G105" s="440">
        <f>SUM(G102:G104)+G31+G23+G12+G40+G55+G69+G83</f>
        <v>50426.605245301</v>
      </c>
      <c r="H105" s="471"/>
      <c r="I105" s="460"/>
      <c r="J105" s="460"/>
      <c r="N105" s="419"/>
      <c r="O105" s="419"/>
      <c r="P105" s="419"/>
      <c r="Q105" s="419"/>
    </row>
    <row r="106" s="418" customFormat="1" spans="2:17">
      <c r="B106" s="430"/>
      <c r="C106" s="430"/>
      <c r="D106" s="435"/>
      <c r="E106" s="435"/>
      <c r="F106" s="440"/>
      <c r="G106" s="437"/>
      <c r="J106" s="460"/>
      <c r="N106" s="419"/>
      <c r="O106" s="419"/>
      <c r="P106" s="419"/>
      <c r="Q106" s="419"/>
    </row>
    <row r="107" s="418" customFormat="1" spans="2:17">
      <c r="B107" s="430"/>
      <c r="C107" s="430" t="s">
        <v>29</v>
      </c>
      <c r="D107" s="435"/>
      <c r="E107" s="435"/>
      <c r="F107" s="436"/>
      <c r="G107" s="440">
        <f>G109-G105</f>
        <v>-344.882337615505</v>
      </c>
      <c r="H107" s="419"/>
      <c r="I107" s="419"/>
      <c r="O107" s="419"/>
      <c r="P107" s="419"/>
      <c r="Q107" s="419"/>
    </row>
    <row r="108" s="418" customFormat="1" spans="2:17">
      <c r="B108" s="430"/>
      <c r="C108" s="430"/>
      <c r="D108" s="435"/>
      <c r="E108" s="435"/>
      <c r="F108" s="436"/>
      <c r="G108" s="472"/>
      <c r="H108" s="419"/>
      <c r="I108" s="419"/>
      <c r="J108" s="284"/>
      <c r="K108" s="493"/>
      <c r="N108" s="419"/>
      <c r="O108" s="419"/>
      <c r="P108" s="419"/>
      <c r="Q108" s="419"/>
    </row>
    <row r="109" s="418" customFormat="1" spans="2:17">
      <c r="B109" s="430"/>
      <c r="C109" s="419" t="s">
        <v>30</v>
      </c>
      <c r="D109" s="435"/>
      <c r="E109" s="435"/>
      <c r="F109" s="436"/>
      <c r="G109" s="473">
        <f>F105/I6</f>
        <v>50081.7229076855</v>
      </c>
      <c r="H109" s="419"/>
      <c r="I109" s="419"/>
      <c r="J109" s="284"/>
      <c r="K109" s="493"/>
      <c r="N109" s="419"/>
      <c r="O109" s="419"/>
      <c r="P109" s="419"/>
      <c r="Q109" s="419"/>
    </row>
    <row r="110" s="418" customFormat="1" spans="2:17">
      <c r="B110" s="419"/>
      <c r="C110" s="419"/>
      <c r="D110" s="435"/>
      <c r="E110" s="435"/>
      <c r="F110" s="436"/>
      <c r="G110" s="442"/>
      <c r="H110" s="419"/>
      <c r="I110" s="419"/>
      <c r="N110" s="419"/>
      <c r="O110" s="419"/>
      <c r="P110" s="419"/>
      <c r="Q110" s="419"/>
    </row>
    <row r="111" s="418" customFormat="1" spans="2:17">
      <c r="B111" s="419"/>
      <c r="C111" s="474"/>
      <c r="D111" s="475"/>
      <c r="E111" s="475"/>
      <c r="F111" s="476"/>
      <c r="G111" s="465"/>
      <c r="H111" s="468"/>
      <c r="I111" s="419"/>
      <c r="N111" s="419"/>
      <c r="O111" s="419"/>
      <c r="P111" s="419"/>
      <c r="Q111" s="419"/>
    </row>
    <row r="112" s="418" customFormat="1" spans="2:17">
      <c r="B112" s="419"/>
      <c r="C112" s="474"/>
      <c r="D112" s="475"/>
      <c r="E112" s="475"/>
      <c r="F112" s="476"/>
      <c r="G112" s="441"/>
      <c r="H112" s="468"/>
      <c r="I112" s="419"/>
      <c r="N112" s="419"/>
      <c r="O112" s="419"/>
      <c r="P112" s="419"/>
      <c r="Q112" s="419"/>
    </row>
    <row r="113" s="418" customFormat="1" spans="2:17">
      <c r="B113" s="419"/>
      <c r="C113" s="477" t="s">
        <v>31</v>
      </c>
      <c r="D113" s="432"/>
      <c r="E113" s="432"/>
      <c r="F113" s="433"/>
      <c r="G113" s="441">
        <f>20000+10300+10300+10300+10300+10300+10300</f>
        <v>81800</v>
      </c>
      <c r="H113" s="468"/>
      <c r="I113" s="419"/>
      <c r="N113" s="419"/>
      <c r="O113" s="419"/>
      <c r="P113" s="419"/>
      <c r="Q113" s="419"/>
    </row>
    <row r="114" s="418" customFormat="1" spans="2:17">
      <c r="B114" s="419"/>
      <c r="C114" s="477" t="s">
        <v>32</v>
      </c>
      <c r="D114" s="432"/>
      <c r="E114" s="432"/>
      <c r="F114" s="433"/>
      <c r="G114" s="441">
        <v>79500</v>
      </c>
      <c r="H114" s="468"/>
      <c r="I114" s="419"/>
      <c r="N114" s="419"/>
      <c r="O114" s="419"/>
      <c r="P114" s="419"/>
      <c r="Q114" s="419"/>
    </row>
    <row r="115" s="418" customFormat="1" spans="2:17">
      <c r="B115" s="419"/>
      <c r="C115" s="478" t="s">
        <v>33</v>
      </c>
      <c r="D115" s="479"/>
      <c r="E115" s="479"/>
      <c r="F115" s="480"/>
      <c r="G115" s="481">
        <f>213413-37347.35</f>
        <v>176065.65</v>
      </c>
      <c r="H115" s="468" t="s">
        <v>34</v>
      </c>
      <c r="I115" s="419"/>
      <c r="N115" s="419"/>
      <c r="O115" s="419"/>
      <c r="P115" s="419"/>
      <c r="Q115" s="419"/>
    </row>
    <row r="116" s="418" customFormat="1" spans="2:17">
      <c r="B116" s="419"/>
      <c r="C116" s="477"/>
      <c r="D116" s="432"/>
      <c r="E116" s="432"/>
      <c r="F116" s="433"/>
      <c r="G116" s="434"/>
      <c r="H116" s="468"/>
      <c r="I116" s="419"/>
      <c r="N116" s="419"/>
      <c r="O116" s="419"/>
      <c r="P116" s="419"/>
      <c r="Q116" s="419"/>
    </row>
    <row r="117" s="418" customFormat="1" spans="2:17">
      <c r="B117" s="419"/>
      <c r="C117" s="477"/>
      <c r="D117" s="432"/>
      <c r="E117" s="432"/>
      <c r="F117" s="433"/>
      <c r="G117" s="434"/>
      <c r="H117" s="468"/>
      <c r="I117" s="419"/>
      <c r="N117" s="419"/>
      <c r="O117" s="419"/>
      <c r="P117" s="419"/>
      <c r="Q117" s="419"/>
    </row>
    <row r="118" s="418" customFormat="1" spans="2:17">
      <c r="B118" s="419"/>
      <c r="C118" s="477"/>
      <c r="D118" s="432"/>
      <c r="E118" s="432"/>
      <c r="F118" s="433"/>
      <c r="G118" s="434"/>
      <c r="H118" s="468"/>
      <c r="I118" s="419"/>
      <c r="N118" s="419"/>
      <c r="O118" s="419"/>
      <c r="P118" s="419"/>
      <c r="Q118" s="419"/>
    </row>
    <row r="119" s="418" customFormat="1" spans="2:17">
      <c r="B119" s="419"/>
      <c r="C119" s="477"/>
      <c r="D119" s="432"/>
      <c r="E119" s="432"/>
      <c r="F119" s="433"/>
      <c r="G119" s="434"/>
      <c r="H119" s="468"/>
      <c r="I119" s="419"/>
      <c r="N119" s="419"/>
      <c r="O119" s="419"/>
      <c r="P119" s="419"/>
      <c r="Q119" s="419"/>
    </row>
    <row r="120" s="418" customFormat="1" spans="2:17">
      <c r="B120" s="419"/>
      <c r="C120" s="477"/>
      <c r="D120" s="435"/>
      <c r="E120" s="435"/>
      <c r="F120" s="436"/>
      <c r="G120" s="440"/>
      <c r="I120" s="419"/>
      <c r="N120" s="419"/>
      <c r="O120" s="419"/>
      <c r="P120" s="419"/>
      <c r="Q120" s="419"/>
    </row>
    <row r="121" s="418" customFormat="1" spans="2:17">
      <c r="B121" s="419"/>
      <c r="C121" s="420" t="s">
        <v>35</v>
      </c>
      <c r="D121" s="443"/>
      <c r="E121" s="443"/>
      <c r="F121" s="482"/>
      <c r="G121" s="483">
        <f>SUM(G109:G119)</f>
        <v>387447.372907685</v>
      </c>
      <c r="N121" s="419"/>
      <c r="O121" s="419"/>
      <c r="P121" s="419"/>
      <c r="Q121" s="419"/>
    </row>
    <row r="122" s="418" customFormat="1" spans="2:17">
      <c r="B122" s="419"/>
      <c r="C122" s="419"/>
      <c r="D122" s="484"/>
      <c r="E122" s="484"/>
      <c r="F122" s="485"/>
      <c r="G122" s="485"/>
      <c r="H122" s="419"/>
      <c r="O122" s="419"/>
      <c r="P122" s="419"/>
      <c r="Q122" s="419"/>
    </row>
    <row r="123" s="418" customFormat="1" spans="2:17">
      <c r="B123" s="419"/>
      <c r="C123" s="419"/>
      <c r="D123" s="486"/>
      <c r="E123" s="486"/>
      <c r="F123" s="487"/>
      <c r="G123" s="488"/>
      <c r="H123" s="489"/>
      <c r="I123" s="494"/>
      <c r="O123" s="419"/>
      <c r="P123" s="419"/>
      <c r="Q123" s="419"/>
    </row>
    <row r="124" s="418" customFormat="1" spans="1:16">
      <c r="A124" s="419"/>
      <c r="C124" s="471"/>
      <c r="D124" s="471"/>
      <c r="E124" s="471"/>
      <c r="F124" s="490"/>
      <c r="G124" s="490"/>
      <c r="J124" s="494"/>
      <c r="M124" s="419"/>
      <c r="N124" s="419"/>
      <c r="O124" s="419"/>
      <c r="P124" s="419"/>
    </row>
    <row r="125" s="418" customFormat="1" spans="2:17">
      <c r="B125" s="471"/>
      <c r="C125" s="471"/>
      <c r="D125" s="471"/>
      <c r="E125" s="471"/>
      <c r="F125" s="490"/>
      <c r="G125" s="490"/>
      <c r="N125" s="419"/>
      <c r="O125" s="419"/>
      <c r="P125" s="419"/>
      <c r="Q125" s="419"/>
    </row>
    <row r="126" s="418" customFormat="1" spans="1:17">
      <c r="A126" s="419"/>
      <c r="B126" s="491" t="s">
        <v>36</v>
      </c>
      <c r="C126" s="492" t="s">
        <v>37</v>
      </c>
      <c r="D126" s="471"/>
      <c r="E126" s="471"/>
      <c r="F126" s="490">
        <v>259139.83</v>
      </c>
      <c r="G126" s="490">
        <v>189651.51</v>
      </c>
      <c r="J126" s="419"/>
      <c r="K126" s="419"/>
      <c r="N126" s="419"/>
      <c r="O126" s="419"/>
      <c r="P126" s="419"/>
      <c r="Q126" s="419"/>
    </row>
    <row r="127" s="418" customFormat="1" spans="1:17">
      <c r="A127" s="419"/>
      <c r="B127" s="492">
        <v>20855</v>
      </c>
      <c r="C127" s="492"/>
      <c r="D127" s="471"/>
      <c r="E127" s="471"/>
      <c r="F127" s="490">
        <v>23558.17</v>
      </c>
      <c r="G127" s="490">
        <v>17559.7570065593</v>
      </c>
      <c r="N127" s="419"/>
      <c r="O127" s="419"/>
      <c r="P127" s="419"/>
      <c r="Q127" s="419"/>
    </row>
    <row r="128" s="418" customFormat="1" spans="1:17">
      <c r="A128" s="419"/>
      <c r="B128" s="492"/>
      <c r="C128" s="492"/>
      <c r="D128" s="471"/>
      <c r="E128" s="471"/>
      <c r="F128" s="490">
        <v>-77379</v>
      </c>
      <c r="G128" s="490">
        <v>-57676.6547406082</v>
      </c>
      <c r="N128" s="419"/>
      <c r="O128" s="419"/>
      <c r="P128" s="419"/>
      <c r="Q128" s="419"/>
    </row>
    <row r="129" s="418" customFormat="1" spans="1:17">
      <c r="A129" s="419"/>
      <c r="B129" s="492"/>
      <c r="C129" s="492"/>
      <c r="D129" s="471"/>
      <c r="E129" s="471"/>
      <c r="F129" s="495">
        <v>95137.5</v>
      </c>
      <c r="G129" s="495">
        <f>F129/F5</f>
        <v>71392.3908149482</v>
      </c>
      <c r="N129" s="419"/>
      <c r="O129" s="419"/>
      <c r="P129" s="419"/>
      <c r="Q129" s="419"/>
    </row>
    <row r="130" s="418" customFormat="1" spans="1:17">
      <c r="A130" s="419"/>
      <c r="B130" s="492"/>
      <c r="C130" s="492"/>
      <c r="D130" s="471"/>
      <c r="E130" s="471"/>
      <c r="F130" s="490">
        <f>SUM(F126:F129)</f>
        <v>300456.5</v>
      </c>
      <c r="G130" s="490">
        <f>SUM(G126:G129)</f>
        <v>220927.003080899</v>
      </c>
      <c r="N130" s="419"/>
      <c r="O130" s="419"/>
      <c r="P130" s="419"/>
      <c r="Q130" s="419"/>
    </row>
    <row r="131" s="418" customFormat="1" spans="1:17">
      <c r="A131" s="419"/>
      <c r="B131" s="492"/>
      <c r="C131" s="471" t="s">
        <v>38</v>
      </c>
      <c r="D131" s="471"/>
      <c r="E131" s="471"/>
      <c r="F131" s="490"/>
      <c r="G131" s="490">
        <f>G132-G130</f>
        <v>2394.31399952286</v>
      </c>
      <c r="N131" s="419"/>
      <c r="O131" s="419"/>
      <c r="P131" s="419"/>
      <c r="Q131" s="419"/>
    </row>
    <row r="132" s="418" customFormat="1" spans="1:17">
      <c r="A132" s="419"/>
      <c r="B132" s="471"/>
      <c r="C132" s="471"/>
      <c r="D132" s="471"/>
      <c r="E132" s="471"/>
      <c r="F132" s="490"/>
      <c r="G132" s="496">
        <f>F130/I6</f>
        <v>223321.317080422</v>
      </c>
      <c r="N132" s="419"/>
      <c r="O132" s="419"/>
      <c r="P132" s="419"/>
      <c r="Q132" s="419"/>
    </row>
    <row r="133" s="418" customFormat="1" spans="1:17">
      <c r="A133" s="419"/>
      <c r="B133" s="471"/>
      <c r="C133" s="471"/>
      <c r="D133" s="471"/>
      <c r="E133" s="471"/>
      <c r="F133" s="490"/>
      <c r="G133" s="490"/>
      <c r="N133" s="419"/>
      <c r="O133" s="419"/>
      <c r="P133" s="419"/>
      <c r="Q133" s="419"/>
    </row>
    <row r="134" s="418" customFormat="1" spans="1:17">
      <c r="A134" s="419"/>
      <c r="B134" s="471"/>
      <c r="C134" s="471"/>
      <c r="D134" s="471"/>
      <c r="E134" s="471"/>
      <c r="F134" s="490"/>
      <c r="G134" s="490"/>
      <c r="N134" s="419"/>
      <c r="O134" s="419"/>
      <c r="P134" s="419"/>
      <c r="Q134" s="419"/>
    </row>
    <row r="135" s="418" customFormat="1" spans="1:16">
      <c r="A135" s="419"/>
      <c r="B135" s="471"/>
      <c r="C135" s="419"/>
      <c r="D135" s="419"/>
      <c r="E135" s="419"/>
      <c r="F135" s="485"/>
      <c r="G135" s="485"/>
      <c r="M135" s="419"/>
      <c r="N135" s="419"/>
      <c r="O135" s="419"/>
      <c r="P135" s="419"/>
    </row>
    <row r="136" s="418" customFormat="1" spans="1:16">
      <c r="A136" s="419"/>
      <c r="B136" s="419"/>
      <c r="C136" s="419"/>
      <c r="D136" s="419"/>
      <c r="E136" s="419"/>
      <c r="F136" s="485"/>
      <c r="G136" s="485"/>
      <c r="H136" s="419"/>
      <c r="M136" s="419"/>
      <c r="N136" s="419"/>
      <c r="O136" s="419"/>
      <c r="P136" s="419"/>
    </row>
    <row r="137" s="418" customFormat="1" spans="1:16">
      <c r="A137" s="419"/>
      <c r="B137" s="468" t="s">
        <v>39</v>
      </c>
      <c r="C137" s="497" t="s">
        <v>40</v>
      </c>
      <c r="D137" s="420"/>
      <c r="E137" s="420"/>
      <c r="F137" s="485">
        <f>SUM(F138:F143)</f>
        <v>2731062.48</v>
      </c>
      <c r="G137" s="485">
        <f>SUM(G138:G149)</f>
        <v>2053242.20827566</v>
      </c>
      <c r="H137" s="419"/>
      <c r="I137" s="510"/>
      <c r="M137" s="419"/>
      <c r="N137" s="419"/>
      <c r="O137" s="419"/>
      <c r="P137" s="419"/>
    </row>
    <row r="138" s="418" customFormat="1" spans="1:16">
      <c r="A138" s="419"/>
      <c r="B138" s="498" t="s">
        <v>41</v>
      </c>
      <c r="C138" s="499">
        <v>44197</v>
      </c>
      <c r="D138" s="419"/>
      <c r="E138" s="419"/>
      <c r="F138" s="500">
        <v>455177.08</v>
      </c>
      <c r="G138" s="485">
        <f>F138/D5</f>
        <v>344283.397624991</v>
      </c>
      <c r="H138" s="419"/>
      <c r="M138" s="419"/>
      <c r="N138" s="419"/>
      <c r="O138" s="419"/>
      <c r="P138" s="419"/>
    </row>
    <row r="139" s="418" customFormat="1" outlineLevel="1" spans="1:17">
      <c r="A139" s="419"/>
      <c r="B139" s="419"/>
      <c r="C139" s="499">
        <v>44228</v>
      </c>
      <c r="D139" s="419"/>
      <c r="E139" s="419"/>
      <c r="F139" s="485">
        <v>455177.08</v>
      </c>
      <c r="G139" s="485">
        <f>F139/E5</f>
        <v>342495.921745673</v>
      </c>
      <c r="H139" s="419"/>
      <c r="N139" s="419"/>
      <c r="O139" s="419"/>
      <c r="P139" s="419"/>
      <c r="Q139" s="419"/>
    </row>
    <row r="140" s="418" customFormat="1" outlineLevel="1" spans="1:17">
      <c r="A140" s="419"/>
      <c r="B140" s="419"/>
      <c r="C140" s="499">
        <v>44256</v>
      </c>
      <c r="D140" s="419"/>
      <c r="E140" s="419"/>
      <c r="F140" s="485">
        <v>455177.08</v>
      </c>
      <c r="G140" s="485">
        <f>F140/F5</f>
        <v>341570.673870629</v>
      </c>
      <c r="H140" s="419"/>
      <c r="I140" s="511"/>
      <c r="J140" s="510"/>
      <c r="L140" s="419"/>
      <c r="M140" s="419"/>
      <c r="N140" s="419"/>
      <c r="O140" s="419"/>
      <c r="P140" s="419"/>
      <c r="Q140" s="419"/>
    </row>
    <row r="141" s="418" customFormat="1" outlineLevel="1" spans="1:17">
      <c r="A141" s="419"/>
      <c r="B141" s="419"/>
      <c r="C141" s="499">
        <v>44287</v>
      </c>
      <c r="D141" s="419"/>
      <c r="E141" s="419"/>
      <c r="F141" s="485">
        <v>455177.08</v>
      </c>
      <c r="G141" s="485">
        <f>F141/G5</f>
        <v>338471.951219512</v>
      </c>
      <c r="H141" s="419"/>
      <c r="L141" s="419"/>
      <c r="M141" s="419"/>
      <c r="N141" s="419"/>
      <c r="O141" s="419"/>
      <c r="P141" s="419"/>
      <c r="Q141" s="419"/>
    </row>
    <row r="142" outlineLevel="1" spans="3:13">
      <c r="C142" s="499">
        <v>44317</v>
      </c>
      <c r="F142" s="485">
        <v>455177.08</v>
      </c>
      <c r="G142" s="485">
        <f>F142/H5</f>
        <v>342032.672076946</v>
      </c>
      <c r="I142" s="484"/>
      <c r="L142" s="419"/>
      <c r="M142" s="419"/>
    </row>
    <row r="143" s="418" customFormat="1" outlineLevel="1" spans="1:17">
      <c r="A143" s="419"/>
      <c r="B143" s="419"/>
      <c r="C143" s="499">
        <v>44348</v>
      </c>
      <c r="D143" s="419"/>
      <c r="E143" s="419"/>
      <c r="F143" s="485">
        <v>455177.08</v>
      </c>
      <c r="G143" s="485">
        <f>F143/I5</f>
        <v>344387.591737913</v>
      </c>
      <c r="H143" s="419"/>
      <c r="I143" s="512"/>
      <c r="N143" s="513"/>
      <c r="P143" s="419"/>
      <c r="Q143" s="419"/>
    </row>
    <row r="144" s="418" customFormat="1" outlineLevel="1" spans="1:18">
      <c r="A144" s="419"/>
      <c r="B144" s="419"/>
      <c r="C144" s="499">
        <v>44378</v>
      </c>
      <c r="D144" s="419"/>
      <c r="E144" s="419"/>
      <c r="F144" s="485">
        <v>455177.08</v>
      </c>
      <c r="G144" s="485"/>
      <c r="H144" s="419"/>
      <c r="I144" s="419"/>
      <c r="L144" s="419"/>
      <c r="M144" s="419"/>
      <c r="N144" s="419"/>
      <c r="O144" s="419"/>
      <c r="P144" s="419"/>
      <c r="Q144" s="419"/>
      <c r="R144" s="419"/>
    </row>
    <row r="145" s="418" customFormat="1" outlineLevel="1" spans="1:18">
      <c r="A145" s="419"/>
      <c r="B145" s="419"/>
      <c r="C145" s="499">
        <v>44409</v>
      </c>
      <c r="D145" s="419"/>
      <c r="E145" s="419"/>
      <c r="F145" s="485">
        <v>455177.08</v>
      </c>
      <c r="G145" s="485"/>
      <c r="H145" s="419"/>
      <c r="I145" s="419"/>
      <c r="O145" s="419"/>
      <c r="P145" s="419"/>
      <c r="Q145" s="419"/>
      <c r="R145" s="419"/>
    </row>
    <row r="146" s="418" customFormat="1" outlineLevel="1" spans="1:18">
      <c r="A146" s="419"/>
      <c r="B146" s="419"/>
      <c r="C146" s="499">
        <v>44440</v>
      </c>
      <c r="D146" s="419"/>
      <c r="E146" s="419"/>
      <c r="F146" s="485">
        <v>455177.08</v>
      </c>
      <c r="G146" s="485"/>
      <c r="H146" s="419"/>
      <c r="I146" s="419"/>
      <c r="O146" s="419"/>
      <c r="P146" s="419"/>
      <c r="Q146" s="419"/>
      <c r="R146" s="419"/>
    </row>
    <row r="147" s="418" customFormat="1" outlineLevel="1" spans="1:18">
      <c r="A147" s="419"/>
      <c r="B147" s="419"/>
      <c r="C147" s="499">
        <v>44470</v>
      </c>
      <c r="D147" s="419"/>
      <c r="E147" s="419"/>
      <c r="F147" s="485">
        <v>455177.08</v>
      </c>
      <c r="G147" s="485"/>
      <c r="H147" s="419"/>
      <c r="I147" s="419"/>
      <c r="O147" s="419"/>
      <c r="P147" s="419"/>
      <c r="Q147" s="419"/>
      <c r="R147" s="419"/>
    </row>
    <row r="148" s="418" customFormat="1" outlineLevel="1" spans="1:18">
      <c r="A148" s="419"/>
      <c r="B148" s="419"/>
      <c r="C148" s="499">
        <v>44501</v>
      </c>
      <c r="D148" s="419"/>
      <c r="E148" s="419"/>
      <c r="F148" s="485">
        <v>455177.08</v>
      </c>
      <c r="G148" s="485"/>
      <c r="H148" s="419"/>
      <c r="I148" s="419"/>
      <c r="O148" s="419"/>
      <c r="P148" s="419"/>
      <c r="Q148" s="419"/>
      <c r="R148" s="419"/>
    </row>
    <row r="149" s="418" customFormat="1" outlineLevel="1" spans="1:18">
      <c r="A149" s="419"/>
      <c r="B149" s="419"/>
      <c r="C149" s="499">
        <v>44531</v>
      </c>
      <c r="D149" s="419"/>
      <c r="E149" s="419"/>
      <c r="F149" s="485">
        <v>455177.12</v>
      </c>
      <c r="G149" s="485"/>
      <c r="H149" s="419"/>
      <c r="I149" s="419"/>
      <c r="O149" s="514"/>
      <c r="P149" s="513"/>
      <c r="Q149" s="419"/>
      <c r="R149" s="419"/>
    </row>
    <row r="150" s="418" customFormat="1" outlineLevel="1" spans="1:18">
      <c r="A150" s="419"/>
      <c r="B150" s="419"/>
      <c r="C150" s="471" t="s">
        <v>38</v>
      </c>
      <c r="D150" s="419"/>
      <c r="E150" s="419"/>
      <c r="F150" s="485"/>
      <c r="G150" s="485">
        <f>G151-G137</f>
        <v>-23316.1788420386</v>
      </c>
      <c r="H150" s="419"/>
      <c r="I150" s="419"/>
      <c r="L150" s="515"/>
      <c r="M150" s="515"/>
      <c r="N150" s="460"/>
      <c r="O150" s="460"/>
      <c r="P150" s="516"/>
      <c r="Q150" s="520"/>
      <c r="R150" s="419"/>
    </row>
    <row r="151" s="418" customFormat="1" ht="12.75" spans="1:18">
      <c r="A151" s="419"/>
      <c r="B151" s="419"/>
      <c r="D151" s="419"/>
      <c r="E151" s="419"/>
      <c r="F151" s="485"/>
      <c r="G151" s="501">
        <f>F137/I6</f>
        <v>2029926.02943363</v>
      </c>
      <c r="H151" s="419"/>
      <c r="I151" s="419"/>
      <c r="L151" s="484"/>
      <c r="M151" s="484"/>
      <c r="N151" s="419"/>
      <c r="O151" s="419"/>
      <c r="P151" s="517"/>
      <c r="Q151" s="419"/>
      <c r="R151" s="419"/>
    </row>
    <row r="152" s="418" customFormat="1" ht="11.25" spans="1:17">
      <c r="A152" s="419"/>
      <c r="C152" s="419"/>
      <c r="D152" s="419"/>
      <c r="E152" s="419"/>
      <c r="F152" s="485"/>
      <c r="G152" s="485"/>
      <c r="H152" s="419"/>
      <c r="I152" s="460"/>
      <c r="L152" s="484"/>
      <c r="M152" s="484"/>
      <c r="N152" s="518"/>
      <c r="O152" s="460"/>
      <c r="P152" s="519"/>
      <c r="Q152" s="520"/>
    </row>
    <row r="153" spans="6:17">
      <c r="F153" s="485"/>
      <c r="G153" s="485"/>
      <c r="L153" s="484"/>
      <c r="M153" s="484"/>
      <c r="P153" s="519"/>
      <c r="Q153" s="519"/>
    </row>
    <row r="154" spans="3:7">
      <c r="C154" s="471" t="s">
        <v>42</v>
      </c>
      <c r="D154" s="420"/>
      <c r="E154" s="420"/>
      <c r="F154" s="485">
        <f>SUM(F155:F160)</f>
        <v>122400</v>
      </c>
      <c r="G154" s="485">
        <f>SUM(G155:G166)</f>
        <v>92021.6392460349</v>
      </c>
    </row>
    <row r="155" spans="2:7">
      <c r="B155" s="502">
        <v>20856</v>
      </c>
      <c r="C155" s="499">
        <v>44197</v>
      </c>
      <c r="F155" s="500">
        <f>244800/12</f>
        <v>20400</v>
      </c>
      <c r="G155" s="485">
        <f>F155/D5</f>
        <v>15429.9977308827</v>
      </c>
    </row>
    <row r="156" outlineLevel="1" spans="3:7">
      <c r="C156" s="499">
        <v>44228</v>
      </c>
      <c r="F156" s="485">
        <f t="shared" ref="F156:F166" si="0">244800/12</f>
        <v>20400</v>
      </c>
      <c r="G156" s="485">
        <f>F156/E5</f>
        <v>15349.8871331828</v>
      </c>
    </row>
    <row r="157" outlineLevel="1" spans="3:7">
      <c r="C157" s="499">
        <v>44256</v>
      </c>
      <c r="F157" s="485">
        <f t="shared" si="0"/>
        <v>20400</v>
      </c>
      <c r="G157" s="485">
        <f>F157/F5</f>
        <v>15308.4196307969</v>
      </c>
    </row>
    <row r="158" outlineLevel="1" spans="3:7">
      <c r="C158" s="499">
        <v>44287</v>
      </c>
      <c r="F158" s="485">
        <f t="shared" si="0"/>
        <v>20400</v>
      </c>
      <c r="G158" s="485">
        <f>F158/G5</f>
        <v>15169.5419393218</v>
      </c>
    </row>
    <row r="159" outlineLevel="1" spans="3:7">
      <c r="C159" s="499">
        <v>44317</v>
      </c>
      <c r="F159" s="485">
        <f t="shared" si="0"/>
        <v>20400</v>
      </c>
      <c r="G159" s="485">
        <f>F159/H5</f>
        <v>15329.1253381425</v>
      </c>
    </row>
    <row r="160" outlineLevel="1" spans="3:7">
      <c r="C160" s="499">
        <v>44348</v>
      </c>
      <c r="F160" s="485">
        <f t="shared" si="0"/>
        <v>20400</v>
      </c>
      <c r="G160" s="485">
        <f>F160/I5</f>
        <v>15434.6674737081</v>
      </c>
    </row>
    <row r="161" outlineLevel="1" spans="3:7">
      <c r="C161" s="499">
        <v>44378</v>
      </c>
      <c r="F161" s="485">
        <f t="shared" si="0"/>
        <v>20400</v>
      </c>
      <c r="G161" s="485"/>
    </row>
    <row r="162" outlineLevel="1" spans="3:7">
      <c r="C162" s="499">
        <v>44409</v>
      </c>
      <c r="F162" s="485">
        <f t="shared" si="0"/>
        <v>20400</v>
      </c>
      <c r="G162" s="485"/>
    </row>
    <row r="163" outlineLevel="1" spans="3:7">
      <c r="C163" s="499">
        <v>44440</v>
      </c>
      <c r="F163" s="485">
        <f t="shared" si="0"/>
        <v>20400</v>
      </c>
      <c r="G163" s="485"/>
    </row>
    <row r="164" outlineLevel="1" spans="3:7">
      <c r="C164" s="499">
        <v>44470</v>
      </c>
      <c r="F164" s="485">
        <f t="shared" si="0"/>
        <v>20400</v>
      </c>
      <c r="G164" s="485"/>
    </row>
    <row r="165" outlineLevel="1" spans="3:7">
      <c r="C165" s="499">
        <v>44501</v>
      </c>
      <c r="F165" s="485">
        <f t="shared" si="0"/>
        <v>20400</v>
      </c>
      <c r="G165" s="485"/>
    </row>
    <row r="166" outlineLevel="1" spans="3:7">
      <c r="C166" s="499">
        <v>44531</v>
      </c>
      <c r="F166" s="485">
        <f t="shared" si="0"/>
        <v>20400</v>
      </c>
      <c r="G166" s="485"/>
    </row>
    <row r="167" outlineLevel="1" spans="3:7">
      <c r="C167" s="419" t="s">
        <v>38</v>
      </c>
      <c r="F167" s="485"/>
      <c r="G167" s="485">
        <f>G168-G154</f>
        <v>-1044.97803003962</v>
      </c>
    </row>
    <row r="168" ht="11.25" spans="6:7">
      <c r="F168" s="485"/>
      <c r="G168" s="503">
        <f>F154/I6</f>
        <v>90976.6612159952</v>
      </c>
    </row>
    <row r="169" ht="11.25" spans="6:7">
      <c r="F169" s="485"/>
      <c r="G169" s="485"/>
    </row>
    <row r="170" spans="3:7">
      <c r="C170" s="419" t="s">
        <v>43</v>
      </c>
      <c r="F170" s="485">
        <f>SUM(F171:F176)</f>
        <v>188000</v>
      </c>
      <c r="G170" s="485">
        <f>SUM(G171:G182)</f>
        <v>141340.426292929</v>
      </c>
    </row>
    <row r="171" spans="2:7">
      <c r="B171" s="504">
        <v>20855</v>
      </c>
      <c r="C171" s="499">
        <v>44197</v>
      </c>
      <c r="F171" s="485">
        <f>376000/12</f>
        <v>31333.3333333333</v>
      </c>
      <c r="G171" s="485">
        <f>F171/D5</f>
        <v>23699.6697173688</v>
      </c>
    </row>
    <row r="172" outlineLevel="1" spans="3:7">
      <c r="C172" s="499">
        <v>44228</v>
      </c>
      <c r="F172" s="485">
        <f t="shared" ref="F172:F182" si="1">376000/12</f>
        <v>31333.3333333333</v>
      </c>
      <c r="G172" s="485">
        <f>F172/E5</f>
        <v>23576.6240280913</v>
      </c>
    </row>
    <row r="173" outlineLevel="1" spans="3:7">
      <c r="C173" s="499">
        <v>44256</v>
      </c>
      <c r="F173" s="485">
        <f t="shared" si="1"/>
        <v>31333.3333333333</v>
      </c>
      <c r="G173" s="485">
        <f>F173/F5</f>
        <v>23512.932112662</v>
      </c>
    </row>
    <row r="174" outlineLevel="1" spans="3:7">
      <c r="C174" s="499">
        <v>44287</v>
      </c>
      <c r="F174" s="485">
        <f t="shared" si="1"/>
        <v>31333.3333333333</v>
      </c>
      <c r="G174" s="485">
        <f>F174/G5</f>
        <v>23299.6232401348</v>
      </c>
    </row>
    <row r="175" outlineLevel="1" spans="3:7">
      <c r="C175" s="499">
        <v>44317</v>
      </c>
      <c r="F175" s="485">
        <f t="shared" si="1"/>
        <v>31333.3333333333</v>
      </c>
      <c r="G175" s="485">
        <f>F175/H5</f>
        <v>23544.7349964933</v>
      </c>
    </row>
    <row r="176" outlineLevel="1" spans="3:7">
      <c r="C176" s="499">
        <v>44348</v>
      </c>
      <c r="F176" s="485">
        <f t="shared" si="1"/>
        <v>31333.3333333333</v>
      </c>
      <c r="G176" s="485">
        <f>F176/I5</f>
        <v>23706.8421981791</v>
      </c>
    </row>
    <row r="177" outlineLevel="1" spans="3:7">
      <c r="C177" s="499">
        <v>44378</v>
      </c>
      <c r="F177" s="485">
        <f t="shared" si="1"/>
        <v>31333.3333333333</v>
      </c>
      <c r="G177" s="485"/>
    </row>
    <row r="178" outlineLevel="1" spans="3:7">
      <c r="C178" s="499">
        <v>44409</v>
      </c>
      <c r="F178" s="485">
        <f t="shared" si="1"/>
        <v>31333.3333333333</v>
      </c>
      <c r="G178" s="485"/>
    </row>
    <row r="179" outlineLevel="1" spans="3:7">
      <c r="C179" s="499">
        <v>44440</v>
      </c>
      <c r="F179" s="485">
        <f t="shared" si="1"/>
        <v>31333.3333333333</v>
      </c>
      <c r="G179" s="485"/>
    </row>
    <row r="180" outlineLevel="1" spans="3:7">
      <c r="C180" s="499">
        <v>44470</v>
      </c>
      <c r="F180" s="485">
        <f t="shared" si="1"/>
        <v>31333.3333333333</v>
      </c>
      <c r="G180" s="485"/>
    </row>
    <row r="181" outlineLevel="1" spans="3:7">
      <c r="C181" s="499">
        <v>44501</v>
      </c>
      <c r="F181" s="485">
        <f t="shared" si="1"/>
        <v>31333.3333333333</v>
      </c>
      <c r="G181" s="485"/>
    </row>
    <row r="182" outlineLevel="1" spans="3:7">
      <c r="C182" s="499">
        <v>44531</v>
      </c>
      <c r="F182" s="485">
        <f t="shared" si="1"/>
        <v>31333.3333333333</v>
      </c>
      <c r="G182" s="485"/>
    </row>
    <row r="183" outlineLevel="1" spans="3:7">
      <c r="C183" s="471" t="s">
        <v>38</v>
      </c>
      <c r="F183" s="485"/>
      <c r="G183" s="485">
        <f>G184-G170</f>
        <v>-1605.03161476672</v>
      </c>
    </row>
    <row r="184" ht="11.25" spans="6:7">
      <c r="F184" s="485"/>
      <c r="G184" s="503">
        <f>F170/I6</f>
        <v>139735.394678163</v>
      </c>
    </row>
    <row r="185" ht="11.25" spans="6:7">
      <c r="F185" s="485"/>
      <c r="G185" s="485"/>
    </row>
    <row r="186" spans="3:7">
      <c r="C186" s="471"/>
      <c r="D186" s="486"/>
      <c r="E186" s="486"/>
      <c r="F186" s="505" t="s">
        <v>5</v>
      </c>
      <c r="G186" s="506" t="s">
        <v>6</v>
      </c>
    </row>
    <row r="187" spans="2:7">
      <c r="B187" s="507"/>
      <c r="C187" s="471" t="s">
        <v>44</v>
      </c>
      <c r="D187" s="471"/>
      <c r="E187" s="508"/>
      <c r="F187" s="490">
        <v>91706.5</v>
      </c>
      <c r="G187" s="490">
        <f>F187/D5</f>
        <v>69364.2689660389</v>
      </c>
    </row>
    <row r="188" spans="2:7">
      <c r="B188" s="509">
        <v>20858</v>
      </c>
      <c r="C188" s="471" t="s">
        <v>38</v>
      </c>
      <c r="D188" s="471"/>
      <c r="E188" s="471"/>
      <c r="F188" s="490"/>
      <c r="G188" s="490">
        <f>G189-G187</f>
        <v>-1201.26911469354</v>
      </c>
    </row>
    <row r="189" spans="2:7">
      <c r="B189" s="471"/>
      <c r="C189" s="471"/>
      <c r="D189" s="471"/>
      <c r="E189" s="471"/>
      <c r="F189" s="490"/>
      <c r="G189" s="496">
        <f>F187/I6</f>
        <v>68162.9998513453</v>
      </c>
    </row>
    <row r="190" spans="2:7">
      <c r="B190" s="471"/>
      <c r="F190" s="485"/>
      <c r="G190" s="485"/>
    </row>
    <row r="191" spans="6:7">
      <c r="F191" s="485"/>
      <c r="G191" s="485"/>
    </row>
    <row r="192" spans="6:7">
      <c r="F192" s="485"/>
      <c r="G192" s="485"/>
    </row>
    <row r="193" spans="6:7">
      <c r="F193" s="485"/>
      <c r="G193" s="485"/>
    </row>
    <row r="194" spans="6:7">
      <c r="F194" s="485"/>
      <c r="G194" s="485"/>
    </row>
    <row r="195" spans="6:7">
      <c r="F195" s="485"/>
      <c r="G195" s="485"/>
    </row>
    <row r="196" spans="6:7">
      <c r="F196" s="485"/>
      <c r="G196" s="485"/>
    </row>
    <row r="197" spans="6:7">
      <c r="F197" s="485"/>
      <c r="G197" s="485"/>
    </row>
    <row r="198" spans="6:7">
      <c r="F198" s="485"/>
      <c r="G198" s="485"/>
    </row>
    <row r="199" spans="6:7">
      <c r="F199" s="485"/>
      <c r="G199" s="485"/>
    </row>
    <row r="200" spans="6:7">
      <c r="F200" s="485"/>
      <c r="G200" s="485"/>
    </row>
    <row r="201" spans="6:7">
      <c r="F201" s="485"/>
      <c r="G201" s="485"/>
    </row>
    <row r="202" spans="6:7">
      <c r="F202" s="485"/>
      <c r="G202" s="485"/>
    </row>
    <row r="203" spans="6:7">
      <c r="F203" s="485"/>
      <c r="G203" s="485"/>
    </row>
    <row r="204" spans="6:7">
      <c r="F204" s="485"/>
      <c r="G204" s="485"/>
    </row>
    <row r="205" spans="6:7">
      <c r="F205" s="485"/>
      <c r="G205" s="485"/>
    </row>
    <row r="206" spans="6:7">
      <c r="F206" s="485"/>
      <c r="G206" s="485"/>
    </row>
    <row r="207" spans="6:7">
      <c r="F207" s="485"/>
      <c r="G207" s="485"/>
    </row>
    <row r="208" spans="6:7">
      <c r="F208" s="485"/>
      <c r="G208" s="485"/>
    </row>
    <row r="209" spans="6:7">
      <c r="F209" s="485"/>
      <c r="G209" s="485"/>
    </row>
    <row r="210" spans="6:7">
      <c r="F210" s="485"/>
      <c r="G210" s="485"/>
    </row>
    <row r="211" spans="6:7">
      <c r="F211" s="485"/>
      <c r="G211" s="485"/>
    </row>
    <row r="212" spans="6:7">
      <c r="F212" s="485"/>
      <c r="G212" s="485"/>
    </row>
    <row r="213" spans="6:7">
      <c r="F213" s="485"/>
      <c r="G213" s="485"/>
    </row>
    <row r="214" spans="6:7">
      <c r="F214" s="485"/>
      <c r="G214" s="485"/>
    </row>
    <row r="215" spans="6:7">
      <c r="F215" s="485"/>
      <c r="G215" s="485"/>
    </row>
    <row r="216" spans="6:7">
      <c r="F216" s="485"/>
      <c r="G216" s="485"/>
    </row>
    <row r="217" spans="6:7">
      <c r="F217" s="485"/>
      <c r="G217" s="485"/>
    </row>
    <row r="218" spans="6:7">
      <c r="F218" s="485"/>
      <c r="G218" s="485"/>
    </row>
    <row r="219" spans="6:7">
      <c r="F219" s="485"/>
      <c r="G219" s="485"/>
    </row>
  </sheetData>
  <pageMargins left="0.708661417322835" right="0.708661417322835" top="0.748031496062992" bottom="0.748031496062992" header="0.31496062992126" footer="0.31496062992126"/>
  <pageSetup paperSize="9" scale="16" orientation="portrait"/>
  <headerFooter>
    <oddFooter>&amp;R&amp;D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B22"/>
  <sheetViews>
    <sheetView workbookViewId="0">
      <selection activeCell="D9" sqref="D9"/>
    </sheetView>
  </sheetViews>
  <sheetFormatPr defaultColWidth="9" defaultRowHeight="14.5" outlineLevelCol="1"/>
  <cols>
    <col min="1" max="1" width="51.1363636363636" customWidth="1"/>
    <col min="2" max="2" width="39.7090909090909" customWidth="1"/>
  </cols>
  <sheetData>
    <row r="2" spans="1:2">
      <c r="A2" t="s">
        <v>45</v>
      </c>
      <c r="B2" t="s">
        <v>46</v>
      </c>
    </row>
    <row r="3" spans="1:2">
      <c r="A3" t="s">
        <v>47</v>
      </c>
      <c r="B3" s="416" t="s">
        <v>23</v>
      </c>
    </row>
    <row r="4" spans="1:2">
      <c r="A4" t="s">
        <v>48</v>
      </c>
      <c r="B4" s="416" t="s">
        <v>25</v>
      </c>
    </row>
    <row r="5" spans="1:2">
      <c r="A5" t="s">
        <v>49</v>
      </c>
      <c r="B5" s="417" t="s">
        <v>26</v>
      </c>
    </row>
    <row r="6" spans="1:2">
      <c r="A6" t="s">
        <v>50</v>
      </c>
      <c r="B6" s="417" t="s">
        <v>27</v>
      </c>
    </row>
    <row r="7" spans="1:2">
      <c r="A7" t="s">
        <v>51</v>
      </c>
      <c r="B7" s="417" t="s">
        <v>52</v>
      </c>
    </row>
    <row r="8" spans="1:2">
      <c r="A8" t="s">
        <v>53</v>
      </c>
      <c r="B8" s="417" t="s">
        <v>32</v>
      </c>
    </row>
    <row r="9" spans="1:2">
      <c r="A9" t="s">
        <v>54</v>
      </c>
      <c r="B9" s="417" t="s">
        <v>33</v>
      </c>
    </row>
    <row r="12" spans="1:2">
      <c r="A12" t="s">
        <v>55</v>
      </c>
      <c r="B12" s="417" t="s">
        <v>40</v>
      </c>
    </row>
    <row r="13" spans="1:2">
      <c r="A13" t="s">
        <v>56</v>
      </c>
      <c r="B13" s="417" t="s">
        <v>42</v>
      </c>
    </row>
    <row r="14" spans="1:2">
      <c r="A14" t="s">
        <v>57</v>
      </c>
      <c r="B14" s="417" t="s">
        <v>43</v>
      </c>
    </row>
    <row r="15" spans="1:2">
      <c r="A15" t="s">
        <v>58</v>
      </c>
      <c r="B15" s="417" t="s">
        <v>44</v>
      </c>
    </row>
    <row r="18" spans="1:1">
      <c r="A18" t="s">
        <v>59</v>
      </c>
    </row>
    <row r="19" spans="1:2">
      <c r="A19" t="s">
        <v>60</v>
      </c>
      <c r="B19" t="s">
        <v>61</v>
      </c>
    </row>
    <row r="20" spans="1:2">
      <c r="A20" t="s">
        <v>62</v>
      </c>
      <c r="B20" t="s">
        <v>63</v>
      </c>
    </row>
    <row r="22" spans="1:1">
      <c r="A22" t="s">
        <v>64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AO236"/>
  <sheetViews>
    <sheetView showGridLines="0" zoomScale="115" zoomScaleNormal="115" workbookViewId="0">
      <pane xSplit="3" ySplit="6" topLeftCell="E7" activePane="bottomRight" state="frozen"/>
      <selection/>
      <selection pane="topRight"/>
      <selection pane="bottomLeft"/>
      <selection pane="bottomRight" activeCell="J11" sqref="J11"/>
    </sheetView>
  </sheetViews>
  <sheetFormatPr defaultColWidth="9.28181818181818" defaultRowHeight="10.5"/>
  <cols>
    <col min="1" max="1" width="8.42727272727273" style="159" customWidth="1"/>
    <col min="2" max="2" width="21.8545454545455" style="159" customWidth="1"/>
    <col min="3" max="3" width="8.42727272727273" style="159" customWidth="1"/>
    <col min="4" max="4" width="55.4272727272727" style="160" customWidth="1"/>
    <col min="5" max="5" width="0.854545454545454" style="158" customWidth="1"/>
    <col min="6" max="6" width="10.4272727272727" style="158" customWidth="1"/>
    <col min="7" max="7" width="0.854545454545454" style="158" customWidth="1"/>
    <col min="8" max="9" width="10.4272727272727" style="158" customWidth="1"/>
    <col min="10" max="10" width="12.7090909090909" style="158" customWidth="1"/>
    <col min="11" max="11" width="10.4272727272727" style="158" customWidth="1"/>
    <col min="12" max="12" width="1.13636363636364" style="158" customWidth="1"/>
    <col min="13" max="13" width="9.42727272727273" style="158" customWidth="1"/>
    <col min="14" max="14" width="11.4272727272727" style="158" hidden="1" customWidth="1"/>
    <col min="15" max="15" width="9.28181818181818" style="161" customWidth="1"/>
    <col min="16" max="16" width="9.70909090909091" style="161" customWidth="1"/>
    <col min="17" max="18" width="8.42727272727273" style="161" customWidth="1"/>
    <col min="19" max="19" width="9" style="161" customWidth="1"/>
    <col min="20" max="25" width="8.42727272727273" style="161" customWidth="1"/>
    <col min="26" max="26" width="8.42727272727273" style="162" customWidth="1"/>
    <col min="27" max="27" width="10.4272727272727" style="158" customWidth="1"/>
    <col min="28" max="28" width="0.854545454545454" style="158" customWidth="1"/>
    <col min="29" max="29" width="10.4272727272727" style="161" customWidth="1"/>
    <col min="30" max="30" width="0.854545454545454" style="158" customWidth="1"/>
    <col min="31" max="31" width="10.4272727272727" style="161" customWidth="1"/>
    <col min="32" max="32" width="14" style="163" hidden="1" customWidth="1"/>
    <col min="33" max="33" width="13.4272727272727" style="163" hidden="1" customWidth="1"/>
    <col min="34" max="35" width="12.2818181818182" style="158" hidden="1" customWidth="1"/>
    <col min="36" max="36" width="0.854545454545454" style="158" customWidth="1"/>
    <col min="37" max="37" width="6.42727272727273" style="158" hidden="1" customWidth="1"/>
    <col min="38" max="38" width="12.7090909090909" style="158" customWidth="1"/>
    <col min="39" max="39" width="14.1363636363636" style="158" customWidth="1"/>
    <col min="40" max="40" width="12.7090909090909" style="158" customWidth="1"/>
    <col min="41" max="16384" width="9.28181818181818" style="158"/>
  </cols>
  <sheetData>
    <row r="1" spans="1:32">
      <c r="A1" s="16" t="s">
        <v>0</v>
      </c>
      <c r="B1" s="16"/>
      <c r="C1" s="16"/>
      <c r="AF1" s="259">
        <v>12</v>
      </c>
    </row>
    <row r="2" spans="1:6">
      <c r="A2" s="16" t="s">
        <v>65</v>
      </c>
      <c r="B2" s="16"/>
      <c r="C2" s="16"/>
      <c r="D2" s="164">
        <f>'[25]1. Cash Balances_Jun21'!D5</f>
        <v>44377</v>
      </c>
      <c r="F2" s="165" t="s">
        <v>66</v>
      </c>
    </row>
    <row r="3" ht="11.25"/>
    <row r="4" spans="1:37">
      <c r="A4" s="166"/>
      <c r="B4" s="166"/>
      <c r="C4" s="166"/>
      <c r="D4" s="167"/>
      <c r="E4" s="168"/>
      <c r="F4" s="169" t="s">
        <v>67</v>
      </c>
      <c r="G4" s="170"/>
      <c r="H4" s="171" t="s">
        <v>68</v>
      </c>
      <c r="I4" s="222"/>
      <c r="J4" s="222"/>
      <c r="K4" s="223"/>
      <c r="L4" s="224"/>
      <c r="M4" s="171" t="s">
        <v>69</v>
      </c>
      <c r="N4" s="222"/>
      <c r="O4" s="222"/>
      <c r="P4" s="222"/>
      <c r="Q4" s="222"/>
      <c r="R4" s="222"/>
      <c r="S4" s="222"/>
      <c r="T4" s="222"/>
      <c r="U4" s="222"/>
      <c r="V4" s="222"/>
      <c r="W4" s="222"/>
      <c r="X4" s="222"/>
      <c r="Y4" s="222"/>
      <c r="Z4" s="222"/>
      <c r="AA4" s="223"/>
      <c r="AB4" s="260"/>
      <c r="AC4" s="261" t="s">
        <v>70</v>
      </c>
      <c r="AD4" s="260"/>
      <c r="AE4" s="169" t="s">
        <v>71</v>
      </c>
      <c r="AF4" s="262" t="s">
        <v>72</v>
      </c>
      <c r="AG4" s="276" t="s">
        <v>73</v>
      </c>
      <c r="AK4" s="169" t="s">
        <v>74</v>
      </c>
    </row>
    <row r="5" spans="1:37">
      <c r="A5" s="172" t="s">
        <v>75</v>
      </c>
      <c r="B5" s="172" t="s">
        <v>75</v>
      </c>
      <c r="C5" s="172" t="s">
        <v>76</v>
      </c>
      <c r="D5" s="173"/>
      <c r="E5" s="168"/>
      <c r="F5" s="169" t="s">
        <v>77</v>
      </c>
      <c r="G5" s="174"/>
      <c r="H5" s="169" t="s">
        <v>77</v>
      </c>
      <c r="I5" s="169"/>
      <c r="J5" s="169"/>
      <c r="K5" s="169" t="s">
        <v>77</v>
      </c>
      <c r="L5" s="170"/>
      <c r="M5" s="169" t="str">
        <f>H5</f>
        <v>As at</v>
      </c>
      <c r="N5" s="169" t="s">
        <v>78</v>
      </c>
      <c r="O5" s="225">
        <v>44197</v>
      </c>
      <c r="P5" s="225">
        <v>44228</v>
      </c>
      <c r="Q5" s="225">
        <v>80780</v>
      </c>
      <c r="R5" s="225">
        <v>80811</v>
      </c>
      <c r="S5" s="225">
        <v>80841</v>
      </c>
      <c r="T5" s="246">
        <v>80872</v>
      </c>
      <c r="U5" s="225">
        <v>80902</v>
      </c>
      <c r="V5" s="225">
        <v>80933</v>
      </c>
      <c r="W5" s="225">
        <v>80964</v>
      </c>
      <c r="X5" s="246">
        <v>80994</v>
      </c>
      <c r="Y5" s="246">
        <v>81025</v>
      </c>
      <c r="Z5" s="246">
        <v>81055</v>
      </c>
      <c r="AA5" s="169" t="s">
        <v>79</v>
      </c>
      <c r="AB5" s="260"/>
      <c r="AC5" s="169" t="str">
        <f>+K5</f>
        <v>As at</v>
      </c>
      <c r="AD5" s="260"/>
      <c r="AE5" s="174" t="s">
        <v>80</v>
      </c>
      <c r="AF5" s="262" t="s">
        <v>81</v>
      </c>
      <c r="AG5" s="277"/>
      <c r="AK5" s="174" t="s">
        <v>82</v>
      </c>
    </row>
    <row r="6" spans="1:37">
      <c r="A6" s="175" t="s">
        <v>83</v>
      </c>
      <c r="B6" s="175" t="s">
        <v>84</v>
      </c>
      <c r="C6" s="175" t="s">
        <v>85</v>
      </c>
      <c r="D6" s="176" t="s">
        <v>46</v>
      </c>
      <c r="E6" s="177"/>
      <c r="F6" s="178" t="s">
        <v>86</v>
      </c>
      <c r="G6" s="178"/>
      <c r="H6" s="178">
        <v>44197</v>
      </c>
      <c r="I6" s="174" t="s">
        <v>87</v>
      </c>
      <c r="J6" s="174" t="s">
        <v>88</v>
      </c>
      <c r="K6" s="226">
        <v>44561</v>
      </c>
      <c r="L6" s="224"/>
      <c r="M6" s="178">
        <f>+H6</f>
        <v>44197</v>
      </c>
      <c r="N6" s="174" t="s">
        <v>88</v>
      </c>
      <c r="O6" s="227"/>
      <c r="P6" s="227"/>
      <c r="Q6" s="227"/>
      <c r="R6" s="227"/>
      <c r="S6" s="227"/>
      <c r="T6" s="247"/>
      <c r="U6" s="227"/>
      <c r="V6" s="227"/>
      <c r="W6" s="227"/>
      <c r="X6" s="247"/>
      <c r="Y6" s="247"/>
      <c r="Z6" s="247"/>
      <c r="AA6" s="226">
        <f>+K6</f>
        <v>44561</v>
      </c>
      <c r="AB6" s="224"/>
      <c r="AC6" s="226" t="s">
        <v>86</v>
      </c>
      <c r="AD6" s="224"/>
      <c r="AE6" s="174" t="s">
        <v>89</v>
      </c>
      <c r="AF6" s="263">
        <v>42338</v>
      </c>
      <c r="AG6" s="277"/>
      <c r="AK6" s="174"/>
    </row>
    <row r="7" spans="1:37">
      <c r="A7" s="172"/>
      <c r="B7" s="172"/>
      <c r="C7" s="172"/>
      <c r="D7" s="179"/>
      <c r="E7" s="177"/>
      <c r="F7" s="180"/>
      <c r="G7" s="181"/>
      <c r="H7" s="180"/>
      <c r="I7" s="180"/>
      <c r="J7" s="180"/>
      <c r="K7" s="180"/>
      <c r="L7" s="228"/>
      <c r="M7" s="180"/>
      <c r="N7" s="229"/>
      <c r="O7" s="180"/>
      <c r="P7" s="180"/>
      <c r="Q7" s="248"/>
      <c r="R7" s="248"/>
      <c r="S7" s="248"/>
      <c r="T7" s="249"/>
      <c r="U7" s="180"/>
      <c r="V7" s="248"/>
      <c r="W7" s="248"/>
      <c r="X7" s="248"/>
      <c r="Y7" s="248"/>
      <c r="Z7" s="248"/>
      <c r="AA7" s="229"/>
      <c r="AB7" s="264"/>
      <c r="AC7" s="265"/>
      <c r="AD7" s="266"/>
      <c r="AE7" s="265"/>
      <c r="AF7" s="267"/>
      <c r="AG7" s="278"/>
      <c r="AK7" s="279"/>
    </row>
    <row r="8" spans="1:37">
      <c r="A8" s="182"/>
      <c r="B8" s="182"/>
      <c r="C8" s="182"/>
      <c r="D8" s="183" t="s">
        <v>90</v>
      </c>
      <c r="E8" s="177"/>
      <c r="F8" s="184"/>
      <c r="G8" s="184"/>
      <c r="H8" s="184"/>
      <c r="I8" s="184"/>
      <c r="J8" s="184"/>
      <c r="K8" s="184"/>
      <c r="L8" s="230"/>
      <c r="M8" s="184"/>
      <c r="N8" s="231"/>
      <c r="O8" s="184"/>
      <c r="P8" s="184"/>
      <c r="Q8" s="250"/>
      <c r="R8" s="250"/>
      <c r="S8" s="250"/>
      <c r="T8" s="251"/>
      <c r="U8" s="184"/>
      <c r="V8" s="250"/>
      <c r="W8" s="250"/>
      <c r="X8" s="250"/>
      <c r="Y8" s="250"/>
      <c r="Z8" s="250"/>
      <c r="AA8" s="231"/>
      <c r="AB8" s="268"/>
      <c r="AC8" s="231"/>
      <c r="AD8" s="268"/>
      <c r="AE8" s="231"/>
      <c r="AF8" s="269"/>
      <c r="AG8" s="278"/>
      <c r="AK8" s="280"/>
    </row>
    <row r="9" spans="1:37">
      <c r="A9" s="182"/>
      <c r="B9" s="182"/>
      <c r="C9" s="182"/>
      <c r="D9" s="185" t="s">
        <v>91</v>
      </c>
      <c r="E9" s="177"/>
      <c r="F9" s="184"/>
      <c r="G9" s="184"/>
      <c r="H9" s="184"/>
      <c r="I9" s="184"/>
      <c r="J9" s="184"/>
      <c r="K9" s="184"/>
      <c r="L9" s="230"/>
      <c r="M9" s="184"/>
      <c r="N9" s="231"/>
      <c r="O9" s="184"/>
      <c r="P9" s="184"/>
      <c r="Q9" s="250"/>
      <c r="R9" s="250"/>
      <c r="S9" s="250"/>
      <c r="T9" s="251"/>
      <c r="U9" s="250"/>
      <c r="V9" s="250"/>
      <c r="W9" s="250"/>
      <c r="X9" s="250"/>
      <c r="Y9" s="250"/>
      <c r="Z9" s="250"/>
      <c r="AA9" s="231"/>
      <c r="AB9" s="268"/>
      <c r="AC9" s="231"/>
      <c r="AD9" s="268"/>
      <c r="AE9" s="231"/>
      <c r="AF9" s="270"/>
      <c r="AG9" s="281"/>
      <c r="AH9" s="282"/>
      <c r="AI9" s="282"/>
      <c r="AJ9" s="282"/>
      <c r="AK9" s="283"/>
    </row>
    <row r="10" spans="1:37">
      <c r="A10" s="182"/>
      <c r="B10" s="182"/>
      <c r="C10" s="182"/>
      <c r="D10" s="186"/>
      <c r="E10" s="177"/>
      <c r="F10" s="184"/>
      <c r="G10" s="184"/>
      <c r="H10" s="184"/>
      <c r="I10" s="184"/>
      <c r="J10" s="184"/>
      <c r="K10" s="184"/>
      <c r="L10" s="230"/>
      <c r="M10" s="184"/>
      <c r="N10" s="231"/>
      <c r="O10" s="184"/>
      <c r="P10" s="184"/>
      <c r="Q10" s="250"/>
      <c r="R10" s="250"/>
      <c r="S10" s="250"/>
      <c r="T10" s="251"/>
      <c r="U10" s="250"/>
      <c r="V10" s="250"/>
      <c r="W10" s="250"/>
      <c r="X10" s="250"/>
      <c r="Y10" s="250"/>
      <c r="Z10" s="250"/>
      <c r="AA10" s="231"/>
      <c r="AB10" s="268"/>
      <c r="AC10" s="231"/>
      <c r="AD10" s="268"/>
      <c r="AE10" s="231"/>
      <c r="AF10" s="270"/>
      <c r="AG10" s="281"/>
      <c r="AH10" s="282"/>
      <c r="AI10" s="282"/>
      <c r="AJ10" s="282"/>
      <c r="AK10" s="283"/>
    </row>
    <row r="11" spans="1:41">
      <c r="A11" s="182">
        <v>43922</v>
      </c>
      <c r="B11" s="182"/>
      <c r="C11" s="182">
        <v>43048</v>
      </c>
      <c r="D11" s="186" t="s">
        <v>92</v>
      </c>
      <c r="E11" s="177">
        <v>0</v>
      </c>
      <c r="F11" s="187">
        <v>241588</v>
      </c>
      <c r="G11" s="187"/>
      <c r="H11" s="187">
        <v>90632.86</v>
      </c>
      <c r="I11" s="187"/>
      <c r="J11" s="187"/>
      <c r="K11" s="187">
        <f t="shared" ref="K11:K20" si="0">SUM(H11:J11)</f>
        <v>90632.86</v>
      </c>
      <c r="L11" s="232"/>
      <c r="M11" s="187">
        <v>26312.76</v>
      </c>
      <c r="N11" s="204"/>
      <c r="O11" s="233">
        <v>2923.64</v>
      </c>
      <c r="P11" s="233">
        <v>2923.64</v>
      </c>
      <c r="Q11" s="233">
        <v>2923.64</v>
      </c>
      <c r="R11" s="233">
        <v>2923.64</v>
      </c>
      <c r="S11" s="233">
        <v>2923.64</v>
      </c>
      <c r="T11" s="252">
        <v>2923.64</v>
      </c>
      <c r="U11" s="233"/>
      <c r="V11" s="233"/>
      <c r="W11" s="233"/>
      <c r="X11" s="233"/>
      <c r="Y11" s="233"/>
      <c r="Z11" s="233"/>
      <c r="AA11" s="204">
        <f>SUM(M11:Z11)</f>
        <v>43854.6</v>
      </c>
      <c r="AB11" s="197"/>
      <c r="AC11" s="204">
        <f>+K11-AA11</f>
        <v>46778.26</v>
      </c>
      <c r="AD11" s="197"/>
      <c r="AE11" s="204">
        <v>2923.64</v>
      </c>
      <c r="AF11" s="270"/>
      <c r="AG11" s="281"/>
      <c r="AH11" s="282"/>
      <c r="AI11" s="282"/>
      <c r="AJ11" s="282"/>
      <c r="AK11" s="283">
        <v>31</v>
      </c>
      <c r="AL11" s="158">
        <f>H11/AE11</f>
        <v>31.0000068407875</v>
      </c>
      <c r="AM11" s="284"/>
      <c r="AN11" s="284"/>
      <c r="AO11" s="284"/>
    </row>
    <row r="12" spans="1:41">
      <c r="A12" s="182">
        <v>43922</v>
      </c>
      <c r="B12" s="182"/>
      <c r="C12" s="182">
        <v>43048</v>
      </c>
      <c r="D12" s="186" t="s">
        <v>93</v>
      </c>
      <c r="E12" s="177">
        <v>0</v>
      </c>
      <c r="F12" s="187">
        <v>325193.9</v>
      </c>
      <c r="G12" s="187"/>
      <c r="H12" s="187">
        <v>123778.45</v>
      </c>
      <c r="I12" s="187"/>
      <c r="J12" s="187"/>
      <c r="K12" s="187">
        <f t="shared" si="0"/>
        <v>123778.45</v>
      </c>
      <c r="L12" s="232"/>
      <c r="M12" s="187">
        <v>35935.67</v>
      </c>
      <c r="N12" s="204"/>
      <c r="O12" s="233">
        <f>3992.87-0.02</f>
        <v>3992.85</v>
      </c>
      <c r="P12" s="233">
        <f>3992.87-0.02</f>
        <v>3992.85</v>
      </c>
      <c r="Q12" s="233">
        <v>3992.85</v>
      </c>
      <c r="R12" s="233">
        <v>3992.85</v>
      </c>
      <c r="S12" s="233">
        <v>3992.85</v>
      </c>
      <c r="T12" s="252">
        <v>3992.85</v>
      </c>
      <c r="U12" s="233"/>
      <c r="V12" s="233"/>
      <c r="W12" s="233"/>
      <c r="X12" s="233"/>
      <c r="Y12" s="233"/>
      <c r="Z12" s="233"/>
      <c r="AA12" s="204">
        <f t="shared" ref="AA12:AA20" si="1">SUM(M12:Z12)</f>
        <v>59892.77</v>
      </c>
      <c r="AB12" s="197"/>
      <c r="AC12" s="204">
        <f t="shared" ref="AC12:AC20" si="2">+K12-AA12</f>
        <v>63885.68</v>
      </c>
      <c r="AD12" s="197"/>
      <c r="AE12" s="204">
        <v>3992.85</v>
      </c>
      <c r="AF12" s="270"/>
      <c r="AG12" s="281"/>
      <c r="AH12" s="282"/>
      <c r="AI12" s="282"/>
      <c r="AJ12" s="282"/>
      <c r="AK12" s="283">
        <v>31</v>
      </c>
      <c r="AL12" s="158">
        <f t="shared" ref="AL12:AL20" si="3">H12/AE12</f>
        <v>31.0000250447675</v>
      </c>
      <c r="AM12" s="284"/>
      <c r="AN12" s="284"/>
      <c r="AO12" s="284"/>
    </row>
    <row r="13" spans="1:41">
      <c r="A13" s="182">
        <v>43922</v>
      </c>
      <c r="B13" s="182"/>
      <c r="C13" s="182">
        <v>43048</v>
      </c>
      <c r="D13" s="186" t="s">
        <v>94</v>
      </c>
      <c r="E13" s="177">
        <v>0</v>
      </c>
      <c r="F13" s="187">
        <v>241588.2</v>
      </c>
      <c r="G13" s="187"/>
      <c r="H13" s="187">
        <v>91657.88</v>
      </c>
      <c r="I13" s="187"/>
      <c r="J13" s="187"/>
      <c r="K13" s="187">
        <f t="shared" si="0"/>
        <v>91657.88</v>
      </c>
      <c r="L13" s="232"/>
      <c r="M13" s="187">
        <v>26610.28</v>
      </c>
      <c r="N13" s="204"/>
      <c r="O13" s="233">
        <f>2956.67+0.04</f>
        <v>2956.71</v>
      </c>
      <c r="P13" s="233">
        <f>2956.67+0.04</f>
        <v>2956.71</v>
      </c>
      <c r="Q13" s="233">
        <v>2956.71</v>
      </c>
      <c r="R13" s="233">
        <v>2956.71</v>
      </c>
      <c r="S13" s="233">
        <v>2956.71</v>
      </c>
      <c r="T13" s="252">
        <v>2956.71</v>
      </c>
      <c r="U13" s="233"/>
      <c r="V13" s="233"/>
      <c r="W13" s="233"/>
      <c r="X13" s="233"/>
      <c r="Y13" s="233"/>
      <c r="Z13" s="233"/>
      <c r="AA13" s="204">
        <f t="shared" si="1"/>
        <v>44350.54</v>
      </c>
      <c r="AB13" s="197"/>
      <c r="AC13" s="204">
        <f t="shared" si="2"/>
        <v>47307.34</v>
      </c>
      <c r="AD13" s="197"/>
      <c r="AE13" s="204">
        <v>2956.7</v>
      </c>
      <c r="AF13" s="270"/>
      <c r="AG13" s="281"/>
      <c r="AH13" s="282"/>
      <c r="AI13" s="282"/>
      <c r="AJ13" s="282"/>
      <c r="AK13" s="283">
        <v>31</v>
      </c>
      <c r="AL13" s="158">
        <f t="shared" si="3"/>
        <v>31.0000608786823</v>
      </c>
      <c r="AM13" s="284"/>
      <c r="AN13" s="284"/>
      <c r="AO13" s="284"/>
    </row>
    <row r="14" spans="1:41">
      <c r="A14" s="182">
        <v>43922</v>
      </c>
      <c r="B14" s="182"/>
      <c r="C14" s="182">
        <v>43048</v>
      </c>
      <c r="D14" s="186" t="s">
        <v>95</v>
      </c>
      <c r="E14" s="177">
        <v>0</v>
      </c>
      <c r="F14" s="187">
        <v>40264.7</v>
      </c>
      <c r="G14" s="187"/>
      <c r="H14" s="187">
        <v>15276.33</v>
      </c>
      <c r="I14" s="187"/>
      <c r="J14" s="187"/>
      <c r="K14" s="187">
        <f t="shared" si="0"/>
        <v>15276.33</v>
      </c>
      <c r="L14" s="232"/>
      <c r="M14" s="187">
        <v>4435.06</v>
      </c>
      <c r="N14" s="204"/>
      <c r="O14" s="233">
        <v>492.78</v>
      </c>
      <c r="P14" s="233">
        <v>492.78</v>
      </c>
      <c r="Q14" s="233">
        <v>492.78</v>
      </c>
      <c r="R14" s="233">
        <v>492.78</v>
      </c>
      <c r="S14" s="233">
        <v>492.78</v>
      </c>
      <c r="T14" s="252">
        <v>492.78</v>
      </c>
      <c r="U14" s="233"/>
      <c r="V14" s="233"/>
      <c r="W14" s="233"/>
      <c r="X14" s="233"/>
      <c r="Y14" s="233"/>
      <c r="Z14" s="233"/>
      <c r="AA14" s="204">
        <f t="shared" si="1"/>
        <v>7391.74</v>
      </c>
      <c r="AB14" s="197"/>
      <c r="AC14" s="204">
        <f t="shared" si="2"/>
        <v>7884.59</v>
      </c>
      <c r="AD14" s="197"/>
      <c r="AE14" s="204">
        <v>492.78</v>
      </c>
      <c r="AF14" s="270"/>
      <c r="AG14" s="281"/>
      <c r="AH14" s="282"/>
      <c r="AI14" s="282"/>
      <c r="AJ14" s="282"/>
      <c r="AK14" s="283">
        <v>31</v>
      </c>
      <c r="AL14" s="158">
        <f t="shared" si="3"/>
        <v>31.0003043954706</v>
      </c>
      <c r="AM14" s="284"/>
      <c r="AN14" s="284"/>
      <c r="AO14" s="284"/>
    </row>
    <row r="15" spans="1:41">
      <c r="A15" s="182">
        <v>43922</v>
      </c>
      <c r="B15" s="182"/>
      <c r="C15" s="182">
        <v>43069</v>
      </c>
      <c r="D15" s="186" t="s">
        <v>96</v>
      </c>
      <c r="E15" s="177"/>
      <c r="F15" s="187">
        <v>279553.26</v>
      </c>
      <c r="G15" s="187"/>
      <c r="H15" s="187">
        <v>107129.795608687</v>
      </c>
      <c r="I15" s="187"/>
      <c r="J15" s="187"/>
      <c r="K15" s="187">
        <f t="shared" si="0"/>
        <v>107129.795608687</v>
      </c>
      <c r="L15" s="232"/>
      <c r="M15" s="187">
        <v>31102.2</v>
      </c>
      <c r="N15" s="204"/>
      <c r="O15" s="233">
        <v>3455.8</v>
      </c>
      <c r="P15" s="233">
        <v>3455.8</v>
      </c>
      <c r="Q15" s="233">
        <v>3455.8</v>
      </c>
      <c r="R15" s="233">
        <v>3455.8</v>
      </c>
      <c r="S15" s="233">
        <v>3455.8</v>
      </c>
      <c r="T15" s="252">
        <v>3455.8</v>
      </c>
      <c r="U15" s="233"/>
      <c r="V15" s="233"/>
      <c r="W15" s="233"/>
      <c r="X15" s="233"/>
      <c r="Y15" s="233"/>
      <c r="Z15" s="233"/>
      <c r="AA15" s="204">
        <f t="shared" si="1"/>
        <v>51837</v>
      </c>
      <c r="AB15" s="197"/>
      <c r="AC15" s="204">
        <f t="shared" si="2"/>
        <v>55292.7956086869</v>
      </c>
      <c r="AD15" s="197"/>
      <c r="AE15" s="204">
        <v>3455.8</v>
      </c>
      <c r="AF15" s="270"/>
      <c r="AG15" s="281"/>
      <c r="AH15" s="282"/>
      <c r="AI15" s="282"/>
      <c r="AJ15" s="282"/>
      <c r="AK15" s="283">
        <v>31</v>
      </c>
      <c r="AL15" s="158">
        <f t="shared" si="3"/>
        <v>30.9999987292919</v>
      </c>
      <c r="AM15" s="284"/>
      <c r="AN15" s="284"/>
      <c r="AO15" s="284"/>
    </row>
    <row r="16" spans="1:41">
      <c r="A16" s="182">
        <v>43922</v>
      </c>
      <c r="B16" s="182"/>
      <c r="C16" s="182">
        <v>43070</v>
      </c>
      <c r="D16" s="186" t="s">
        <v>97</v>
      </c>
      <c r="E16" s="177"/>
      <c r="F16" s="187">
        <v>7531.2</v>
      </c>
      <c r="G16" s="187"/>
      <c r="H16" s="187">
        <v>2979.22</v>
      </c>
      <c r="I16" s="187"/>
      <c r="J16" s="187"/>
      <c r="K16" s="187">
        <f t="shared" si="0"/>
        <v>2979.22</v>
      </c>
      <c r="L16" s="232"/>
      <c r="M16" s="187">
        <v>837.9</v>
      </c>
      <c r="N16" s="204"/>
      <c r="O16" s="233">
        <v>93.1</v>
      </c>
      <c r="P16" s="233">
        <v>93.1</v>
      </c>
      <c r="Q16" s="233">
        <v>93.1</v>
      </c>
      <c r="R16" s="233">
        <v>93.1</v>
      </c>
      <c r="S16" s="233">
        <v>93.1</v>
      </c>
      <c r="T16" s="252">
        <v>93.1</v>
      </c>
      <c r="U16" s="233"/>
      <c r="V16" s="233"/>
      <c r="W16" s="233"/>
      <c r="X16" s="233"/>
      <c r="Y16" s="233"/>
      <c r="Z16" s="233"/>
      <c r="AA16" s="204">
        <f t="shared" si="1"/>
        <v>1396.5</v>
      </c>
      <c r="AB16" s="197"/>
      <c r="AC16" s="204">
        <f t="shared" si="2"/>
        <v>1582.72</v>
      </c>
      <c r="AD16" s="197"/>
      <c r="AE16" s="204">
        <v>93.1</v>
      </c>
      <c r="AF16" s="270"/>
      <c r="AG16" s="281"/>
      <c r="AH16" s="282"/>
      <c r="AI16" s="282"/>
      <c r="AJ16" s="282"/>
      <c r="AK16" s="283">
        <v>32</v>
      </c>
      <c r="AL16" s="158">
        <f t="shared" si="3"/>
        <v>32.0002148227712</v>
      </c>
      <c r="AM16" s="284"/>
      <c r="AN16" s="284"/>
      <c r="AO16" s="284"/>
    </row>
    <row r="17" spans="1:41">
      <c r="A17" s="182">
        <v>43922</v>
      </c>
      <c r="B17" s="182"/>
      <c r="C17" s="182">
        <v>43283</v>
      </c>
      <c r="D17" s="186" t="s">
        <v>98</v>
      </c>
      <c r="E17" s="177"/>
      <c r="F17" s="187">
        <v>11193</v>
      </c>
      <c r="G17" s="187"/>
      <c r="H17" s="187">
        <v>5250.36</v>
      </c>
      <c r="I17" s="187"/>
      <c r="J17" s="187"/>
      <c r="K17" s="187">
        <f t="shared" si="0"/>
        <v>5250.36</v>
      </c>
      <c r="L17" s="232"/>
      <c r="M17" s="187">
        <v>1211.69</v>
      </c>
      <c r="N17" s="204"/>
      <c r="O17" s="233">
        <f>134.66-0.04</f>
        <v>134.62</v>
      </c>
      <c r="P17" s="233">
        <f>134.66-0.04</f>
        <v>134.62</v>
      </c>
      <c r="Q17" s="233">
        <v>134.62</v>
      </c>
      <c r="R17" s="233">
        <v>134.62</v>
      </c>
      <c r="S17" s="233">
        <v>134.62</v>
      </c>
      <c r="T17" s="252">
        <v>134.62</v>
      </c>
      <c r="U17" s="233"/>
      <c r="V17" s="233"/>
      <c r="W17" s="233"/>
      <c r="X17" s="233"/>
      <c r="Y17" s="233"/>
      <c r="Z17" s="233"/>
      <c r="AA17" s="204">
        <f t="shared" si="1"/>
        <v>2019.41</v>
      </c>
      <c r="AB17" s="197"/>
      <c r="AC17" s="204">
        <f t="shared" si="2"/>
        <v>3230.95</v>
      </c>
      <c r="AD17" s="197"/>
      <c r="AE17" s="204">
        <v>134.63</v>
      </c>
      <c r="AF17" s="270"/>
      <c r="AG17" s="285"/>
      <c r="AH17" s="282"/>
      <c r="AI17" s="282"/>
      <c r="AJ17" s="282"/>
      <c r="AK17" s="283">
        <v>39</v>
      </c>
      <c r="AL17" s="158">
        <f t="shared" si="3"/>
        <v>38.998440169353</v>
      </c>
      <c r="AM17" s="284"/>
      <c r="AN17" s="284"/>
      <c r="AO17" s="284"/>
    </row>
    <row r="18" spans="1:41">
      <c r="A18" s="182">
        <v>43922</v>
      </c>
      <c r="B18" s="182"/>
      <c r="C18" s="182">
        <v>43837</v>
      </c>
      <c r="D18" s="186" t="s">
        <v>99</v>
      </c>
      <c r="E18" s="177"/>
      <c r="F18" s="187">
        <v>53778</v>
      </c>
      <c r="G18" s="187"/>
      <c r="H18" s="187">
        <v>37557.23</v>
      </c>
      <c r="I18" s="187"/>
      <c r="J18" s="187"/>
      <c r="K18" s="187">
        <f t="shared" si="0"/>
        <v>37557.23</v>
      </c>
      <c r="L18" s="232"/>
      <c r="M18" s="187">
        <v>5930.08</v>
      </c>
      <c r="N18" s="204"/>
      <c r="O18" s="233">
        <f>658.88+0.02</f>
        <v>658.9</v>
      </c>
      <c r="P18" s="233">
        <f>658.88+0.02</f>
        <v>658.9</v>
      </c>
      <c r="Q18" s="233">
        <v>658.9</v>
      </c>
      <c r="R18" s="233">
        <v>658.9</v>
      </c>
      <c r="S18" s="233">
        <v>658.9</v>
      </c>
      <c r="T18" s="252">
        <v>658.9</v>
      </c>
      <c r="U18" s="233"/>
      <c r="V18" s="233"/>
      <c r="W18" s="233"/>
      <c r="X18" s="233"/>
      <c r="Y18" s="233"/>
      <c r="Z18" s="233"/>
      <c r="AA18" s="204">
        <f t="shared" si="1"/>
        <v>9883.48</v>
      </c>
      <c r="AB18" s="197"/>
      <c r="AC18" s="204">
        <f t="shared" si="2"/>
        <v>27673.75</v>
      </c>
      <c r="AD18" s="197"/>
      <c r="AE18" s="204">
        <v>658.9</v>
      </c>
      <c r="AF18" s="270"/>
      <c r="AG18" s="285"/>
      <c r="AH18" s="282"/>
      <c r="AI18" s="282"/>
      <c r="AJ18" s="282"/>
      <c r="AK18" s="283">
        <v>57</v>
      </c>
      <c r="AL18" s="158">
        <f t="shared" si="3"/>
        <v>56.9998937623312</v>
      </c>
      <c r="AM18" s="284"/>
      <c r="AN18" s="284"/>
      <c r="AO18" s="284"/>
    </row>
    <row r="19" spans="1:41">
      <c r="A19" s="182">
        <v>43922</v>
      </c>
      <c r="B19" s="182"/>
      <c r="C19" s="182">
        <v>43837</v>
      </c>
      <c r="D19" s="186" t="s">
        <v>100</v>
      </c>
      <c r="E19" s="177"/>
      <c r="F19" s="187">
        <v>122050.5</v>
      </c>
      <c r="G19" s="187"/>
      <c r="H19" s="187">
        <v>86161.83</v>
      </c>
      <c r="I19" s="187"/>
      <c r="J19" s="187"/>
      <c r="K19" s="187">
        <f t="shared" si="0"/>
        <v>86161.83</v>
      </c>
      <c r="L19" s="232"/>
      <c r="M19" s="187">
        <v>13604.49</v>
      </c>
      <c r="N19" s="204"/>
      <c r="O19" s="233">
        <v>1511.61</v>
      </c>
      <c r="P19" s="233">
        <v>1511.61</v>
      </c>
      <c r="Q19" s="233">
        <v>1511.61</v>
      </c>
      <c r="R19" s="233">
        <v>1511.61</v>
      </c>
      <c r="S19" s="233">
        <v>1511.61</v>
      </c>
      <c r="T19" s="252">
        <v>1511.61</v>
      </c>
      <c r="U19" s="233"/>
      <c r="V19" s="233"/>
      <c r="W19" s="233"/>
      <c r="X19" s="233"/>
      <c r="Y19" s="233"/>
      <c r="Z19" s="233"/>
      <c r="AA19" s="204">
        <f t="shared" si="1"/>
        <v>22674.15</v>
      </c>
      <c r="AB19" s="197"/>
      <c r="AC19" s="204">
        <f t="shared" si="2"/>
        <v>63487.68</v>
      </c>
      <c r="AD19" s="197"/>
      <c r="AE19" s="204">
        <v>1511.61</v>
      </c>
      <c r="AF19" s="270"/>
      <c r="AG19" s="285"/>
      <c r="AH19" s="282"/>
      <c r="AI19" s="282"/>
      <c r="AJ19" s="282"/>
      <c r="AK19" s="283">
        <v>57</v>
      </c>
      <c r="AL19" s="158">
        <f t="shared" si="3"/>
        <v>57.0000396927779</v>
      </c>
      <c r="AM19" s="284"/>
      <c r="AN19" s="284"/>
      <c r="AO19" s="284"/>
    </row>
    <row r="20" spans="1:41">
      <c r="A20" s="182">
        <v>43998</v>
      </c>
      <c r="B20" s="521" t="s">
        <v>101</v>
      </c>
      <c r="C20" s="182">
        <v>43837</v>
      </c>
      <c r="D20" s="186" t="s">
        <v>102</v>
      </c>
      <c r="E20" s="177"/>
      <c r="F20" s="187">
        <v>4481.5</v>
      </c>
      <c r="G20" s="187"/>
      <c r="H20" s="187">
        <v>3170.5</v>
      </c>
      <c r="I20" s="187"/>
      <c r="J20" s="187"/>
      <c r="K20" s="187">
        <f t="shared" si="0"/>
        <v>3170.5</v>
      </c>
      <c r="L20" s="232"/>
      <c r="M20" s="187">
        <v>634.11</v>
      </c>
      <c r="N20" s="204"/>
      <c r="O20" s="233">
        <v>52.84</v>
      </c>
      <c r="P20" s="233">
        <v>52.84</v>
      </c>
      <c r="Q20" s="233">
        <v>52.84</v>
      </c>
      <c r="R20" s="233">
        <v>52.84</v>
      </c>
      <c r="S20" s="233">
        <v>52.84</v>
      </c>
      <c r="T20" s="252">
        <v>52.84</v>
      </c>
      <c r="U20" s="233"/>
      <c r="V20" s="233"/>
      <c r="W20" s="233"/>
      <c r="X20" s="233"/>
      <c r="Y20" s="233"/>
      <c r="Z20" s="233"/>
      <c r="AA20" s="204">
        <f t="shared" si="1"/>
        <v>951.15</v>
      </c>
      <c r="AB20" s="197"/>
      <c r="AC20" s="204">
        <f t="shared" si="2"/>
        <v>2219.35</v>
      </c>
      <c r="AD20" s="197"/>
      <c r="AE20" s="204">
        <f>K20/60</f>
        <v>52.8416666666667</v>
      </c>
      <c r="AF20" s="270"/>
      <c r="AG20" s="285"/>
      <c r="AH20" s="282"/>
      <c r="AI20" s="282"/>
      <c r="AJ20" s="282"/>
      <c r="AK20" s="283"/>
      <c r="AL20" s="158">
        <f t="shared" si="3"/>
        <v>60</v>
      </c>
      <c r="AM20" s="284"/>
      <c r="AN20" s="284"/>
      <c r="AO20" s="284"/>
    </row>
    <row r="21" spans="1:37">
      <c r="A21" s="182"/>
      <c r="B21" s="182"/>
      <c r="C21" s="182"/>
      <c r="D21" s="186"/>
      <c r="E21" s="177"/>
      <c r="F21" s="189"/>
      <c r="G21" s="189"/>
      <c r="H21" s="189"/>
      <c r="I21" s="187"/>
      <c r="J21" s="187"/>
      <c r="K21" s="187"/>
      <c r="L21" s="232"/>
      <c r="M21" s="189"/>
      <c r="N21" s="204"/>
      <c r="O21" s="233"/>
      <c r="P21" s="233"/>
      <c r="Q21" s="233"/>
      <c r="R21" s="233"/>
      <c r="S21" s="233"/>
      <c r="T21" s="252"/>
      <c r="U21" s="233"/>
      <c r="V21" s="233"/>
      <c r="W21" s="233"/>
      <c r="X21" s="233"/>
      <c r="Y21" s="233"/>
      <c r="Z21" s="233"/>
      <c r="AA21" s="204"/>
      <c r="AB21" s="197"/>
      <c r="AC21" s="204"/>
      <c r="AD21" s="197"/>
      <c r="AE21" s="204"/>
      <c r="AF21" s="270"/>
      <c r="AG21" s="281"/>
      <c r="AH21" s="282"/>
      <c r="AI21" s="282"/>
      <c r="AJ21" s="282"/>
      <c r="AK21" s="283"/>
    </row>
    <row r="22" ht="11.25" spans="1:37">
      <c r="A22" s="190"/>
      <c r="B22" s="190"/>
      <c r="C22" s="190"/>
      <c r="D22" s="191" t="s">
        <v>103</v>
      </c>
      <c r="E22" s="192"/>
      <c r="F22" s="193">
        <f>SUM(F8:F21)</f>
        <v>1327222.26</v>
      </c>
      <c r="G22" s="194"/>
      <c r="H22" s="193">
        <f>SUM(H8:H21)</f>
        <v>563594.455608687</v>
      </c>
      <c r="I22" s="193">
        <f>SUM(I8:I21)</f>
        <v>0</v>
      </c>
      <c r="J22" s="193">
        <f>SUM(J8:J21)</f>
        <v>0</v>
      </c>
      <c r="K22" s="193">
        <f>SUM(K8:K21)</f>
        <v>563594.455608687</v>
      </c>
      <c r="L22" s="234"/>
      <c r="M22" s="193">
        <f t="shared" ref="M22:AA22" si="4">SUM(M8:M21)</f>
        <v>146614.24</v>
      </c>
      <c r="N22" s="208">
        <f t="shared" si="4"/>
        <v>0</v>
      </c>
      <c r="O22" s="235">
        <f t="shared" si="4"/>
        <v>16272.85</v>
      </c>
      <c r="P22" s="235">
        <f t="shared" si="4"/>
        <v>16272.85</v>
      </c>
      <c r="Q22" s="235">
        <f t="shared" si="4"/>
        <v>16272.85</v>
      </c>
      <c r="R22" s="235">
        <f t="shared" si="4"/>
        <v>16272.85</v>
      </c>
      <c r="S22" s="235">
        <f t="shared" si="4"/>
        <v>16272.85</v>
      </c>
      <c r="T22" s="253">
        <f t="shared" si="4"/>
        <v>16272.85</v>
      </c>
      <c r="U22" s="235">
        <f t="shared" si="4"/>
        <v>0</v>
      </c>
      <c r="V22" s="235">
        <f t="shared" si="4"/>
        <v>0</v>
      </c>
      <c r="W22" s="235">
        <f t="shared" si="4"/>
        <v>0</v>
      </c>
      <c r="X22" s="235">
        <f t="shared" si="4"/>
        <v>0</v>
      </c>
      <c r="Y22" s="235">
        <f t="shared" si="4"/>
        <v>0</v>
      </c>
      <c r="Z22" s="235">
        <f t="shared" si="4"/>
        <v>0</v>
      </c>
      <c r="AA22" s="208">
        <f t="shared" si="4"/>
        <v>244251.34</v>
      </c>
      <c r="AB22" s="238"/>
      <c r="AC22" s="208">
        <f>SUM(AC8:AC21)</f>
        <v>319343.115608687</v>
      </c>
      <c r="AD22" s="238"/>
      <c r="AE22" s="271">
        <v>16220.01</v>
      </c>
      <c r="AF22" s="270">
        <v>248962.26</v>
      </c>
      <c r="AG22" s="281"/>
      <c r="AH22" s="282"/>
      <c r="AI22" s="282"/>
      <c r="AJ22" s="282"/>
      <c r="AK22" s="286">
        <v>340</v>
      </c>
    </row>
    <row r="23" ht="11.25" spans="1:37">
      <c r="A23" s="195"/>
      <c r="B23" s="195"/>
      <c r="C23" s="195"/>
      <c r="D23" s="196"/>
      <c r="E23" s="168"/>
      <c r="F23" s="197"/>
      <c r="G23" s="197"/>
      <c r="H23" s="197"/>
      <c r="I23" s="236">
        <f>SUM(H22:I22)-K22</f>
        <v>0</v>
      </c>
      <c r="J23" s="197"/>
      <c r="K23" s="237" t="e">
        <f>K22-#REF!</f>
        <v>#REF!</v>
      </c>
      <c r="L23" s="197"/>
      <c r="M23" s="197"/>
      <c r="N23" s="197"/>
      <c r="O23" s="232"/>
      <c r="P23" s="232"/>
      <c r="Q23" s="232"/>
      <c r="R23" s="232"/>
      <c r="S23" s="232"/>
      <c r="T23" s="254"/>
      <c r="U23" s="232"/>
      <c r="V23" s="254"/>
      <c r="W23" s="254"/>
      <c r="X23" s="232"/>
      <c r="Y23" s="232"/>
      <c r="Z23" s="254"/>
      <c r="AA23" s="197">
        <f>SUM(M22:Z22)-AA22</f>
        <v>0</v>
      </c>
      <c r="AB23" s="197"/>
      <c r="AC23" s="197"/>
      <c r="AD23" s="197"/>
      <c r="AE23" s="197"/>
      <c r="AF23" s="270"/>
      <c r="AG23" s="281"/>
      <c r="AH23" s="282"/>
      <c r="AI23" s="282"/>
      <c r="AJ23" s="282"/>
      <c r="AK23" s="287"/>
    </row>
    <row r="24" spans="1:37">
      <c r="A24" s="195"/>
      <c r="B24" s="195"/>
      <c r="C24" s="195"/>
      <c r="D24" s="196"/>
      <c r="E24" s="168"/>
      <c r="F24" s="197"/>
      <c r="G24" s="197"/>
      <c r="H24" s="197"/>
      <c r="I24" s="197"/>
      <c r="J24" s="197"/>
      <c r="K24" s="197"/>
      <c r="L24" s="197"/>
      <c r="M24" s="197"/>
      <c r="N24" s="197"/>
      <c r="O24" s="232"/>
      <c r="P24" s="232"/>
      <c r="Q24" s="232"/>
      <c r="R24" s="232"/>
      <c r="S24" s="232"/>
      <c r="T24" s="254"/>
      <c r="U24" s="232"/>
      <c r="V24" s="254"/>
      <c r="W24" s="254"/>
      <c r="X24" s="232"/>
      <c r="Y24" s="232"/>
      <c r="Z24" s="254"/>
      <c r="AA24" s="197"/>
      <c r="AB24" s="197"/>
      <c r="AC24" s="197"/>
      <c r="AD24" s="197"/>
      <c r="AE24" s="197"/>
      <c r="AF24" s="270"/>
      <c r="AG24" s="281"/>
      <c r="AH24" s="282"/>
      <c r="AI24" s="282"/>
      <c r="AJ24" s="282"/>
      <c r="AK24" s="287"/>
    </row>
    <row r="25" outlineLevel="1" spans="1:37">
      <c r="A25" s="198"/>
      <c r="B25" s="198"/>
      <c r="C25" s="198"/>
      <c r="D25" s="199" t="s">
        <v>104</v>
      </c>
      <c r="E25" s="186"/>
      <c r="F25" s="200"/>
      <c r="G25" s="200"/>
      <c r="H25" s="200"/>
      <c r="I25" s="200"/>
      <c r="J25" s="200"/>
      <c r="K25" s="200"/>
      <c r="L25" s="238"/>
      <c r="M25" s="200"/>
      <c r="N25" s="200"/>
      <c r="O25" s="239"/>
      <c r="P25" s="239"/>
      <c r="Q25" s="239"/>
      <c r="R25" s="239"/>
      <c r="S25" s="239"/>
      <c r="T25" s="255"/>
      <c r="U25" s="239"/>
      <c r="V25" s="255"/>
      <c r="W25" s="255"/>
      <c r="X25" s="239"/>
      <c r="Y25" s="239"/>
      <c r="Z25" s="255"/>
      <c r="AA25" s="200"/>
      <c r="AB25" s="238"/>
      <c r="AC25" s="200"/>
      <c r="AD25" s="211"/>
      <c r="AE25" s="200"/>
      <c r="AF25" s="270"/>
      <c r="AG25" s="281"/>
      <c r="AH25" s="282"/>
      <c r="AI25" s="282"/>
      <c r="AJ25" s="282"/>
      <c r="AK25" s="288"/>
    </row>
    <row r="26" outlineLevel="1" spans="1:37">
      <c r="A26" s="182"/>
      <c r="B26" s="182"/>
      <c r="C26" s="182"/>
      <c r="D26" s="201"/>
      <c r="E26" s="186"/>
      <c r="F26" s="202"/>
      <c r="G26" s="202"/>
      <c r="H26" s="202"/>
      <c r="I26" s="202"/>
      <c r="J26" s="202"/>
      <c r="K26" s="202"/>
      <c r="L26" s="238"/>
      <c r="M26" s="202"/>
      <c r="N26" s="202"/>
      <c r="O26" s="194"/>
      <c r="P26" s="194"/>
      <c r="Q26" s="194"/>
      <c r="R26" s="194"/>
      <c r="S26" s="194"/>
      <c r="T26" s="256"/>
      <c r="U26" s="194"/>
      <c r="V26" s="256"/>
      <c r="W26" s="256"/>
      <c r="X26" s="194"/>
      <c r="Y26" s="194"/>
      <c r="Z26" s="256"/>
      <c r="AA26" s="202"/>
      <c r="AB26" s="238"/>
      <c r="AC26" s="202"/>
      <c r="AD26" s="238"/>
      <c r="AE26" s="202"/>
      <c r="AF26" s="270"/>
      <c r="AG26" s="281"/>
      <c r="AH26" s="282"/>
      <c r="AI26" s="282"/>
      <c r="AJ26" s="282"/>
      <c r="AK26" s="289"/>
    </row>
    <row r="27" outlineLevel="1" spans="1:37">
      <c r="A27" s="182"/>
      <c r="B27" s="182"/>
      <c r="C27" s="182"/>
      <c r="D27" s="201" t="s">
        <v>105</v>
      </c>
      <c r="E27" s="177"/>
      <c r="F27" s="203" t="s">
        <v>106</v>
      </c>
      <c r="G27" s="203"/>
      <c r="H27" s="203" t="s">
        <v>106</v>
      </c>
      <c r="I27" s="204"/>
      <c r="J27" s="204"/>
      <c r="K27" s="204">
        <f>SUM(H27:J27)</f>
        <v>0</v>
      </c>
      <c r="L27" s="197"/>
      <c r="M27" s="203" t="s">
        <v>106</v>
      </c>
      <c r="N27" s="204"/>
      <c r="O27" s="187">
        <f>ROUND(+AE27*($AF$1),2)</f>
        <v>0</v>
      </c>
      <c r="P27" s="187"/>
      <c r="Q27" s="187"/>
      <c r="R27" s="187"/>
      <c r="S27" s="187"/>
      <c r="T27" s="233"/>
      <c r="U27" s="187"/>
      <c r="V27" s="233"/>
      <c r="W27" s="233"/>
      <c r="X27" s="187"/>
      <c r="Y27" s="187"/>
      <c r="Z27" s="233"/>
      <c r="AA27" s="204">
        <f>SUM(M27:O27)</f>
        <v>0</v>
      </c>
      <c r="AB27" s="197"/>
      <c r="AC27" s="204">
        <f>+K27-AA27</f>
        <v>0</v>
      </c>
      <c r="AD27" s="197"/>
      <c r="AE27" s="204">
        <v>0</v>
      </c>
      <c r="AF27" s="272">
        <v>0</v>
      </c>
      <c r="AG27" s="281"/>
      <c r="AH27" s="282"/>
      <c r="AI27" s="282"/>
      <c r="AJ27" s="282"/>
      <c r="AK27" s="283">
        <v>0</v>
      </c>
    </row>
    <row r="28" outlineLevel="1" spans="1:37">
      <c r="A28" s="182"/>
      <c r="B28" s="182"/>
      <c r="C28" s="182"/>
      <c r="D28" s="201"/>
      <c r="E28" s="177"/>
      <c r="F28" s="204"/>
      <c r="G28" s="204"/>
      <c r="H28" s="204"/>
      <c r="I28" s="204"/>
      <c r="J28" s="204"/>
      <c r="K28" s="204"/>
      <c r="L28" s="197"/>
      <c r="M28" s="204"/>
      <c r="N28" s="204"/>
      <c r="O28" s="187"/>
      <c r="P28" s="187"/>
      <c r="Q28" s="187"/>
      <c r="R28" s="187"/>
      <c r="S28" s="187"/>
      <c r="T28" s="233"/>
      <c r="U28" s="187"/>
      <c r="V28" s="233"/>
      <c r="W28" s="233"/>
      <c r="X28" s="187"/>
      <c r="Y28" s="187"/>
      <c r="Z28" s="233"/>
      <c r="AA28" s="204"/>
      <c r="AB28" s="197"/>
      <c r="AC28" s="204"/>
      <c r="AD28" s="197"/>
      <c r="AE28" s="204"/>
      <c r="AF28" s="272"/>
      <c r="AG28" s="281"/>
      <c r="AH28" s="282"/>
      <c r="AI28" s="282"/>
      <c r="AJ28" s="282"/>
      <c r="AK28" s="283"/>
    </row>
    <row r="29" outlineLevel="1" spans="1:37">
      <c r="A29" s="182"/>
      <c r="B29" s="182"/>
      <c r="C29" s="182"/>
      <c r="D29" s="201" t="s">
        <v>107</v>
      </c>
      <c r="E29" s="177"/>
      <c r="F29" s="203" t="s">
        <v>106</v>
      </c>
      <c r="G29" s="203"/>
      <c r="H29" s="203" t="s">
        <v>106</v>
      </c>
      <c r="I29" s="204"/>
      <c r="J29" s="204"/>
      <c r="K29" s="204">
        <f>SUM(H29:J29)</f>
        <v>0</v>
      </c>
      <c r="L29" s="197"/>
      <c r="M29" s="203" t="s">
        <v>106</v>
      </c>
      <c r="N29" s="204"/>
      <c r="O29" s="187">
        <f>ROUND(+AE29*($AF$1),2)</f>
        <v>0</v>
      </c>
      <c r="P29" s="187"/>
      <c r="Q29" s="187"/>
      <c r="R29" s="187"/>
      <c r="S29" s="187"/>
      <c r="T29" s="233"/>
      <c r="U29" s="187"/>
      <c r="V29" s="233"/>
      <c r="W29" s="233"/>
      <c r="X29" s="187"/>
      <c r="Y29" s="187"/>
      <c r="Z29" s="233"/>
      <c r="AA29" s="204">
        <f>SUM(M29:O29)</f>
        <v>0</v>
      </c>
      <c r="AB29" s="197"/>
      <c r="AC29" s="204">
        <f>+K29-AA29</f>
        <v>0</v>
      </c>
      <c r="AD29" s="197"/>
      <c r="AE29" s="204">
        <v>0</v>
      </c>
      <c r="AF29" s="272">
        <v>0</v>
      </c>
      <c r="AG29" s="281"/>
      <c r="AH29" s="282"/>
      <c r="AI29" s="282"/>
      <c r="AJ29" s="282"/>
      <c r="AK29" s="283">
        <v>0</v>
      </c>
    </row>
    <row r="30" outlineLevel="1" spans="1:37">
      <c r="A30" s="182"/>
      <c r="B30" s="182"/>
      <c r="C30" s="182"/>
      <c r="D30" s="201"/>
      <c r="E30" s="205"/>
      <c r="F30" s="204"/>
      <c r="G30" s="204"/>
      <c r="H30" s="204"/>
      <c r="I30" s="240"/>
      <c r="J30" s="241"/>
      <c r="K30" s="204"/>
      <c r="L30" s="197"/>
      <c r="M30" s="204"/>
      <c r="N30" s="204"/>
      <c r="O30" s="187"/>
      <c r="P30" s="187"/>
      <c r="Q30" s="187"/>
      <c r="R30" s="187"/>
      <c r="S30" s="187"/>
      <c r="T30" s="233"/>
      <c r="U30" s="187"/>
      <c r="V30" s="233"/>
      <c r="W30" s="233"/>
      <c r="X30" s="187"/>
      <c r="Y30" s="187"/>
      <c r="Z30" s="233"/>
      <c r="AA30" s="204"/>
      <c r="AB30" s="197"/>
      <c r="AC30" s="204"/>
      <c r="AD30" s="197"/>
      <c r="AE30" s="273"/>
      <c r="AF30" s="270"/>
      <c r="AG30" s="281"/>
      <c r="AH30" s="282"/>
      <c r="AI30" s="282"/>
      <c r="AJ30" s="282"/>
      <c r="AK30" s="290"/>
    </row>
    <row r="31" outlineLevel="1" spans="1:37">
      <c r="A31" s="182"/>
      <c r="B31" s="182"/>
      <c r="C31" s="182"/>
      <c r="D31" s="201" t="s">
        <v>108</v>
      </c>
      <c r="E31" s="205"/>
      <c r="F31" s="203" t="s">
        <v>106</v>
      </c>
      <c r="G31" s="203"/>
      <c r="H31" s="203" t="s">
        <v>106</v>
      </c>
      <c r="I31" s="240"/>
      <c r="J31" s="241"/>
      <c r="K31" s="204">
        <f>SUM(H31:J31)</f>
        <v>0</v>
      </c>
      <c r="L31" s="197"/>
      <c r="M31" s="203" t="s">
        <v>106</v>
      </c>
      <c r="N31" s="204"/>
      <c r="O31" s="187">
        <f>ROUND(+AE31*($AF$1-6),2)</f>
        <v>0</v>
      </c>
      <c r="P31" s="187"/>
      <c r="Q31" s="187"/>
      <c r="R31" s="187"/>
      <c r="S31" s="187"/>
      <c r="T31" s="233"/>
      <c r="U31" s="187"/>
      <c r="V31" s="233"/>
      <c r="W31" s="233"/>
      <c r="X31" s="187"/>
      <c r="Y31" s="187"/>
      <c r="Z31" s="233"/>
      <c r="AA31" s="204">
        <f>SUM(M31:O31)</f>
        <v>0</v>
      </c>
      <c r="AB31" s="197"/>
      <c r="AC31" s="204">
        <f>+K31-AA31</f>
        <v>0</v>
      </c>
      <c r="AD31" s="197"/>
      <c r="AE31" s="204">
        <v>0</v>
      </c>
      <c r="AF31" s="272">
        <v>0</v>
      </c>
      <c r="AG31" s="281"/>
      <c r="AH31" s="282"/>
      <c r="AI31" s="282"/>
      <c r="AJ31" s="282"/>
      <c r="AK31" s="283">
        <v>0</v>
      </c>
    </row>
    <row r="32" outlineLevel="1" spans="1:37">
      <c r="A32" s="182"/>
      <c r="B32" s="182"/>
      <c r="C32" s="182"/>
      <c r="D32" s="201"/>
      <c r="E32" s="186"/>
      <c r="F32" s="204"/>
      <c r="G32" s="204"/>
      <c r="H32" s="204"/>
      <c r="I32" s="204"/>
      <c r="J32" s="204"/>
      <c r="K32" s="204"/>
      <c r="L32" s="197"/>
      <c r="M32" s="204"/>
      <c r="N32" s="204"/>
      <c r="O32" s="187"/>
      <c r="P32" s="187"/>
      <c r="Q32" s="187"/>
      <c r="R32" s="187"/>
      <c r="S32" s="187"/>
      <c r="T32" s="233"/>
      <c r="U32" s="187"/>
      <c r="V32" s="233"/>
      <c r="W32" s="233"/>
      <c r="X32" s="187"/>
      <c r="Y32" s="187"/>
      <c r="Z32" s="233"/>
      <c r="AA32" s="204"/>
      <c r="AB32" s="197"/>
      <c r="AC32" s="204"/>
      <c r="AD32" s="197"/>
      <c r="AE32" s="274"/>
      <c r="AF32" s="270"/>
      <c r="AG32" s="281"/>
      <c r="AH32" s="282"/>
      <c r="AI32" s="282"/>
      <c r="AJ32" s="282"/>
      <c r="AK32" s="291"/>
    </row>
    <row r="33" ht="11.25" outlineLevel="1" spans="1:37">
      <c r="A33" s="190"/>
      <c r="B33" s="190"/>
      <c r="C33" s="190"/>
      <c r="D33" s="206" t="s">
        <v>109</v>
      </c>
      <c r="E33" s="207"/>
      <c r="F33" s="208">
        <f>SUM(F27:F29)</f>
        <v>0</v>
      </c>
      <c r="G33" s="208"/>
      <c r="H33" s="208">
        <f>SUM(H27:H29)</f>
        <v>0</v>
      </c>
      <c r="I33" s="208">
        <f>SUM(I27:I29)</f>
        <v>0</v>
      </c>
      <c r="J33" s="208">
        <f>SUM(J27:J29)</f>
        <v>0</v>
      </c>
      <c r="K33" s="208">
        <f>SUM(K27:K29)</f>
        <v>0</v>
      </c>
      <c r="L33" s="238"/>
      <c r="M33" s="208">
        <f>SUM(M27:M29)</f>
        <v>0</v>
      </c>
      <c r="N33" s="208">
        <f>SUM(N27:N29)</f>
        <v>0</v>
      </c>
      <c r="O33" s="193">
        <f>SUM(O27:O31)</f>
        <v>0</v>
      </c>
      <c r="P33" s="193"/>
      <c r="Q33" s="193"/>
      <c r="R33" s="193"/>
      <c r="S33" s="193"/>
      <c r="T33" s="235"/>
      <c r="U33" s="193"/>
      <c r="V33" s="235"/>
      <c r="W33" s="235"/>
      <c r="X33" s="193"/>
      <c r="Y33" s="193"/>
      <c r="Z33" s="235"/>
      <c r="AA33" s="208">
        <f>SUM(AA27:AA29)</f>
        <v>0</v>
      </c>
      <c r="AB33" s="238"/>
      <c r="AC33" s="208">
        <f>SUM(AC27:AC31)</f>
        <v>0</v>
      </c>
      <c r="AD33" s="238"/>
      <c r="AE33" s="271">
        <v>0</v>
      </c>
      <c r="AF33" s="270">
        <v>0</v>
      </c>
      <c r="AG33" s="281"/>
      <c r="AH33" s="282"/>
      <c r="AI33" s="282"/>
      <c r="AJ33" s="282"/>
      <c r="AK33" s="286">
        <v>0</v>
      </c>
    </row>
    <row r="34" ht="11.25" outlineLevel="1" spans="1:37">
      <c r="A34" s="209"/>
      <c r="B34" s="209"/>
      <c r="C34" s="209"/>
      <c r="D34" s="210"/>
      <c r="E34" s="192"/>
      <c r="F34" s="211"/>
      <c r="G34" s="211"/>
      <c r="H34" s="211"/>
      <c r="I34" s="211"/>
      <c r="J34" s="211"/>
      <c r="K34" s="211"/>
      <c r="L34" s="238"/>
      <c r="M34" s="211"/>
      <c r="N34" s="211"/>
      <c r="O34" s="242"/>
      <c r="P34" s="242"/>
      <c r="Q34" s="242"/>
      <c r="R34" s="242"/>
      <c r="S34" s="242"/>
      <c r="T34" s="257"/>
      <c r="U34" s="242"/>
      <c r="V34" s="257"/>
      <c r="W34" s="257"/>
      <c r="X34" s="242"/>
      <c r="Y34" s="242"/>
      <c r="Z34" s="257"/>
      <c r="AA34" s="211"/>
      <c r="AB34" s="238"/>
      <c r="AC34" s="211"/>
      <c r="AD34" s="238"/>
      <c r="AE34" s="211"/>
      <c r="AF34" s="270"/>
      <c r="AG34" s="281"/>
      <c r="AH34" s="282"/>
      <c r="AI34" s="282"/>
      <c r="AJ34" s="282"/>
      <c r="AK34" s="292"/>
    </row>
    <row r="35" outlineLevel="1" spans="1:37">
      <c r="A35" s="198"/>
      <c r="B35" s="198"/>
      <c r="C35" s="198"/>
      <c r="D35" s="199" t="s">
        <v>110</v>
      </c>
      <c r="E35" s="186"/>
      <c r="F35" s="200"/>
      <c r="G35" s="200"/>
      <c r="H35" s="200"/>
      <c r="I35" s="200"/>
      <c r="J35" s="200"/>
      <c r="K35" s="200"/>
      <c r="L35" s="238"/>
      <c r="M35" s="200"/>
      <c r="N35" s="200"/>
      <c r="O35" s="239"/>
      <c r="P35" s="239"/>
      <c r="Q35" s="239"/>
      <c r="R35" s="239"/>
      <c r="S35" s="239"/>
      <c r="T35" s="255"/>
      <c r="U35" s="239"/>
      <c r="V35" s="255"/>
      <c r="W35" s="255"/>
      <c r="X35" s="239"/>
      <c r="Y35" s="239"/>
      <c r="Z35" s="255"/>
      <c r="AA35" s="200"/>
      <c r="AB35" s="238"/>
      <c r="AC35" s="200"/>
      <c r="AD35" s="211"/>
      <c r="AE35" s="200"/>
      <c r="AF35" s="270"/>
      <c r="AG35" s="281"/>
      <c r="AH35" s="282"/>
      <c r="AI35" s="282"/>
      <c r="AJ35" s="282"/>
      <c r="AK35" s="288"/>
    </row>
    <row r="36" outlineLevel="1" spans="1:37">
      <c r="A36" s="182"/>
      <c r="B36" s="182"/>
      <c r="C36" s="182"/>
      <c r="D36" s="201"/>
      <c r="E36" s="186"/>
      <c r="F36" s="202"/>
      <c r="G36" s="202"/>
      <c r="H36" s="202"/>
      <c r="I36" s="202"/>
      <c r="J36" s="202"/>
      <c r="K36" s="202"/>
      <c r="L36" s="238"/>
      <c r="M36" s="202"/>
      <c r="N36" s="202"/>
      <c r="O36" s="194"/>
      <c r="P36" s="194"/>
      <c r="Q36" s="194"/>
      <c r="R36" s="194"/>
      <c r="S36" s="194"/>
      <c r="T36" s="256"/>
      <c r="U36" s="194"/>
      <c r="V36" s="256"/>
      <c r="W36" s="256"/>
      <c r="X36" s="194"/>
      <c r="Y36" s="194"/>
      <c r="Z36" s="256"/>
      <c r="AA36" s="202"/>
      <c r="AB36" s="238"/>
      <c r="AC36" s="202"/>
      <c r="AD36" s="238"/>
      <c r="AE36" s="202"/>
      <c r="AF36" s="270"/>
      <c r="AG36" s="281"/>
      <c r="AH36" s="282"/>
      <c r="AI36" s="282"/>
      <c r="AJ36" s="282"/>
      <c r="AK36" s="289"/>
    </row>
    <row r="37" outlineLevel="1" spans="1:37">
      <c r="A37" s="182"/>
      <c r="B37" s="182"/>
      <c r="C37" s="182"/>
      <c r="D37" s="201" t="s">
        <v>105</v>
      </c>
      <c r="E37" s="177"/>
      <c r="F37" s="203" t="s">
        <v>106</v>
      </c>
      <c r="G37" s="203"/>
      <c r="H37" s="203" t="s">
        <v>106</v>
      </c>
      <c r="I37" s="204"/>
      <c r="J37" s="204"/>
      <c r="K37" s="204">
        <f>SUM(H37:J37)</f>
        <v>0</v>
      </c>
      <c r="L37" s="197"/>
      <c r="M37" s="203" t="s">
        <v>106</v>
      </c>
      <c r="N37" s="204"/>
      <c r="O37" s="187">
        <f>ROUND(+AE37*($AF$1),2)</f>
        <v>0</v>
      </c>
      <c r="P37" s="187"/>
      <c r="Q37" s="187"/>
      <c r="R37" s="187"/>
      <c r="S37" s="187"/>
      <c r="T37" s="233"/>
      <c r="U37" s="187"/>
      <c r="V37" s="233"/>
      <c r="W37" s="233"/>
      <c r="X37" s="187"/>
      <c r="Y37" s="187"/>
      <c r="Z37" s="233"/>
      <c r="AA37" s="204">
        <f>SUM(M37:O37)</f>
        <v>0</v>
      </c>
      <c r="AB37" s="197"/>
      <c r="AC37" s="204">
        <f>+K37-AA37</f>
        <v>0</v>
      </c>
      <c r="AD37" s="197"/>
      <c r="AE37" s="204">
        <v>0</v>
      </c>
      <c r="AF37" s="272">
        <v>0</v>
      </c>
      <c r="AG37" s="281"/>
      <c r="AH37" s="282"/>
      <c r="AI37" s="282"/>
      <c r="AJ37" s="282"/>
      <c r="AK37" s="283">
        <v>0</v>
      </c>
    </row>
    <row r="38" outlineLevel="1" spans="1:37">
      <c r="A38" s="182"/>
      <c r="B38" s="182"/>
      <c r="C38" s="182"/>
      <c r="D38" s="201"/>
      <c r="E38" s="186"/>
      <c r="F38" s="212"/>
      <c r="G38" s="212"/>
      <c r="H38" s="212"/>
      <c r="I38" s="212"/>
      <c r="J38" s="204"/>
      <c r="K38" s="204"/>
      <c r="L38" s="197"/>
      <c r="M38" s="212"/>
      <c r="N38" s="204"/>
      <c r="O38" s="187"/>
      <c r="P38" s="187"/>
      <c r="Q38" s="187"/>
      <c r="R38" s="187"/>
      <c r="S38" s="187"/>
      <c r="T38" s="233"/>
      <c r="U38" s="187"/>
      <c r="V38" s="233"/>
      <c r="W38" s="233"/>
      <c r="X38" s="187"/>
      <c r="Y38" s="187"/>
      <c r="Z38" s="233"/>
      <c r="AA38" s="204"/>
      <c r="AB38" s="197"/>
      <c r="AC38" s="204"/>
      <c r="AD38" s="197"/>
      <c r="AE38" s="273"/>
      <c r="AF38" s="270"/>
      <c r="AG38" s="281"/>
      <c r="AH38" s="282"/>
      <c r="AI38" s="282"/>
      <c r="AJ38" s="282"/>
      <c r="AK38" s="290"/>
    </row>
    <row r="39" ht="11.25" outlineLevel="1" spans="1:37">
      <c r="A39" s="190"/>
      <c r="B39" s="190"/>
      <c r="C39" s="190"/>
      <c r="D39" s="206" t="s">
        <v>111</v>
      </c>
      <c r="E39" s="207"/>
      <c r="F39" s="208">
        <f>SUM(F37:F37)</f>
        <v>0</v>
      </c>
      <c r="G39" s="208"/>
      <c r="H39" s="208">
        <f>SUM(H37:H37)</f>
        <v>0</v>
      </c>
      <c r="I39" s="208">
        <f>SUM(I37:I37)</f>
        <v>0</v>
      </c>
      <c r="J39" s="208">
        <f>SUM(J37:J37)</f>
        <v>0</v>
      </c>
      <c r="K39" s="208">
        <f>SUM(K37:K37)</f>
        <v>0</v>
      </c>
      <c r="L39" s="238"/>
      <c r="M39" s="208">
        <f>SUM(M37:M37)</f>
        <v>0</v>
      </c>
      <c r="N39" s="208">
        <f>SUM(N37:N37)</f>
        <v>0</v>
      </c>
      <c r="O39" s="193">
        <f>SUM(O37:O37)</f>
        <v>0</v>
      </c>
      <c r="P39" s="193"/>
      <c r="Q39" s="193"/>
      <c r="R39" s="193"/>
      <c r="S39" s="193"/>
      <c r="T39" s="235"/>
      <c r="U39" s="193"/>
      <c r="V39" s="235"/>
      <c r="W39" s="235"/>
      <c r="X39" s="193"/>
      <c r="Y39" s="193"/>
      <c r="Z39" s="235"/>
      <c r="AA39" s="208">
        <f>SUM(AA37:AA37)</f>
        <v>0</v>
      </c>
      <c r="AB39" s="238"/>
      <c r="AC39" s="208">
        <f>SUM(AC37:AC37)</f>
        <v>0</v>
      </c>
      <c r="AD39" s="238"/>
      <c r="AE39" s="271">
        <v>0</v>
      </c>
      <c r="AF39" s="270">
        <v>0</v>
      </c>
      <c r="AG39" s="281"/>
      <c r="AH39" s="282"/>
      <c r="AI39" s="282"/>
      <c r="AJ39" s="282"/>
      <c r="AK39" s="286">
        <v>0</v>
      </c>
    </row>
    <row r="40" ht="11.25" spans="1:37">
      <c r="A40" s="209"/>
      <c r="B40" s="209"/>
      <c r="C40" s="209"/>
      <c r="D40" s="210"/>
      <c r="E40" s="192"/>
      <c r="F40" s="211"/>
      <c r="G40" s="211"/>
      <c r="H40" s="211"/>
      <c r="I40" s="211"/>
      <c r="J40" s="211"/>
      <c r="K40" s="211"/>
      <c r="L40" s="238"/>
      <c r="M40" s="211"/>
      <c r="N40" s="211"/>
      <c r="O40" s="242"/>
      <c r="P40" s="242"/>
      <c r="Q40" s="242"/>
      <c r="R40" s="242"/>
      <c r="S40" s="242"/>
      <c r="T40" s="257"/>
      <c r="U40" s="242"/>
      <c r="V40" s="257"/>
      <c r="W40" s="257"/>
      <c r="X40" s="242"/>
      <c r="Y40" s="242"/>
      <c r="Z40" s="257"/>
      <c r="AA40" s="211"/>
      <c r="AB40" s="238"/>
      <c r="AC40" s="211"/>
      <c r="AD40" s="238"/>
      <c r="AE40" s="211"/>
      <c r="AF40" s="270"/>
      <c r="AG40" s="281"/>
      <c r="AH40" s="282"/>
      <c r="AI40" s="282"/>
      <c r="AJ40" s="282"/>
      <c r="AK40" s="292"/>
    </row>
    <row r="41" spans="1:39">
      <c r="A41" s="198"/>
      <c r="B41" s="198"/>
      <c r="C41" s="198"/>
      <c r="D41" s="213" t="s">
        <v>110</v>
      </c>
      <c r="E41" s="186"/>
      <c r="F41" s="200"/>
      <c r="G41" s="202"/>
      <c r="H41" s="200"/>
      <c r="I41" s="200"/>
      <c r="J41" s="200"/>
      <c r="K41" s="200"/>
      <c r="L41" s="238"/>
      <c r="M41" s="200"/>
      <c r="N41" s="200"/>
      <c r="O41" s="239"/>
      <c r="P41" s="239"/>
      <c r="Q41" s="239"/>
      <c r="R41" s="239"/>
      <c r="S41" s="239"/>
      <c r="T41" s="255"/>
      <c r="U41" s="239"/>
      <c r="V41" s="255"/>
      <c r="W41" s="255"/>
      <c r="X41" s="239"/>
      <c r="Y41" s="239"/>
      <c r="Z41" s="255"/>
      <c r="AA41" s="200"/>
      <c r="AB41" s="238"/>
      <c r="AC41" s="200"/>
      <c r="AD41" s="211"/>
      <c r="AE41" s="200"/>
      <c r="AF41" s="270"/>
      <c r="AG41" s="281"/>
      <c r="AH41" s="282"/>
      <c r="AI41" s="282"/>
      <c r="AJ41" s="282"/>
      <c r="AK41" s="288"/>
      <c r="AM41" s="284"/>
    </row>
    <row r="42" spans="1:39">
      <c r="A42" s="182"/>
      <c r="B42" s="182"/>
      <c r="C42" s="182"/>
      <c r="D42" s="186"/>
      <c r="E42" s="186"/>
      <c r="F42" s="202"/>
      <c r="G42" s="202"/>
      <c r="H42" s="202"/>
      <c r="I42" s="202"/>
      <c r="J42" s="202"/>
      <c r="K42" s="202"/>
      <c r="L42" s="238"/>
      <c r="M42" s="202"/>
      <c r="N42" s="202"/>
      <c r="O42" s="194"/>
      <c r="P42" s="194"/>
      <c r="Q42" s="194"/>
      <c r="R42" s="194"/>
      <c r="S42" s="194"/>
      <c r="T42" s="256"/>
      <c r="U42" s="194"/>
      <c r="V42" s="256"/>
      <c r="W42" s="256"/>
      <c r="X42" s="194"/>
      <c r="Y42" s="194"/>
      <c r="Z42" s="256"/>
      <c r="AA42" s="202"/>
      <c r="AB42" s="238"/>
      <c r="AC42" s="202"/>
      <c r="AD42" s="238"/>
      <c r="AE42" s="202"/>
      <c r="AF42" s="270"/>
      <c r="AG42" s="281"/>
      <c r="AH42" s="282"/>
      <c r="AI42" s="282"/>
      <c r="AJ42" s="282"/>
      <c r="AK42" s="289"/>
      <c r="AL42" s="284"/>
      <c r="AM42" s="284"/>
    </row>
    <row r="43" s="156" customFormat="1" spans="1:39">
      <c r="A43" s="214">
        <v>41067</v>
      </c>
      <c r="B43" s="214"/>
      <c r="C43" s="214">
        <v>41091</v>
      </c>
      <c r="D43" s="215" t="s">
        <v>112</v>
      </c>
      <c r="E43" s="215"/>
      <c r="F43" s="216">
        <v>6950</v>
      </c>
      <c r="G43" s="216"/>
      <c r="H43" s="217">
        <v>5468.14</v>
      </c>
      <c r="I43" s="216"/>
      <c r="J43" s="216"/>
      <c r="K43" s="216">
        <f>SUM(H43:J43)</f>
        <v>5468.14</v>
      </c>
      <c r="L43" s="243"/>
      <c r="M43" s="244">
        <v>5468.14</v>
      </c>
      <c r="N43" s="216"/>
      <c r="O43" s="216"/>
      <c r="P43" s="216"/>
      <c r="Q43" s="216"/>
      <c r="R43" s="216"/>
      <c r="S43" s="216"/>
      <c r="T43" s="258"/>
      <c r="U43" s="216"/>
      <c r="V43" s="258"/>
      <c r="W43" s="258"/>
      <c r="X43" s="216"/>
      <c r="Y43" s="216"/>
      <c r="Z43" s="258"/>
      <c r="AA43" s="216">
        <f>SUM(M43:Z43)</f>
        <v>5468.14</v>
      </c>
      <c r="AB43" s="243"/>
      <c r="AC43" s="216">
        <f t="shared" ref="AC43:AC58" si="5">+ROUND(K43-AA43,2)</f>
        <v>0</v>
      </c>
      <c r="AD43" s="232"/>
      <c r="AE43" s="187">
        <v>0</v>
      </c>
      <c r="AF43" s="275">
        <v>0</v>
      </c>
      <c r="AG43" s="293">
        <f>+AC43-AF43</f>
        <v>0</v>
      </c>
      <c r="AH43" s="294"/>
      <c r="AI43" s="294"/>
      <c r="AJ43" s="294"/>
      <c r="AK43" s="289"/>
      <c r="AL43" s="295"/>
      <c r="AM43" s="295"/>
    </row>
    <row r="44" s="156" customFormat="1" spans="1:39">
      <c r="A44" s="214">
        <v>41183</v>
      </c>
      <c r="B44" s="214"/>
      <c r="C44" s="214">
        <v>41183</v>
      </c>
      <c r="D44" s="215" t="s">
        <v>113</v>
      </c>
      <c r="E44" s="215"/>
      <c r="F44" s="216">
        <v>1020</v>
      </c>
      <c r="G44" s="216"/>
      <c r="H44" s="217">
        <v>835.85</v>
      </c>
      <c r="I44" s="216"/>
      <c r="J44" s="216"/>
      <c r="K44" s="216">
        <f>SUM(H44:J44)</f>
        <v>835.85</v>
      </c>
      <c r="L44" s="243"/>
      <c r="M44" s="244">
        <v>835.85</v>
      </c>
      <c r="N44" s="216"/>
      <c r="O44" s="216"/>
      <c r="P44" s="216"/>
      <c r="Q44" s="216"/>
      <c r="R44" s="216"/>
      <c r="S44" s="216"/>
      <c r="T44" s="258"/>
      <c r="U44" s="216"/>
      <c r="V44" s="258"/>
      <c r="W44" s="258"/>
      <c r="X44" s="216"/>
      <c r="Y44" s="216"/>
      <c r="Z44" s="258"/>
      <c r="AA44" s="216">
        <f t="shared" ref="AA44:AA58" si="6">SUM(M44:Z44)</f>
        <v>835.85</v>
      </c>
      <c r="AB44" s="243"/>
      <c r="AC44" s="216">
        <f t="shared" si="5"/>
        <v>0</v>
      </c>
      <c r="AD44" s="232"/>
      <c r="AE44" s="187">
        <v>0</v>
      </c>
      <c r="AF44" s="275">
        <v>0</v>
      </c>
      <c r="AG44" s="293">
        <f>+AC44-AF44</f>
        <v>0</v>
      </c>
      <c r="AH44" s="294"/>
      <c r="AI44" s="294"/>
      <c r="AJ44" s="294"/>
      <c r="AK44" s="289"/>
      <c r="AL44" s="295"/>
      <c r="AM44" s="295"/>
    </row>
    <row r="45" s="156" customFormat="1" spans="1:39">
      <c r="A45" s="214">
        <v>42355</v>
      </c>
      <c r="B45" s="214"/>
      <c r="C45" s="214">
        <v>42339</v>
      </c>
      <c r="D45" s="215" t="s">
        <v>114</v>
      </c>
      <c r="E45" s="215"/>
      <c r="F45" s="216">
        <v>17955</v>
      </c>
      <c r="G45" s="216"/>
      <c r="H45" s="217">
        <v>18762.81</v>
      </c>
      <c r="I45" s="216"/>
      <c r="J45" s="216"/>
      <c r="K45" s="216">
        <f>SUM(H45:J45)</f>
        <v>18762.81</v>
      </c>
      <c r="L45" s="243"/>
      <c r="M45" s="244">
        <v>18762.81</v>
      </c>
      <c r="N45" s="216"/>
      <c r="O45" s="216"/>
      <c r="P45" s="216"/>
      <c r="Q45" s="216"/>
      <c r="R45" s="216"/>
      <c r="S45" s="216"/>
      <c r="T45" s="258"/>
      <c r="U45" s="216"/>
      <c r="V45" s="258"/>
      <c r="W45" s="258"/>
      <c r="X45" s="216"/>
      <c r="Y45" s="216"/>
      <c r="Z45" s="258"/>
      <c r="AA45" s="216">
        <f t="shared" si="6"/>
        <v>18762.81</v>
      </c>
      <c r="AB45" s="243"/>
      <c r="AC45" s="216">
        <f t="shared" si="5"/>
        <v>0</v>
      </c>
      <c r="AD45" s="232"/>
      <c r="AE45" s="187">
        <v>0</v>
      </c>
      <c r="AF45" s="275">
        <v>18762.81</v>
      </c>
      <c r="AG45" s="293">
        <f>+AC45-AF45</f>
        <v>-18762.81</v>
      </c>
      <c r="AH45" s="294">
        <v>-521.190000000002</v>
      </c>
      <c r="AI45" s="294"/>
      <c r="AJ45" s="294"/>
      <c r="AK45" s="289"/>
      <c r="AL45" s="295"/>
      <c r="AM45" s="295"/>
    </row>
    <row r="46" s="156" customFormat="1" spans="1:39">
      <c r="A46" s="214">
        <v>42824</v>
      </c>
      <c r="B46" s="214"/>
      <c r="C46" s="214">
        <v>42826</v>
      </c>
      <c r="D46" s="215" t="s">
        <v>115</v>
      </c>
      <c r="E46" s="215"/>
      <c r="F46" s="216">
        <v>19800</v>
      </c>
      <c r="G46" s="216"/>
      <c r="H46" s="217">
        <v>14169.17</v>
      </c>
      <c r="I46" s="216"/>
      <c r="J46" s="216"/>
      <c r="K46" s="216">
        <f t="shared" ref="K46:K58" si="7">SUM(H46:J46)</f>
        <v>14169.17</v>
      </c>
      <c r="L46" s="243"/>
      <c r="M46" s="244">
        <v>14169.17</v>
      </c>
      <c r="N46" s="216"/>
      <c r="O46" s="216"/>
      <c r="P46" s="216"/>
      <c r="Q46" s="216"/>
      <c r="R46" s="216"/>
      <c r="S46" s="216"/>
      <c r="T46" s="258"/>
      <c r="U46" s="216"/>
      <c r="V46" s="258"/>
      <c r="W46" s="258"/>
      <c r="X46" s="216"/>
      <c r="Y46" s="216"/>
      <c r="Z46" s="258"/>
      <c r="AA46" s="216">
        <f t="shared" si="6"/>
        <v>14169.17</v>
      </c>
      <c r="AB46" s="243"/>
      <c r="AC46" s="216">
        <f t="shared" si="5"/>
        <v>0</v>
      </c>
      <c r="AD46" s="232"/>
      <c r="AE46" s="187">
        <v>0</v>
      </c>
      <c r="AF46" s="275"/>
      <c r="AG46" s="293"/>
      <c r="AH46" s="294"/>
      <c r="AI46" s="294"/>
      <c r="AJ46" s="294"/>
      <c r="AK46" s="289"/>
      <c r="AL46" s="295"/>
      <c r="AM46" s="295"/>
    </row>
    <row r="47" s="156" customFormat="1" spans="1:40">
      <c r="A47" s="218">
        <v>43066</v>
      </c>
      <c r="B47" s="218"/>
      <c r="C47" s="218">
        <v>43070</v>
      </c>
      <c r="D47" s="219" t="s">
        <v>116</v>
      </c>
      <c r="E47" s="219"/>
      <c r="F47" s="187">
        <v>27040</v>
      </c>
      <c r="G47" s="187"/>
      <c r="H47" s="220">
        <v>4456.88</v>
      </c>
      <c r="I47" s="187"/>
      <c r="J47" s="187"/>
      <c r="K47" s="187">
        <f t="shared" si="7"/>
        <v>4456.88</v>
      </c>
      <c r="L47" s="232"/>
      <c r="M47" s="189">
        <v>4456.88</v>
      </c>
      <c r="N47" s="187"/>
      <c r="O47" s="233"/>
      <c r="P47" s="233"/>
      <c r="Q47" s="233"/>
      <c r="R47" s="233"/>
      <c r="S47" s="233"/>
      <c r="T47" s="252"/>
      <c r="U47" s="233"/>
      <c r="V47" s="233"/>
      <c r="W47" s="233"/>
      <c r="X47" s="233"/>
      <c r="Y47" s="233"/>
      <c r="Z47" s="233"/>
      <c r="AA47" s="187">
        <f t="shared" si="6"/>
        <v>4456.88</v>
      </c>
      <c r="AB47" s="232"/>
      <c r="AC47" s="187">
        <f t="shared" si="5"/>
        <v>0</v>
      </c>
      <c r="AD47" s="232"/>
      <c r="AE47" s="187">
        <v>557.11</v>
      </c>
      <c r="AF47" s="275"/>
      <c r="AG47" s="293"/>
      <c r="AH47" s="294"/>
      <c r="AI47" s="294"/>
      <c r="AJ47" s="294"/>
      <c r="AK47" s="296">
        <v>8</v>
      </c>
      <c r="AL47" s="295"/>
      <c r="AM47" s="295"/>
      <c r="AN47" s="295"/>
    </row>
    <row r="48" s="156" customFormat="1" spans="1:40">
      <c r="A48" s="218">
        <v>43066</v>
      </c>
      <c r="B48" s="218"/>
      <c r="C48" s="218">
        <v>43070</v>
      </c>
      <c r="D48" s="219" t="s">
        <v>117</v>
      </c>
      <c r="E48" s="219"/>
      <c r="F48" s="187">
        <v>20850</v>
      </c>
      <c r="G48" s="187"/>
      <c r="H48" s="220">
        <v>3436.61</v>
      </c>
      <c r="I48" s="187"/>
      <c r="J48" s="187"/>
      <c r="K48" s="187">
        <f t="shared" si="7"/>
        <v>3436.61</v>
      </c>
      <c r="L48" s="232"/>
      <c r="M48" s="189">
        <v>3436.61</v>
      </c>
      <c r="N48" s="187"/>
      <c r="O48" s="233"/>
      <c r="P48" s="233"/>
      <c r="Q48" s="233"/>
      <c r="R48" s="233"/>
      <c r="S48" s="233"/>
      <c r="T48" s="252"/>
      <c r="U48" s="233"/>
      <c r="V48" s="233"/>
      <c r="W48" s="233"/>
      <c r="X48" s="233"/>
      <c r="Y48" s="233"/>
      <c r="Z48" s="233"/>
      <c r="AA48" s="187">
        <f t="shared" si="6"/>
        <v>3436.61</v>
      </c>
      <c r="AB48" s="232"/>
      <c r="AC48" s="187">
        <f t="shared" si="5"/>
        <v>0</v>
      </c>
      <c r="AD48" s="232"/>
      <c r="AE48" s="187">
        <v>429.58</v>
      </c>
      <c r="AF48" s="275"/>
      <c r="AG48" s="293"/>
      <c r="AH48" s="294"/>
      <c r="AI48" s="294"/>
      <c r="AJ48" s="294"/>
      <c r="AK48" s="296">
        <v>8</v>
      </c>
      <c r="AL48" s="295"/>
      <c r="AM48" s="295"/>
      <c r="AN48" s="295"/>
    </row>
    <row r="49" s="156" customFormat="1" spans="1:40">
      <c r="A49" s="218">
        <v>43066</v>
      </c>
      <c r="B49" s="218"/>
      <c r="C49" s="218">
        <v>43070</v>
      </c>
      <c r="D49" s="219" t="s">
        <v>118</v>
      </c>
      <c r="E49" s="219"/>
      <c r="F49" s="187">
        <v>25995</v>
      </c>
      <c r="G49" s="187"/>
      <c r="H49" s="220">
        <v>4284.65</v>
      </c>
      <c r="I49" s="187"/>
      <c r="J49" s="187"/>
      <c r="K49" s="187">
        <f t="shared" si="7"/>
        <v>4284.65</v>
      </c>
      <c r="L49" s="232"/>
      <c r="M49" s="189">
        <v>4284.65</v>
      </c>
      <c r="N49" s="187"/>
      <c r="O49" s="233"/>
      <c r="P49" s="233"/>
      <c r="Q49" s="233"/>
      <c r="R49" s="233"/>
      <c r="S49" s="233"/>
      <c r="T49" s="252"/>
      <c r="U49" s="233"/>
      <c r="V49" s="233"/>
      <c r="W49" s="233"/>
      <c r="X49" s="233"/>
      <c r="Y49" s="233"/>
      <c r="Z49" s="233"/>
      <c r="AA49" s="187">
        <f t="shared" si="6"/>
        <v>4284.65</v>
      </c>
      <c r="AB49" s="232"/>
      <c r="AC49" s="187">
        <f t="shared" si="5"/>
        <v>0</v>
      </c>
      <c r="AD49" s="232"/>
      <c r="AE49" s="187">
        <v>535.58</v>
      </c>
      <c r="AF49" s="275"/>
      <c r="AG49" s="293"/>
      <c r="AH49" s="294"/>
      <c r="AI49" s="294"/>
      <c r="AJ49" s="294"/>
      <c r="AK49" s="296">
        <v>8</v>
      </c>
      <c r="AL49" s="295"/>
      <c r="AM49" s="295"/>
      <c r="AN49" s="295"/>
    </row>
    <row r="50" s="156" customFormat="1" spans="1:40">
      <c r="A50" s="218">
        <v>43066</v>
      </c>
      <c r="B50" s="218"/>
      <c r="C50" s="218">
        <v>43070</v>
      </c>
      <c r="D50" s="219" t="s">
        <v>119</v>
      </c>
      <c r="E50" s="219"/>
      <c r="F50" s="187">
        <v>900</v>
      </c>
      <c r="G50" s="187"/>
      <c r="H50" s="220">
        <v>148.36</v>
      </c>
      <c r="I50" s="187"/>
      <c r="J50" s="187"/>
      <c r="K50" s="187">
        <f t="shared" si="7"/>
        <v>148.36</v>
      </c>
      <c r="L50" s="232"/>
      <c r="M50" s="189">
        <v>148.35</v>
      </c>
      <c r="N50" s="187"/>
      <c r="O50" s="233"/>
      <c r="P50" s="233"/>
      <c r="Q50" s="233"/>
      <c r="R50" s="233"/>
      <c r="S50" s="233"/>
      <c r="T50" s="252"/>
      <c r="U50" s="233"/>
      <c r="V50" s="233"/>
      <c r="W50" s="233"/>
      <c r="X50" s="233"/>
      <c r="Y50" s="233"/>
      <c r="Z50" s="233"/>
      <c r="AA50" s="187">
        <f t="shared" si="6"/>
        <v>148.35</v>
      </c>
      <c r="AB50" s="232"/>
      <c r="AC50" s="187">
        <f t="shared" si="5"/>
        <v>0.01</v>
      </c>
      <c r="AD50" s="232"/>
      <c r="AE50" s="187">
        <v>18.54</v>
      </c>
      <c r="AF50" s="275"/>
      <c r="AG50" s="293"/>
      <c r="AH50" s="294"/>
      <c r="AI50" s="294"/>
      <c r="AJ50" s="294"/>
      <c r="AK50" s="296">
        <v>8</v>
      </c>
      <c r="AL50" s="295"/>
      <c r="AM50" s="295"/>
      <c r="AN50" s="295"/>
    </row>
    <row r="51" s="156" customFormat="1" spans="1:39">
      <c r="A51" s="218">
        <v>43066</v>
      </c>
      <c r="B51" s="218"/>
      <c r="C51" s="218">
        <v>43070</v>
      </c>
      <c r="D51" s="219" t="s">
        <v>120</v>
      </c>
      <c r="E51" s="219"/>
      <c r="F51" s="187">
        <v>360</v>
      </c>
      <c r="G51" s="187"/>
      <c r="H51" s="220">
        <v>59.35</v>
      </c>
      <c r="I51" s="187"/>
      <c r="J51" s="187"/>
      <c r="K51" s="187">
        <f t="shared" si="7"/>
        <v>59.35</v>
      </c>
      <c r="L51" s="232"/>
      <c r="M51" s="189">
        <v>59.35</v>
      </c>
      <c r="N51" s="187"/>
      <c r="O51" s="233"/>
      <c r="P51" s="233"/>
      <c r="Q51" s="233"/>
      <c r="R51" s="233"/>
      <c r="S51" s="233"/>
      <c r="T51" s="252"/>
      <c r="U51" s="233"/>
      <c r="V51" s="233"/>
      <c r="W51" s="233"/>
      <c r="X51" s="233"/>
      <c r="Y51" s="233"/>
      <c r="Z51" s="233"/>
      <c r="AA51" s="187">
        <f t="shared" si="6"/>
        <v>59.35</v>
      </c>
      <c r="AB51" s="232"/>
      <c r="AC51" s="187">
        <f t="shared" si="5"/>
        <v>0</v>
      </c>
      <c r="AD51" s="232"/>
      <c r="AE51" s="187">
        <v>7.42</v>
      </c>
      <c r="AF51" s="275"/>
      <c r="AG51" s="293"/>
      <c r="AH51" s="294"/>
      <c r="AI51" s="294"/>
      <c r="AJ51" s="294"/>
      <c r="AK51" s="296">
        <v>8</v>
      </c>
      <c r="AL51" s="295"/>
      <c r="AM51" s="295"/>
    </row>
    <row r="52" s="156" customFormat="1" spans="1:39">
      <c r="A52" s="218">
        <v>43066</v>
      </c>
      <c r="B52" s="218"/>
      <c r="C52" s="218">
        <v>43070</v>
      </c>
      <c r="D52" s="219" t="s">
        <v>121</v>
      </c>
      <c r="E52" s="219"/>
      <c r="F52" s="187">
        <v>1550</v>
      </c>
      <c r="G52" s="187"/>
      <c r="H52" s="220">
        <v>255.51</v>
      </c>
      <c r="I52" s="187"/>
      <c r="J52" s="187"/>
      <c r="K52" s="187">
        <f t="shared" si="7"/>
        <v>255.51</v>
      </c>
      <c r="L52" s="232"/>
      <c r="M52" s="189">
        <v>255.5</v>
      </c>
      <c r="N52" s="187"/>
      <c r="O52" s="233"/>
      <c r="P52" s="233"/>
      <c r="Q52" s="233"/>
      <c r="R52" s="233"/>
      <c r="S52" s="233"/>
      <c r="T52" s="252"/>
      <c r="U52" s="233"/>
      <c r="V52" s="233"/>
      <c r="W52" s="233"/>
      <c r="X52" s="233"/>
      <c r="Y52" s="233"/>
      <c r="Z52" s="233"/>
      <c r="AA52" s="187">
        <f t="shared" si="6"/>
        <v>255.5</v>
      </c>
      <c r="AB52" s="232"/>
      <c r="AC52" s="187">
        <f t="shared" si="5"/>
        <v>0.01</v>
      </c>
      <c r="AD52" s="232"/>
      <c r="AE52" s="187">
        <v>31.93</v>
      </c>
      <c r="AF52" s="275"/>
      <c r="AG52" s="293"/>
      <c r="AH52" s="294"/>
      <c r="AI52" s="294"/>
      <c r="AJ52" s="294"/>
      <c r="AK52" s="296">
        <v>8</v>
      </c>
      <c r="AL52" s="295"/>
      <c r="AM52" s="295"/>
    </row>
    <row r="53" spans="1:39">
      <c r="A53" s="182">
        <v>43066</v>
      </c>
      <c r="B53" s="182"/>
      <c r="C53" s="182">
        <v>43070</v>
      </c>
      <c r="D53" s="186" t="s">
        <v>122</v>
      </c>
      <c r="E53" s="186"/>
      <c r="F53" s="204">
        <v>750</v>
      </c>
      <c r="G53" s="204"/>
      <c r="H53" s="221">
        <v>123.64</v>
      </c>
      <c r="I53" s="204"/>
      <c r="J53" s="204"/>
      <c r="K53" s="204">
        <f t="shared" si="7"/>
        <v>123.64</v>
      </c>
      <c r="L53" s="197"/>
      <c r="M53" s="203">
        <v>123.63</v>
      </c>
      <c r="N53" s="204"/>
      <c r="O53" s="233"/>
      <c r="P53" s="233"/>
      <c r="Q53" s="233"/>
      <c r="R53" s="233"/>
      <c r="S53" s="233"/>
      <c r="T53" s="252"/>
      <c r="U53" s="233"/>
      <c r="V53" s="233"/>
      <c r="W53" s="233"/>
      <c r="X53" s="233"/>
      <c r="Y53" s="233"/>
      <c r="Z53" s="233"/>
      <c r="AA53" s="204">
        <f t="shared" si="6"/>
        <v>123.63</v>
      </c>
      <c r="AB53" s="197"/>
      <c r="AC53" s="204">
        <f t="shared" si="5"/>
        <v>0.01</v>
      </c>
      <c r="AD53" s="197"/>
      <c r="AE53" s="204">
        <v>15.45</v>
      </c>
      <c r="AF53" s="270"/>
      <c r="AG53" s="281"/>
      <c r="AH53" s="282"/>
      <c r="AI53" s="282"/>
      <c r="AJ53" s="282"/>
      <c r="AK53" s="283">
        <v>8</v>
      </c>
      <c r="AL53" s="284"/>
      <c r="AM53" s="284"/>
    </row>
    <row r="54" spans="1:39">
      <c r="A54" s="182">
        <v>43315</v>
      </c>
      <c r="B54" s="182"/>
      <c r="C54" s="182">
        <v>43313</v>
      </c>
      <c r="D54" s="186" t="s">
        <v>123</v>
      </c>
      <c r="E54" s="186"/>
      <c r="F54" s="204">
        <v>0</v>
      </c>
      <c r="G54" s="204"/>
      <c r="H54" s="221">
        <v>5066.66</v>
      </c>
      <c r="I54" s="204"/>
      <c r="J54" s="204"/>
      <c r="K54" s="204">
        <f t="shared" si="7"/>
        <v>5066.66</v>
      </c>
      <c r="L54" s="197"/>
      <c r="M54" s="203">
        <v>2849.99</v>
      </c>
      <c r="N54" s="204"/>
      <c r="O54" s="233">
        <v>316.67</v>
      </c>
      <c r="P54" s="233">
        <v>316.67</v>
      </c>
      <c r="Q54" s="233">
        <v>316.67</v>
      </c>
      <c r="R54" s="233">
        <v>316.67</v>
      </c>
      <c r="S54" s="233">
        <v>316.67</v>
      </c>
      <c r="T54" s="252">
        <v>316.67</v>
      </c>
      <c r="U54" s="233"/>
      <c r="V54" s="233"/>
      <c r="W54" s="233"/>
      <c r="X54" s="233"/>
      <c r="Y54" s="233"/>
      <c r="Z54" s="233"/>
      <c r="AA54" s="204">
        <f t="shared" si="6"/>
        <v>4750.01</v>
      </c>
      <c r="AB54" s="197"/>
      <c r="AC54" s="204">
        <f t="shared" si="5"/>
        <v>316.65</v>
      </c>
      <c r="AD54" s="197"/>
      <c r="AE54" s="204">
        <v>316.67</v>
      </c>
      <c r="AF54" s="270"/>
      <c r="AG54" s="281"/>
      <c r="AH54" s="282"/>
      <c r="AI54" s="282"/>
      <c r="AJ54" s="282"/>
      <c r="AK54" s="283">
        <v>16</v>
      </c>
      <c r="AL54" s="284"/>
      <c r="AM54" s="284"/>
    </row>
    <row r="55" spans="1:39">
      <c r="A55" s="182">
        <v>43451</v>
      </c>
      <c r="B55" s="182"/>
      <c r="C55" s="182">
        <v>43739</v>
      </c>
      <c r="D55" s="186" t="s">
        <v>124</v>
      </c>
      <c r="E55" s="186"/>
      <c r="F55" s="204">
        <v>0</v>
      </c>
      <c r="G55" s="204"/>
      <c r="H55" s="221">
        <v>49916.67</v>
      </c>
      <c r="I55" s="204"/>
      <c r="J55" s="204"/>
      <c r="K55" s="204">
        <f t="shared" si="7"/>
        <v>49916.67</v>
      </c>
      <c r="L55" s="197"/>
      <c r="M55" s="203">
        <v>14975</v>
      </c>
      <c r="N55" s="204"/>
      <c r="O55" s="233">
        <v>1663.89</v>
      </c>
      <c r="P55" s="233">
        <v>1663.89</v>
      </c>
      <c r="Q55" s="233">
        <v>1663.89</v>
      </c>
      <c r="R55" s="233">
        <v>1663.89</v>
      </c>
      <c r="S55" s="233">
        <v>1663.89</v>
      </c>
      <c r="T55" s="252">
        <v>1663.89</v>
      </c>
      <c r="U55" s="233"/>
      <c r="V55" s="233"/>
      <c r="W55" s="233"/>
      <c r="X55" s="233"/>
      <c r="Y55" s="233"/>
      <c r="Z55" s="233"/>
      <c r="AA55" s="204">
        <f t="shared" si="6"/>
        <v>24958.34</v>
      </c>
      <c r="AB55" s="197"/>
      <c r="AC55" s="204">
        <f t="shared" si="5"/>
        <v>24958.33</v>
      </c>
      <c r="AD55" s="197"/>
      <c r="AE55" s="204">
        <v>1663.89</v>
      </c>
      <c r="AF55" s="270"/>
      <c r="AG55" s="281"/>
      <c r="AH55" s="282"/>
      <c r="AI55" s="282"/>
      <c r="AJ55" s="282"/>
      <c r="AK55" s="283">
        <v>30</v>
      </c>
      <c r="AL55" s="284"/>
      <c r="AM55" s="284"/>
    </row>
    <row r="56" spans="1:39">
      <c r="A56" s="182">
        <v>43746</v>
      </c>
      <c r="B56" s="182"/>
      <c r="C56" s="182">
        <v>43770</v>
      </c>
      <c r="D56" s="186" t="s">
        <v>125</v>
      </c>
      <c r="E56" s="186"/>
      <c r="F56" s="204">
        <v>60435</v>
      </c>
      <c r="G56" s="204"/>
      <c r="H56" s="221">
        <v>38257.2</v>
      </c>
      <c r="I56" s="204"/>
      <c r="J56" s="204"/>
      <c r="K56" s="204">
        <f t="shared" si="7"/>
        <v>38257.2</v>
      </c>
      <c r="L56" s="197"/>
      <c r="M56" s="203">
        <v>11106.92</v>
      </c>
      <c r="N56" s="204"/>
      <c r="O56" s="233">
        <v>1234.1</v>
      </c>
      <c r="P56" s="233">
        <v>1234.1</v>
      </c>
      <c r="Q56" s="233">
        <v>1234.1</v>
      </c>
      <c r="R56" s="233">
        <v>1234.1</v>
      </c>
      <c r="S56" s="233">
        <v>1234.1</v>
      </c>
      <c r="T56" s="252">
        <v>1234.1</v>
      </c>
      <c r="U56" s="233"/>
      <c r="V56" s="233"/>
      <c r="W56" s="233"/>
      <c r="X56" s="233"/>
      <c r="Y56" s="233"/>
      <c r="Z56" s="233"/>
      <c r="AA56" s="204">
        <f t="shared" si="6"/>
        <v>18511.52</v>
      </c>
      <c r="AB56" s="197"/>
      <c r="AC56" s="204">
        <f t="shared" si="5"/>
        <v>19745.68</v>
      </c>
      <c r="AD56" s="197"/>
      <c r="AE56" s="204">
        <v>1234.1</v>
      </c>
      <c r="AF56" s="270"/>
      <c r="AG56" s="281"/>
      <c r="AH56" s="282"/>
      <c r="AI56" s="282"/>
      <c r="AJ56" s="282"/>
      <c r="AK56" s="283">
        <v>31</v>
      </c>
      <c r="AL56" s="284"/>
      <c r="AM56" s="284"/>
    </row>
    <row r="57" spans="1:38">
      <c r="A57" s="182">
        <v>43845</v>
      </c>
      <c r="B57" s="182" t="s">
        <v>126</v>
      </c>
      <c r="C57" s="182">
        <v>43831</v>
      </c>
      <c r="D57" s="186" t="s">
        <v>127</v>
      </c>
      <c r="E57" s="177"/>
      <c r="F57" s="204">
        <v>19800</v>
      </c>
      <c r="G57" s="204"/>
      <c r="H57" s="221">
        <v>13487.4</v>
      </c>
      <c r="I57" s="204"/>
      <c r="J57" s="204"/>
      <c r="K57" s="204">
        <f t="shared" si="7"/>
        <v>13487.4</v>
      </c>
      <c r="L57" s="197"/>
      <c r="M57" s="203">
        <v>3678.38</v>
      </c>
      <c r="N57" s="204"/>
      <c r="O57" s="233">
        <v>408.71</v>
      </c>
      <c r="P57" s="233">
        <v>408.71</v>
      </c>
      <c r="Q57" s="233">
        <v>408.71</v>
      </c>
      <c r="R57" s="233">
        <v>408.71</v>
      </c>
      <c r="S57" s="233">
        <v>408.71</v>
      </c>
      <c r="T57" s="252">
        <v>408.71</v>
      </c>
      <c r="U57" s="233"/>
      <c r="V57" s="233"/>
      <c r="W57" s="233"/>
      <c r="X57" s="233"/>
      <c r="Y57" s="233"/>
      <c r="Z57" s="233"/>
      <c r="AA57" s="204">
        <f t="shared" si="6"/>
        <v>6130.64</v>
      </c>
      <c r="AB57" s="197"/>
      <c r="AC57" s="204">
        <f t="shared" si="5"/>
        <v>7356.76</v>
      </c>
      <c r="AD57" s="197"/>
      <c r="AE57" s="204">
        <v>408.71</v>
      </c>
      <c r="AF57" s="270"/>
      <c r="AG57" s="281"/>
      <c r="AH57" s="282"/>
      <c r="AI57" s="282"/>
      <c r="AJ57" s="282"/>
      <c r="AK57" s="283">
        <v>33</v>
      </c>
      <c r="AL57" s="284"/>
    </row>
    <row r="58" spans="1:37">
      <c r="A58" s="182">
        <v>43852</v>
      </c>
      <c r="B58" s="522" t="s">
        <v>128</v>
      </c>
      <c r="C58" s="182">
        <v>43831</v>
      </c>
      <c r="D58" s="186" t="s">
        <v>129</v>
      </c>
      <c r="E58" s="177"/>
      <c r="F58" s="204">
        <v>13440</v>
      </c>
      <c r="G58" s="204"/>
      <c r="H58" s="221">
        <v>9155.07</v>
      </c>
      <c r="I58" s="204"/>
      <c r="J58" s="204"/>
      <c r="K58" s="204">
        <f t="shared" si="7"/>
        <v>9155.07</v>
      </c>
      <c r="L58" s="197"/>
      <c r="M58" s="203">
        <v>2496.83</v>
      </c>
      <c r="N58" s="204"/>
      <c r="O58" s="233">
        <v>277.43</v>
      </c>
      <c r="P58" s="233">
        <v>277.43</v>
      </c>
      <c r="Q58" s="233">
        <v>277.43</v>
      </c>
      <c r="R58" s="233">
        <v>277.43</v>
      </c>
      <c r="S58" s="233">
        <v>277.43</v>
      </c>
      <c r="T58" s="252">
        <v>277.43</v>
      </c>
      <c r="U58" s="233"/>
      <c r="V58" s="233"/>
      <c r="W58" s="233"/>
      <c r="X58" s="233"/>
      <c r="Y58" s="233"/>
      <c r="Z58" s="233"/>
      <c r="AA58" s="204">
        <f t="shared" si="6"/>
        <v>4161.41</v>
      </c>
      <c r="AB58" s="197"/>
      <c r="AC58" s="204">
        <f t="shared" si="5"/>
        <v>4993.66</v>
      </c>
      <c r="AD58" s="197"/>
      <c r="AE58" s="204">
        <v>277.43</v>
      </c>
      <c r="AF58" s="270"/>
      <c r="AG58" s="281"/>
      <c r="AH58" s="282"/>
      <c r="AI58" s="282"/>
      <c r="AJ58" s="282"/>
      <c r="AK58" s="283">
        <v>33</v>
      </c>
    </row>
    <row r="59" spans="1:37">
      <c r="A59" s="182"/>
      <c r="B59" s="182"/>
      <c r="C59" s="182"/>
      <c r="D59" s="186"/>
      <c r="E59" s="177"/>
      <c r="F59" s="204"/>
      <c r="G59" s="204"/>
      <c r="H59" s="221"/>
      <c r="I59" s="204"/>
      <c r="J59" s="204"/>
      <c r="K59" s="204"/>
      <c r="L59" s="197"/>
      <c r="M59" s="203"/>
      <c r="N59" s="204"/>
      <c r="O59" s="233"/>
      <c r="P59" s="233"/>
      <c r="Q59" s="233"/>
      <c r="R59" s="233"/>
      <c r="S59" s="233"/>
      <c r="T59" s="252"/>
      <c r="U59" s="233"/>
      <c r="V59" s="233"/>
      <c r="W59" s="233"/>
      <c r="X59" s="233"/>
      <c r="Y59" s="233"/>
      <c r="Z59" s="233"/>
      <c r="AA59" s="204"/>
      <c r="AB59" s="197"/>
      <c r="AC59" s="204"/>
      <c r="AD59" s="197"/>
      <c r="AE59" s="204"/>
      <c r="AF59" s="270"/>
      <c r="AG59" s="281"/>
      <c r="AH59" s="282"/>
      <c r="AI59" s="282"/>
      <c r="AJ59" s="282"/>
      <c r="AK59" s="283"/>
    </row>
    <row r="60" ht="11.25" spans="1:37">
      <c r="A60" s="190"/>
      <c r="B60" s="190"/>
      <c r="C60" s="190"/>
      <c r="D60" s="191" t="s">
        <v>130</v>
      </c>
      <c r="E60" s="192"/>
      <c r="F60" s="208">
        <f>SUM(F43:F59)</f>
        <v>216845</v>
      </c>
      <c r="G60" s="202"/>
      <c r="H60" s="208">
        <f t="shared" ref="H60:I60" si="8">SUM(H43:H59)</f>
        <v>167883.97</v>
      </c>
      <c r="I60" s="208">
        <f t="shared" si="8"/>
        <v>0</v>
      </c>
      <c r="J60" s="208">
        <f>SUM(J45:J56)</f>
        <v>0</v>
      </c>
      <c r="K60" s="208">
        <f>SUM(K43:K59)</f>
        <v>167883.97</v>
      </c>
      <c r="L60" s="238"/>
      <c r="M60" s="208">
        <f>SUM(M43:M59)</f>
        <v>87108.06</v>
      </c>
      <c r="N60" s="208">
        <f t="shared" ref="N60" si="9">SUM(N43:N56)</f>
        <v>0</v>
      </c>
      <c r="O60" s="235">
        <f>SUM(O43:O59)</f>
        <v>3900.8</v>
      </c>
      <c r="P60" s="235">
        <f t="shared" ref="P60:AA60" si="10">SUM(P43:P59)</f>
        <v>3900.8</v>
      </c>
      <c r="Q60" s="235">
        <f t="shared" si="10"/>
        <v>3900.8</v>
      </c>
      <c r="R60" s="235">
        <v>3900.8</v>
      </c>
      <c r="S60" s="235">
        <f t="shared" si="10"/>
        <v>3900.8</v>
      </c>
      <c r="T60" s="253">
        <f t="shared" si="10"/>
        <v>3900.8</v>
      </c>
      <c r="U60" s="235">
        <f t="shared" si="10"/>
        <v>0</v>
      </c>
      <c r="V60" s="235">
        <f t="shared" si="10"/>
        <v>0</v>
      </c>
      <c r="W60" s="235">
        <f t="shared" si="10"/>
        <v>0</v>
      </c>
      <c r="X60" s="235">
        <f t="shared" si="10"/>
        <v>0</v>
      </c>
      <c r="Y60" s="235">
        <f t="shared" si="10"/>
        <v>0</v>
      </c>
      <c r="Z60" s="235">
        <f t="shared" si="10"/>
        <v>0</v>
      </c>
      <c r="AA60" s="208">
        <f t="shared" si="10"/>
        <v>110512.86</v>
      </c>
      <c r="AB60" s="238"/>
      <c r="AC60" s="208">
        <f>SUM(AC43:AC59)</f>
        <v>57371.11</v>
      </c>
      <c r="AD60" s="238"/>
      <c r="AE60" s="208">
        <f>SUM(AE43:AE59)</f>
        <v>5496.41</v>
      </c>
      <c r="AF60" s="270">
        <v>248962.26</v>
      </c>
      <c r="AG60" s="281"/>
      <c r="AH60" s="282"/>
      <c r="AI60" s="282"/>
      <c r="AJ60" s="282"/>
      <c r="AK60" s="297">
        <v>199</v>
      </c>
    </row>
    <row r="61" ht="11.25" spans="1:37">
      <c r="A61" s="182"/>
      <c r="B61" s="182"/>
      <c r="C61" s="182"/>
      <c r="D61" s="186"/>
      <c r="E61" s="186"/>
      <c r="F61" s="204"/>
      <c r="G61" s="204"/>
      <c r="H61" s="204"/>
      <c r="I61" s="204">
        <f>SUM(H60:I60)-K60</f>
        <v>0</v>
      </c>
      <c r="J61" s="204"/>
      <c r="K61" s="245" t="e">
        <f>K60-#REF!</f>
        <v>#REF!</v>
      </c>
      <c r="L61" s="197"/>
      <c r="M61" s="204"/>
      <c r="N61" s="204"/>
      <c r="O61" s="187"/>
      <c r="P61" s="187"/>
      <c r="Q61" s="187"/>
      <c r="R61" s="233"/>
      <c r="S61" s="187"/>
      <c r="T61" s="233"/>
      <c r="U61" s="187"/>
      <c r="V61" s="233"/>
      <c r="W61" s="233"/>
      <c r="X61" s="187"/>
      <c r="Y61" s="187"/>
      <c r="Z61" s="233"/>
      <c r="AA61" s="204">
        <f>AA60-[25]FA_Oracle_Jan21!N64</f>
        <v>19503.97</v>
      </c>
      <c r="AB61" s="197"/>
      <c r="AC61" s="204"/>
      <c r="AD61" s="197"/>
      <c r="AE61" s="204"/>
      <c r="AF61" s="270"/>
      <c r="AG61" s="281"/>
      <c r="AH61" s="282"/>
      <c r="AI61" s="282"/>
      <c r="AJ61" s="282"/>
      <c r="AK61" s="283"/>
    </row>
    <row r="62" spans="1:37">
      <c r="A62" s="182"/>
      <c r="B62" s="182"/>
      <c r="C62" s="182"/>
      <c r="D62" s="186"/>
      <c r="E62" s="186"/>
      <c r="F62" s="204"/>
      <c r="G62" s="204"/>
      <c r="H62" s="204"/>
      <c r="I62" s="204"/>
      <c r="J62" s="204"/>
      <c r="K62" s="204"/>
      <c r="L62" s="197"/>
      <c r="M62" s="204"/>
      <c r="N62" s="204"/>
      <c r="O62" s="187"/>
      <c r="P62" s="187"/>
      <c r="Q62" s="187"/>
      <c r="R62" s="187"/>
      <c r="S62" s="187"/>
      <c r="T62" s="233"/>
      <c r="U62" s="187"/>
      <c r="V62" s="233"/>
      <c r="W62" s="233"/>
      <c r="X62" s="187"/>
      <c r="Y62" s="187"/>
      <c r="Z62" s="233"/>
      <c r="AA62" s="204"/>
      <c r="AB62" s="197"/>
      <c r="AC62" s="204"/>
      <c r="AD62" s="197"/>
      <c r="AE62" s="204"/>
      <c r="AF62" s="270"/>
      <c r="AG62" s="281"/>
      <c r="AH62" s="282"/>
      <c r="AI62" s="282"/>
      <c r="AJ62" s="282"/>
      <c r="AK62" s="283"/>
    </row>
    <row r="63" s="156" customFormat="1" spans="1:37">
      <c r="A63" s="214">
        <v>42185</v>
      </c>
      <c r="B63" s="214"/>
      <c r="C63" s="214">
        <v>42278</v>
      </c>
      <c r="D63" s="215" t="s">
        <v>131</v>
      </c>
      <c r="E63" s="215"/>
      <c r="F63" s="216">
        <v>22500</v>
      </c>
      <c r="G63" s="216"/>
      <c r="H63" s="216">
        <v>16712.6</v>
      </c>
      <c r="I63" s="216"/>
      <c r="J63" s="216"/>
      <c r="K63" s="216">
        <f t="shared" ref="K63:K66" si="11">SUM(H63:J63)</f>
        <v>16712.6</v>
      </c>
      <c r="L63" s="243"/>
      <c r="M63" s="244">
        <v>16712.6</v>
      </c>
      <c r="N63" s="216"/>
      <c r="O63" s="216"/>
      <c r="P63" s="216"/>
      <c r="Q63" s="216"/>
      <c r="R63" s="216"/>
      <c r="S63" s="216">
        <f t="shared" ref="S63:S68" si="12">AE63</f>
        <v>0</v>
      </c>
      <c r="T63" s="216">
        <f t="shared" ref="T63:T68" si="13">AE63</f>
        <v>0</v>
      </c>
      <c r="U63" s="216"/>
      <c r="V63" s="258"/>
      <c r="W63" s="258"/>
      <c r="X63" s="216"/>
      <c r="Y63" s="216"/>
      <c r="Z63" s="258"/>
      <c r="AA63" s="216">
        <f t="shared" ref="AA63:AA65" si="14">SUM(M63:Z63)</f>
        <v>16712.6</v>
      </c>
      <c r="AB63" s="243"/>
      <c r="AC63" s="216">
        <f t="shared" ref="AC63:AC69" si="15">+ROUND(K63-AA63,2)</f>
        <v>0</v>
      </c>
      <c r="AD63" s="232"/>
      <c r="AE63" s="187">
        <v>0</v>
      </c>
      <c r="AF63" s="275">
        <v>15784.12</v>
      </c>
      <c r="AG63" s="293">
        <f t="shared" ref="AG63:AG66" si="16">+AC63-AF63</f>
        <v>-15784.12</v>
      </c>
      <c r="AH63" s="294"/>
      <c r="AI63" s="294"/>
      <c r="AJ63" s="294"/>
      <c r="AK63" s="296">
        <v>0</v>
      </c>
    </row>
    <row r="64" s="156" customFormat="1" spans="1:37">
      <c r="A64" s="214">
        <v>42234</v>
      </c>
      <c r="B64" s="214"/>
      <c r="C64" s="214">
        <v>42278</v>
      </c>
      <c r="D64" s="215" t="s">
        <v>132</v>
      </c>
      <c r="E64" s="215"/>
      <c r="F64" s="216">
        <v>15000</v>
      </c>
      <c r="G64" s="216"/>
      <c r="H64" s="216">
        <v>10628.35</v>
      </c>
      <c r="I64" s="216"/>
      <c r="J64" s="216"/>
      <c r="K64" s="216">
        <f t="shared" si="11"/>
        <v>10628.35</v>
      </c>
      <c r="L64" s="243"/>
      <c r="M64" s="244">
        <v>10628.35</v>
      </c>
      <c r="N64" s="216"/>
      <c r="O64" s="216"/>
      <c r="P64" s="216"/>
      <c r="Q64" s="216"/>
      <c r="R64" s="216"/>
      <c r="S64" s="216">
        <f t="shared" si="12"/>
        <v>0</v>
      </c>
      <c r="T64" s="216">
        <f t="shared" si="13"/>
        <v>0</v>
      </c>
      <c r="U64" s="216"/>
      <c r="V64" s="258"/>
      <c r="W64" s="258"/>
      <c r="X64" s="216"/>
      <c r="Y64" s="216"/>
      <c r="Z64" s="258"/>
      <c r="AA64" s="216">
        <f t="shared" si="14"/>
        <v>10628.35</v>
      </c>
      <c r="AB64" s="243"/>
      <c r="AC64" s="216">
        <f t="shared" si="15"/>
        <v>0</v>
      </c>
      <c r="AD64" s="232"/>
      <c r="AE64" s="187">
        <v>0</v>
      </c>
      <c r="AF64" s="275">
        <v>10037.89</v>
      </c>
      <c r="AG64" s="293">
        <f t="shared" si="16"/>
        <v>-10037.89</v>
      </c>
      <c r="AH64" s="294"/>
      <c r="AI64" s="294"/>
      <c r="AJ64" s="294"/>
      <c r="AK64" s="296">
        <v>0</v>
      </c>
    </row>
    <row r="65" s="156" customFormat="1" spans="1:37">
      <c r="A65" s="214">
        <v>42290</v>
      </c>
      <c r="B65" s="214"/>
      <c r="C65" s="214">
        <v>42309</v>
      </c>
      <c r="D65" s="215" t="s">
        <v>133</v>
      </c>
      <c r="E65" s="215"/>
      <c r="F65" s="216">
        <v>22500</v>
      </c>
      <c r="G65" s="216"/>
      <c r="H65" s="216">
        <v>15935.86</v>
      </c>
      <c r="I65" s="216"/>
      <c r="J65" s="216"/>
      <c r="K65" s="216">
        <f t="shared" si="11"/>
        <v>15935.86</v>
      </c>
      <c r="L65" s="243"/>
      <c r="M65" s="244">
        <v>15935.86</v>
      </c>
      <c r="N65" s="216"/>
      <c r="O65" s="216"/>
      <c r="P65" s="216"/>
      <c r="Q65" s="216"/>
      <c r="R65" s="216"/>
      <c r="S65" s="216">
        <f t="shared" si="12"/>
        <v>0</v>
      </c>
      <c r="T65" s="216">
        <f t="shared" si="13"/>
        <v>0</v>
      </c>
      <c r="U65" s="216"/>
      <c r="V65" s="258"/>
      <c r="W65" s="258"/>
      <c r="X65" s="216"/>
      <c r="Y65" s="216"/>
      <c r="Z65" s="258"/>
      <c r="AA65" s="216">
        <f t="shared" si="14"/>
        <v>15935.86</v>
      </c>
      <c r="AB65" s="243"/>
      <c r="AC65" s="216">
        <f t="shared" si="15"/>
        <v>0</v>
      </c>
      <c r="AD65" s="232"/>
      <c r="AE65" s="187">
        <v>0</v>
      </c>
      <c r="AF65" s="275">
        <v>15480.55</v>
      </c>
      <c r="AG65" s="293">
        <f t="shared" si="16"/>
        <v>-15480.55</v>
      </c>
      <c r="AH65" s="294"/>
      <c r="AI65" s="294"/>
      <c r="AJ65" s="294"/>
      <c r="AK65" s="296">
        <v>0</v>
      </c>
    </row>
    <row r="66" s="156" customFormat="1" spans="1:37">
      <c r="A66" s="214">
        <v>42355</v>
      </c>
      <c r="B66" s="214"/>
      <c r="C66" s="214">
        <v>42339</v>
      </c>
      <c r="D66" s="215" t="s">
        <v>134</v>
      </c>
      <c r="E66" s="215"/>
      <c r="F66" s="216">
        <v>7500</v>
      </c>
      <c r="G66" s="216"/>
      <c r="H66" s="216">
        <v>5302.22</v>
      </c>
      <c r="I66" s="216"/>
      <c r="J66" s="216"/>
      <c r="K66" s="216">
        <f t="shared" si="11"/>
        <v>5302.22</v>
      </c>
      <c r="L66" s="243"/>
      <c r="M66" s="244">
        <v>5302.22</v>
      </c>
      <c r="N66" s="216"/>
      <c r="O66" s="216"/>
      <c r="P66" s="216"/>
      <c r="Q66" s="216"/>
      <c r="R66" s="216"/>
      <c r="S66" s="216">
        <f t="shared" si="12"/>
        <v>0</v>
      </c>
      <c r="T66" s="216">
        <f t="shared" si="13"/>
        <v>0</v>
      </c>
      <c r="U66" s="216"/>
      <c r="V66" s="258"/>
      <c r="W66" s="258"/>
      <c r="X66" s="216"/>
      <c r="Y66" s="216"/>
      <c r="Z66" s="258"/>
      <c r="AA66" s="216">
        <f t="shared" ref="AA66:AA69" si="17">SUM(M66:Z66)</f>
        <v>5302.22</v>
      </c>
      <c r="AB66" s="243"/>
      <c r="AC66" s="216">
        <f t="shared" si="15"/>
        <v>0</v>
      </c>
      <c r="AD66" s="232"/>
      <c r="AE66" s="187">
        <v>0</v>
      </c>
      <c r="AF66" s="275">
        <v>5302.23</v>
      </c>
      <c r="AG66" s="293">
        <f t="shared" si="16"/>
        <v>-5302.23</v>
      </c>
      <c r="AH66" s="294">
        <v>-147.28</v>
      </c>
      <c r="AI66" s="294">
        <f>+AE66+AH66</f>
        <v>-147.28</v>
      </c>
      <c r="AJ66" s="294"/>
      <c r="AK66" s="296">
        <v>0</v>
      </c>
    </row>
    <row r="67" s="156" customFormat="1" spans="1:37">
      <c r="A67" s="214">
        <v>42410</v>
      </c>
      <c r="B67" s="214"/>
      <c r="C67" s="214">
        <v>42401</v>
      </c>
      <c r="D67" s="215" t="s">
        <v>135</v>
      </c>
      <c r="E67" s="215"/>
      <c r="F67" s="216">
        <v>7500</v>
      </c>
      <c r="G67" s="216"/>
      <c r="H67" s="216">
        <v>5270.78</v>
      </c>
      <c r="I67" s="216"/>
      <c r="J67" s="216"/>
      <c r="K67" s="216">
        <f t="shared" ref="K67:K120" si="18">SUM(H67:J67)</f>
        <v>5270.78</v>
      </c>
      <c r="L67" s="243"/>
      <c r="M67" s="244">
        <v>5270.78</v>
      </c>
      <c r="N67" s="216"/>
      <c r="O67" s="216"/>
      <c r="P67" s="216"/>
      <c r="Q67" s="216"/>
      <c r="R67" s="216"/>
      <c r="S67" s="216">
        <f t="shared" si="12"/>
        <v>0</v>
      </c>
      <c r="T67" s="216">
        <f t="shared" si="13"/>
        <v>0</v>
      </c>
      <c r="U67" s="216"/>
      <c r="V67" s="258"/>
      <c r="W67" s="258"/>
      <c r="X67" s="216"/>
      <c r="Y67" s="216"/>
      <c r="Z67" s="258"/>
      <c r="AA67" s="216">
        <f t="shared" si="17"/>
        <v>5270.78</v>
      </c>
      <c r="AB67" s="243"/>
      <c r="AC67" s="216">
        <f t="shared" si="15"/>
        <v>0</v>
      </c>
      <c r="AD67" s="232"/>
      <c r="AE67" s="187">
        <v>0</v>
      </c>
      <c r="AF67" s="275"/>
      <c r="AG67" s="293"/>
      <c r="AH67" s="294"/>
      <c r="AI67" s="294"/>
      <c r="AJ67" s="294"/>
      <c r="AK67" s="296">
        <v>0</v>
      </c>
    </row>
    <row r="68" s="156" customFormat="1" spans="1:37">
      <c r="A68" s="214">
        <v>42422</v>
      </c>
      <c r="B68" s="214"/>
      <c r="C68" s="214">
        <v>42461</v>
      </c>
      <c r="D68" s="215" t="s">
        <v>136</v>
      </c>
      <c r="E68" s="215"/>
      <c r="F68" s="216">
        <v>15340</v>
      </c>
      <c r="G68" s="216"/>
      <c r="H68" s="216">
        <v>11380.16</v>
      </c>
      <c r="I68" s="216"/>
      <c r="J68" s="216"/>
      <c r="K68" s="216">
        <f t="shared" si="18"/>
        <v>11380.16</v>
      </c>
      <c r="L68" s="243"/>
      <c r="M68" s="244">
        <v>11380.16</v>
      </c>
      <c r="N68" s="216"/>
      <c r="O68" s="216"/>
      <c r="P68" s="216"/>
      <c r="Q68" s="216"/>
      <c r="R68" s="216"/>
      <c r="S68" s="216">
        <f t="shared" si="12"/>
        <v>0</v>
      </c>
      <c r="T68" s="216">
        <f t="shared" si="13"/>
        <v>0</v>
      </c>
      <c r="U68" s="216"/>
      <c r="V68" s="258"/>
      <c r="W68" s="258"/>
      <c r="X68" s="216"/>
      <c r="Y68" s="216"/>
      <c r="Z68" s="258"/>
      <c r="AA68" s="216">
        <f t="shared" si="17"/>
        <v>11380.16</v>
      </c>
      <c r="AB68" s="243"/>
      <c r="AC68" s="216">
        <f t="shared" si="15"/>
        <v>0</v>
      </c>
      <c r="AD68" s="232"/>
      <c r="AE68" s="187">
        <v>0</v>
      </c>
      <c r="AF68" s="275"/>
      <c r="AG68" s="293"/>
      <c r="AH68" s="294"/>
      <c r="AI68" s="294"/>
      <c r="AJ68" s="294"/>
      <c r="AK68" s="296">
        <v>0</v>
      </c>
    </row>
    <row r="69" s="156" customFormat="1" spans="1:37">
      <c r="A69" s="298">
        <v>43727</v>
      </c>
      <c r="B69" s="298"/>
      <c r="C69" s="298">
        <v>43922</v>
      </c>
      <c r="D69" s="299" t="s">
        <v>137</v>
      </c>
      <c r="E69" s="299"/>
      <c r="F69" s="300"/>
      <c r="G69" s="300"/>
      <c r="H69" s="300">
        <v>36395.2</v>
      </c>
      <c r="I69" s="300"/>
      <c r="J69" s="300"/>
      <c r="K69" s="300">
        <f t="shared" si="18"/>
        <v>36395.2</v>
      </c>
      <c r="L69" s="232"/>
      <c r="M69" s="189">
        <v>9098.8</v>
      </c>
      <c r="N69" s="187"/>
      <c r="O69" s="233">
        <v>1010.98</v>
      </c>
      <c r="P69" s="233">
        <v>1010.98</v>
      </c>
      <c r="Q69" s="233">
        <v>1010.98</v>
      </c>
      <c r="R69" s="233">
        <v>1010.98</v>
      </c>
      <c r="S69" s="233">
        <v>1010.98</v>
      </c>
      <c r="T69" s="252">
        <v>1010.98</v>
      </c>
      <c r="U69" s="233"/>
      <c r="V69" s="233"/>
      <c r="W69" s="233"/>
      <c r="X69" s="233"/>
      <c r="Y69" s="233"/>
      <c r="Z69" s="233"/>
      <c r="AA69" s="187">
        <f t="shared" si="17"/>
        <v>15164.68</v>
      </c>
      <c r="AB69" s="232"/>
      <c r="AC69" s="187">
        <f t="shared" si="15"/>
        <v>21230.52</v>
      </c>
      <c r="AD69" s="232"/>
      <c r="AE69" s="187">
        <f>ROUND(I69/36,2)</f>
        <v>0</v>
      </c>
      <c r="AF69" s="275"/>
      <c r="AG69" s="293"/>
      <c r="AH69" s="294"/>
      <c r="AI69" s="294"/>
      <c r="AJ69" s="294"/>
      <c r="AK69" s="296">
        <v>0</v>
      </c>
    </row>
    <row r="70" s="156" customFormat="1" spans="1:37">
      <c r="A70" s="298">
        <v>43780</v>
      </c>
      <c r="B70" s="298"/>
      <c r="C70" s="298">
        <v>43922</v>
      </c>
      <c r="D70" s="299" t="s">
        <v>138</v>
      </c>
      <c r="E70" s="299"/>
      <c r="F70" s="300"/>
      <c r="G70" s="300"/>
      <c r="H70" s="300">
        <v>21837.12</v>
      </c>
      <c r="I70" s="300"/>
      <c r="J70" s="300"/>
      <c r="K70" s="300">
        <f t="shared" si="18"/>
        <v>21837.12</v>
      </c>
      <c r="L70" s="232"/>
      <c r="M70" s="189">
        <v>5459.28</v>
      </c>
      <c r="N70" s="187"/>
      <c r="O70" s="233">
        <v>606.59</v>
      </c>
      <c r="P70" s="233">
        <v>606.59</v>
      </c>
      <c r="Q70" s="233">
        <v>606.59</v>
      </c>
      <c r="R70" s="233">
        <v>606.59</v>
      </c>
      <c r="S70" s="233">
        <v>606.59</v>
      </c>
      <c r="T70" s="252">
        <v>606.59</v>
      </c>
      <c r="U70" s="233"/>
      <c r="V70" s="233"/>
      <c r="W70" s="233"/>
      <c r="X70" s="233"/>
      <c r="Y70" s="233"/>
      <c r="Z70" s="233"/>
      <c r="AA70" s="187">
        <f t="shared" ref="AA70:AA128" si="19">SUM(M70:Z70)</f>
        <v>9098.82</v>
      </c>
      <c r="AB70" s="232"/>
      <c r="AC70" s="187">
        <f t="shared" ref="AC70:AC101" si="20">+ROUND(K70-AA70,2)</f>
        <v>12738.3</v>
      </c>
      <c r="AD70" s="232"/>
      <c r="AE70" s="187">
        <f t="shared" ref="AE70:AE101" si="21">ROUND(I70/36,2)</f>
        <v>0</v>
      </c>
      <c r="AF70" s="275"/>
      <c r="AG70" s="293"/>
      <c r="AH70" s="294"/>
      <c r="AI70" s="294"/>
      <c r="AJ70" s="294"/>
      <c r="AK70" s="296">
        <v>0</v>
      </c>
    </row>
    <row r="71" s="156" customFormat="1" spans="1:37">
      <c r="A71" s="298">
        <v>43804</v>
      </c>
      <c r="B71" s="298"/>
      <c r="C71" s="298">
        <v>43922</v>
      </c>
      <c r="D71" s="299" t="s">
        <v>139</v>
      </c>
      <c r="E71" s="299"/>
      <c r="F71" s="300"/>
      <c r="G71" s="300"/>
      <c r="H71" s="300">
        <v>21837.12</v>
      </c>
      <c r="I71" s="300"/>
      <c r="J71" s="300"/>
      <c r="K71" s="300">
        <f t="shared" si="18"/>
        <v>21837.12</v>
      </c>
      <c r="L71" s="232"/>
      <c r="M71" s="189">
        <v>5459.28</v>
      </c>
      <c r="N71" s="187"/>
      <c r="O71" s="233">
        <v>606.59</v>
      </c>
      <c r="P71" s="233">
        <v>606.59</v>
      </c>
      <c r="Q71" s="233">
        <v>606.59</v>
      </c>
      <c r="R71" s="233">
        <v>606.59</v>
      </c>
      <c r="S71" s="233">
        <v>606.59</v>
      </c>
      <c r="T71" s="252">
        <v>606.59</v>
      </c>
      <c r="U71" s="233"/>
      <c r="V71" s="233"/>
      <c r="W71" s="233"/>
      <c r="X71" s="233"/>
      <c r="Y71" s="233"/>
      <c r="Z71" s="233"/>
      <c r="AA71" s="187">
        <f t="shared" si="19"/>
        <v>9098.82</v>
      </c>
      <c r="AB71" s="232"/>
      <c r="AC71" s="187">
        <f t="shared" si="20"/>
        <v>12738.3</v>
      </c>
      <c r="AD71" s="232"/>
      <c r="AE71" s="187">
        <f t="shared" si="21"/>
        <v>0</v>
      </c>
      <c r="AF71" s="275"/>
      <c r="AG71" s="293"/>
      <c r="AH71" s="294"/>
      <c r="AI71" s="294"/>
      <c r="AJ71" s="294"/>
      <c r="AK71" s="296">
        <v>0</v>
      </c>
    </row>
    <row r="72" s="156" customFormat="1" spans="1:37">
      <c r="A72" s="298">
        <v>43850</v>
      </c>
      <c r="B72" s="298"/>
      <c r="C72" s="298">
        <v>43922</v>
      </c>
      <c r="D72" s="299" t="s">
        <v>140</v>
      </c>
      <c r="E72" s="299"/>
      <c r="F72" s="300"/>
      <c r="G72" s="300"/>
      <c r="H72" s="300">
        <v>10918.56</v>
      </c>
      <c r="I72" s="300"/>
      <c r="J72" s="300"/>
      <c r="K72" s="300">
        <f t="shared" si="18"/>
        <v>10918.56</v>
      </c>
      <c r="L72" s="232"/>
      <c r="M72" s="189">
        <v>2729.64</v>
      </c>
      <c r="N72" s="187"/>
      <c r="O72" s="233">
        <v>303.29</v>
      </c>
      <c r="P72" s="233">
        <v>303.29</v>
      </c>
      <c r="Q72" s="233">
        <v>303.29</v>
      </c>
      <c r="R72" s="233">
        <v>303.29</v>
      </c>
      <c r="S72" s="233">
        <v>303.29</v>
      </c>
      <c r="T72" s="252">
        <v>303.29</v>
      </c>
      <c r="U72" s="233"/>
      <c r="V72" s="233"/>
      <c r="W72" s="233"/>
      <c r="X72" s="233"/>
      <c r="Y72" s="233"/>
      <c r="Z72" s="233"/>
      <c r="AA72" s="187">
        <f t="shared" si="19"/>
        <v>4549.38</v>
      </c>
      <c r="AB72" s="232"/>
      <c r="AC72" s="187">
        <f t="shared" si="20"/>
        <v>6369.18</v>
      </c>
      <c r="AD72" s="232"/>
      <c r="AE72" s="187">
        <f t="shared" si="21"/>
        <v>0</v>
      </c>
      <c r="AF72" s="275"/>
      <c r="AG72" s="293"/>
      <c r="AH72" s="294"/>
      <c r="AI72" s="294"/>
      <c r="AJ72" s="294"/>
      <c r="AK72" s="296">
        <v>0</v>
      </c>
    </row>
    <row r="73" s="156" customFormat="1" spans="1:37">
      <c r="A73" s="298">
        <v>43951</v>
      </c>
      <c r="B73" s="298"/>
      <c r="C73" s="298">
        <v>43922</v>
      </c>
      <c r="D73" s="299" t="s">
        <v>141</v>
      </c>
      <c r="E73" s="299"/>
      <c r="F73" s="300"/>
      <c r="G73" s="300"/>
      <c r="H73" s="300">
        <v>48527.24</v>
      </c>
      <c r="I73" s="300"/>
      <c r="J73" s="300"/>
      <c r="K73" s="300">
        <f t="shared" si="18"/>
        <v>48527.24</v>
      </c>
      <c r="L73" s="232"/>
      <c r="M73" s="189">
        <v>12131.81</v>
      </c>
      <c r="N73" s="187"/>
      <c r="O73" s="233">
        <v>1347.98</v>
      </c>
      <c r="P73" s="233">
        <v>1347.98</v>
      </c>
      <c r="Q73" s="233">
        <v>1347.98</v>
      </c>
      <c r="R73" s="233">
        <v>1347.98</v>
      </c>
      <c r="S73" s="233">
        <v>1347.98</v>
      </c>
      <c r="T73" s="252">
        <v>1347.98</v>
      </c>
      <c r="U73" s="233"/>
      <c r="V73" s="233"/>
      <c r="W73" s="233"/>
      <c r="X73" s="233"/>
      <c r="Y73" s="233"/>
      <c r="Z73" s="233"/>
      <c r="AA73" s="187">
        <f t="shared" si="19"/>
        <v>20219.69</v>
      </c>
      <c r="AB73" s="232"/>
      <c r="AC73" s="187">
        <f t="shared" si="20"/>
        <v>28307.55</v>
      </c>
      <c r="AD73" s="232"/>
      <c r="AE73" s="187">
        <f t="shared" si="21"/>
        <v>0</v>
      </c>
      <c r="AF73" s="275"/>
      <c r="AG73" s="293"/>
      <c r="AH73" s="294"/>
      <c r="AI73" s="294"/>
      <c r="AJ73" s="294"/>
      <c r="AK73" s="296">
        <v>0</v>
      </c>
    </row>
    <row r="74" s="156" customFormat="1" spans="1:37">
      <c r="A74" s="298">
        <v>44099</v>
      </c>
      <c r="B74" s="298"/>
      <c r="C74" s="298">
        <v>43922</v>
      </c>
      <c r="D74" s="299" t="s">
        <v>142</v>
      </c>
      <c r="E74" s="299"/>
      <c r="F74" s="300"/>
      <c r="G74" s="300"/>
      <c r="H74" s="300">
        <v>46153</v>
      </c>
      <c r="I74" s="300"/>
      <c r="J74" s="300"/>
      <c r="K74" s="300">
        <f t="shared" si="18"/>
        <v>46153</v>
      </c>
      <c r="L74" s="232"/>
      <c r="M74" s="189">
        <v>11538.25</v>
      </c>
      <c r="N74" s="187"/>
      <c r="O74" s="233">
        <v>1282.03</v>
      </c>
      <c r="P74" s="233">
        <v>1282.03</v>
      </c>
      <c r="Q74" s="233">
        <v>1282.03</v>
      </c>
      <c r="R74" s="233">
        <v>1282.03</v>
      </c>
      <c r="S74" s="233">
        <v>1282.03</v>
      </c>
      <c r="T74" s="252">
        <v>1282.03</v>
      </c>
      <c r="U74" s="187"/>
      <c r="V74" s="187"/>
      <c r="W74" s="233"/>
      <c r="X74" s="233"/>
      <c r="Y74" s="233"/>
      <c r="Z74" s="233"/>
      <c r="AA74" s="187">
        <f t="shared" si="19"/>
        <v>19230.43</v>
      </c>
      <c r="AB74" s="232"/>
      <c r="AC74" s="187">
        <f t="shared" si="20"/>
        <v>26922.57</v>
      </c>
      <c r="AD74" s="232"/>
      <c r="AE74" s="187">
        <f t="shared" si="21"/>
        <v>0</v>
      </c>
      <c r="AF74" s="275"/>
      <c r="AG74" s="293"/>
      <c r="AH74" s="294"/>
      <c r="AI74" s="294"/>
      <c r="AJ74" s="294"/>
      <c r="AK74" s="296"/>
    </row>
    <row r="75" s="156" customFormat="1" spans="1:37">
      <c r="A75" s="218">
        <v>43620</v>
      </c>
      <c r="B75" s="218"/>
      <c r="C75" s="218">
        <v>43922</v>
      </c>
      <c r="D75" s="219" t="s">
        <v>143</v>
      </c>
      <c r="E75" s="219"/>
      <c r="F75" s="187">
        <v>7878</v>
      </c>
      <c r="G75" s="187"/>
      <c r="H75" s="187">
        <v>5733.63</v>
      </c>
      <c r="I75" s="187"/>
      <c r="J75" s="187"/>
      <c r="K75" s="187">
        <f t="shared" si="18"/>
        <v>5733.63</v>
      </c>
      <c r="L75" s="232"/>
      <c r="M75" s="189">
        <v>1274.14</v>
      </c>
      <c r="N75" s="187"/>
      <c r="O75" s="233">
        <v>159.27</v>
      </c>
      <c r="P75" s="233">
        <v>159.27</v>
      </c>
      <c r="Q75" s="233">
        <v>159.27</v>
      </c>
      <c r="R75" s="233">
        <v>159.27</v>
      </c>
      <c r="S75" s="233">
        <v>159.27</v>
      </c>
      <c r="T75" s="252">
        <v>159.27</v>
      </c>
      <c r="U75" s="233"/>
      <c r="V75" s="233"/>
      <c r="W75" s="233"/>
      <c r="X75" s="233"/>
      <c r="Y75" s="233"/>
      <c r="Z75" s="233"/>
      <c r="AA75" s="187">
        <f t="shared" si="19"/>
        <v>2229.76</v>
      </c>
      <c r="AB75" s="232"/>
      <c r="AC75" s="187">
        <f t="shared" si="20"/>
        <v>3503.87</v>
      </c>
      <c r="AD75" s="232"/>
      <c r="AE75" s="187">
        <f t="shared" si="21"/>
        <v>0</v>
      </c>
      <c r="AF75" s="275"/>
      <c r="AG75" s="293"/>
      <c r="AH75" s="294"/>
      <c r="AI75" s="294"/>
      <c r="AJ75" s="294"/>
      <c r="AK75" s="296">
        <v>0</v>
      </c>
    </row>
    <row r="76" s="156" customFormat="1" spans="1:37">
      <c r="A76" s="218">
        <v>43657</v>
      </c>
      <c r="B76" s="218"/>
      <c r="C76" s="218">
        <v>43952</v>
      </c>
      <c r="D76" s="219" t="s">
        <v>144</v>
      </c>
      <c r="E76" s="219"/>
      <c r="F76" s="187">
        <v>23634</v>
      </c>
      <c r="G76" s="187"/>
      <c r="H76" s="187">
        <v>17466.56</v>
      </c>
      <c r="I76" s="187"/>
      <c r="J76" s="187"/>
      <c r="K76" s="187">
        <f t="shared" si="18"/>
        <v>17466.56</v>
      </c>
      <c r="L76" s="232"/>
      <c r="M76" s="189">
        <v>3881.45</v>
      </c>
      <c r="N76" s="187"/>
      <c r="O76" s="233">
        <v>485.18</v>
      </c>
      <c r="P76" s="233">
        <v>485.18</v>
      </c>
      <c r="Q76" s="233">
        <v>485.18</v>
      </c>
      <c r="R76" s="233">
        <v>485.18</v>
      </c>
      <c r="S76" s="233">
        <v>485.18</v>
      </c>
      <c r="T76" s="252">
        <v>485.18</v>
      </c>
      <c r="U76" s="233"/>
      <c r="V76" s="233"/>
      <c r="W76" s="233"/>
      <c r="X76" s="233"/>
      <c r="Y76" s="233"/>
      <c r="Z76" s="233"/>
      <c r="AA76" s="187">
        <f t="shared" si="19"/>
        <v>6792.53</v>
      </c>
      <c r="AB76" s="232"/>
      <c r="AC76" s="187">
        <f t="shared" si="20"/>
        <v>10674.03</v>
      </c>
      <c r="AD76" s="232"/>
      <c r="AE76" s="187">
        <f t="shared" si="21"/>
        <v>0</v>
      </c>
      <c r="AF76" s="275"/>
      <c r="AG76" s="293"/>
      <c r="AH76" s="294"/>
      <c r="AI76" s="294"/>
      <c r="AJ76" s="294"/>
      <c r="AK76" s="296">
        <v>0</v>
      </c>
    </row>
    <row r="77" s="156" customFormat="1" spans="1:37">
      <c r="A77" s="218">
        <v>43691</v>
      </c>
      <c r="B77" s="218"/>
      <c r="C77" s="218">
        <v>43952</v>
      </c>
      <c r="D77" s="219" t="s">
        <v>145</v>
      </c>
      <c r="E77" s="219"/>
      <c r="F77" s="187">
        <v>28886</v>
      </c>
      <c r="G77" s="187"/>
      <c r="H77" s="187">
        <v>21017.17</v>
      </c>
      <c r="I77" s="187"/>
      <c r="J77" s="187"/>
      <c r="K77" s="187">
        <f t="shared" si="18"/>
        <v>21017.17</v>
      </c>
      <c r="L77" s="232"/>
      <c r="M77" s="189">
        <v>4670.48</v>
      </c>
      <c r="N77" s="187"/>
      <c r="O77" s="233">
        <v>583.81</v>
      </c>
      <c r="P77" s="233">
        <v>583.81</v>
      </c>
      <c r="Q77" s="233">
        <v>583.81</v>
      </c>
      <c r="R77" s="233">
        <v>583.81</v>
      </c>
      <c r="S77" s="233">
        <v>583.81</v>
      </c>
      <c r="T77" s="252">
        <v>583.81</v>
      </c>
      <c r="U77" s="233"/>
      <c r="V77" s="233"/>
      <c r="W77" s="233"/>
      <c r="X77" s="233"/>
      <c r="Y77" s="233"/>
      <c r="Z77" s="233"/>
      <c r="AA77" s="187">
        <f t="shared" si="19"/>
        <v>8173.34</v>
      </c>
      <c r="AB77" s="232"/>
      <c r="AC77" s="187">
        <f t="shared" si="20"/>
        <v>12843.83</v>
      </c>
      <c r="AD77" s="232"/>
      <c r="AE77" s="187">
        <f t="shared" si="21"/>
        <v>0</v>
      </c>
      <c r="AF77" s="275"/>
      <c r="AG77" s="293"/>
      <c r="AH77" s="294"/>
      <c r="AI77" s="294"/>
      <c r="AJ77" s="294"/>
      <c r="AK77" s="296">
        <v>0</v>
      </c>
    </row>
    <row r="78" s="156" customFormat="1" spans="1:37">
      <c r="A78" s="218">
        <v>43727</v>
      </c>
      <c r="B78" s="218"/>
      <c r="C78" s="218">
        <v>43952</v>
      </c>
      <c r="D78" s="219" t="s">
        <v>146</v>
      </c>
      <c r="E78" s="219"/>
      <c r="F78" s="187">
        <v>23432</v>
      </c>
      <c r="G78" s="187"/>
      <c r="H78" s="187">
        <v>16890.36</v>
      </c>
      <c r="I78" s="187"/>
      <c r="J78" s="187"/>
      <c r="K78" s="187">
        <f t="shared" si="18"/>
        <v>16890.36</v>
      </c>
      <c r="L78" s="232"/>
      <c r="M78" s="189">
        <v>3753.41</v>
      </c>
      <c r="N78" s="187"/>
      <c r="O78" s="233">
        <v>469.18</v>
      </c>
      <c r="P78" s="233">
        <v>469.18</v>
      </c>
      <c r="Q78" s="233">
        <v>469.18</v>
      </c>
      <c r="R78" s="233">
        <v>469.18</v>
      </c>
      <c r="S78" s="233">
        <v>469.18</v>
      </c>
      <c r="T78" s="252">
        <v>469.18</v>
      </c>
      <c r="U78" s="233"/>
      <c r="V78" s="233"/>
      <c r="W78" s="233"/>
      <c r="X78" s="233"/>
      <c r="Y78" s="233"/>
      <c r="Z78" s="233"/>
      <c r="AA78" s="187">
        <f t="shared" si="19"/>
        <v>6568.49</v>
      </c>
      <c r="AB78" s="232"/>
      <c r="AC78" s="187">
        <f t="shared" si="20"/>
        <v>10321.87</v>
      </c>
      <c r="AD78" s="232"/>
      <c r="AE78" s="187">
        <f t="shared" si="21"/>
        <v>0</v>
      </c>
      <c r="AF78" s="275"/>
      <c r="AG78" s="293"/>
      <c r="AH78" s="294"/>
      <c r="AI78" s="294"/>
      <c r="AJ78" s="294"/>
      <c r="AK78" s="296">
        <v>0</v>
      </c>
    </row>
    <row r="79" s="156" customFormat="1" spans="1:37">
      <c r="A79" s="218">
        <v>43746</v>
      </c>
      <c r="B79" s="218"/>
      <c r="C79" s="218">
        <v>43952</v>
      </c>
      <c r="D79" s="219" t="s">
        <v>147</v>
      </c>
      <c r="E79" s="219"/>
      <c r="F79" s="187">
        <v>4560</v>
      </c>
      <c r="G79" s="187"/>
      <c r="H79" s="187">
        <v>3299.57</v>
      </c>
      <c r="I79" s="187"/>
      <c r="J79" s="187"/>
      <c r="K79" s="187">
        <f t="shared" si="18"/>
        <v>3299.57</v>
      </c>
      <c r="L79" s="232"/>
      <c r="M79" s="189">
        <v>733.23</v>
      </c>
      <c r="N79" s="187"/>
      <c r="O79" s="233">
        <v>91.65</v>
      </c>
      <c r="P79" s="233">
        <v>91.65</v>
      </c>
      <c r="Q79" s="233">
        <v>91.65</v>
      </c>
      <c r="R79" s="233">
        <v>91.65</v>
      </c>
      <c r="S79" s="233">
        <v>91.65</v>
      </c>
      <c r="T79" s="252">
        <v>91.65</v>
      </c>
      <c r="U79" s="233"/>
      <c r="V79" s="233"/>
      <c r="W79" s="233"/>
      <c r="X79" s="233"/>
      <c r="Y79" s="233"/>
      <c r="Z79" s="233"/>
      <c r="AA79" s="187">
        <f t="shared" si="19"/>
        <v>1283.13</v>
      </c>
      <c r="AB79" s="232"/>
      <c r="AC79" s="187">
        <f t="shared" si="20"/>
        <v>2016.44</v>
      </c>
      <c r="AD79" s="232"/>
      <c r="AE79" s="187">
        <f t="shared" si="21"/>
        <v>0</v>
      </c>
      <c r="AF79" s="275"/>
      <c r="AG79" s="293"/>
      <c r="AH79" s="294"/>
      <c r="AI79" s="294"/>
      <c r="AJ79" s="294"/>
      <c r="AK79" s="296">
        <v>0</v>
      </c>
    </row>
    <row r="80" s="156" customFormat="1" spans="1:37">
      <c r="A80" s="218">
        <v>43746</v>
      </c>
      <c r="B80" s="218"/>
      <c r="C80" s="218">
        <v>43952</v>
      </c>
      <c r="D80" s="219" t="s">
        <v>147</v>
      </c>
      <c r="E80" s="219"/>
      <c r="F80" s="187">
        <v>50803</v>
      </c>
      <c r="G80" s="187"/>
      <c r="H80" s="187">
        <v>36760.5</v>
      </c>
      <c r="I80" s="187"/>
      <c r="J80" s="187"/>
      <c r="K80" s="187">
        <f t="shared" si="18"/>
        <v>36760.5</v>
      </c>
      <c r="L80" s="232"/>
      <c r="M80" s="189">
        <v>8169</v>
      </c>
      <c r="N80" s="187"/>
      <c r="O80" s="233">
        <v>1021.13</v>
      </c>
      <c r="P80" s="233">
        <v>1021.13</v>
      </c>
      <c r="Q80" s="233">
        <v>1021.13</v>
      </c>
      <c r="R80" s="233">
        <v>1021.13</v>
      </c>
      <c r="S80" s="233">
        <v>1021.13</v>
      </c>
      <c r="T80" s="252">
        <v>1021.13</v>
      </c>
      <c r="U80" s="233"/>
      <c r="V80" s="233"/>
      <c r="W80" s="233"/>
      <c r="X80" s="233"/>
      <c r="Y80" s="233"/>
      <c r="Z80" s="233"/>
      <c r="AA80" s="187">
        <f t="shared" si="19"/>
        <v>14295.78</v>
      </c>
      <c r="AB80" s="232"/>
      <c r="AC80" s="187">
        <f t="shared" si="20"/>
        <v>22464.72</v>
      </c>
      <c r="AD80" s="232"/>
      <c r="AE80" s="187">
        <f t="shared" si="21"/>
        <v>0</v>
      </c>
      <c r="AF80" s="275"/>
      <c r="AG80" s="293"/>
      <c r="AH80" s="294"/>
      <c r="AI80" s="294"/>
      <c r="AJ80" s="294"/>
      <c r="AK80" s="296">
        <v>0</v>
      </c>
    </row>
    <row r="81" s="156" customFormat="1" spans="1:37">
      <c r="A81" s="218">
        <v>43711</v>
      </c>
      <c r="B81" s="218"/>
      <c r="C81" s="218">
        <v>43952</v>
      </c>
      <c r="D81" s="219" t="s">
        <v>147</v>
      </c>
      <c r="E81" s="219"/>
      <c r="F81" s="187">
        <v>19695</v>
      </c>
      <c r="G81" s="187"/>
      <c r="H81" s="187">
        <v>14196.65</v>
      </c>
      <c r="I81" s="187"/>
      <c r="J81" s="187"/>
      <c r="K81" s="187">
        <f t="shared" si="18"/>
        <v>14196.65</v>
      </c>
      <c r="L81" s="232"/>
      <c r="M81" s="189">
        <v>3154.81</v>
      </c>
      <c r="N81" s="187"/>
      <c r="O81" s="233">
        <v>394.35</v>
      </c>
      <c r="P81" s="233">
        <v>394.35</v>
      </c>
      <c r="Q81" s="233">
        <v>394.35</v>
      </c>
      <c r="R81" s="233">
        <v>394.35</v>
      </c>
      <c r="S81" s="233">
        <v>394.35</v>
      </c>
      <c r="T81" s="252">
        <v>394.35</v>
      </c>
      <c r="U81" s="233"/>
      <c r="V81" s="233"/>
      <c r="W81" s="233"/>
      <c r="X81" s="233"/>
      <c r="Y81" s="233"/>
      <c r="Z81" s="233"/>
      <c r="AA81" s="187">
        <f t="shared" si="19"/>
        <v>5520.91</v>
      </c>
      <c r="AB81" s="232"/>
      <c r="AC81" s="187">
        <f t="shared" si="20"/>
        <v>8675.74</v>
      </c>
      <c r="AD81" s="232"/>
      <c r="AE81" s="187">
        <f t="shared" si="21"/>
        <v>0</v>
      </c>
      <c r="AF81" s="275"/>
      <c r="AG81" s="293"/>
      <c r="AH81" s="294"/>
      <c r="AI81" s="294"/>
      <c r="AJ81" s="294"/>
      <c r="AK81" s="296">
        <v>0</v>
      </c>
    </row>
    <row r="82" s="156" customFormat="1" spans="1:37">
      <c r="A82" s="218">
        <v>43773</v>
      </c>
      <c r="B82" s="218"/>
      <c r="C82" s="218">
        <v>43952</v>
      </c>
      <c r="D82" s="219" t="s">
        <v>148</v>
      </c>
      <c r="E82" s="219"/>
      <c r="F82" s="187">
        <v>16720</v>
      </c>
      <c r="G82" s="187"/>
      <c r="H82" s="187">
        <v>12291.41</v>
      </c>
      <c r="I82" s="187"/>
      <c r="J82" s="187"/>
      <c r="K82" s="187">
        <f t="shared" si="18"/>
        <v>12291.41</v>
      </c>
      <c r="L82" s="232"/>
      <c r="M82" s="189">
        <v>2731.42</v>
      </c>
      <c r="N82" s="187"/>
      <c r="O82" s="233">
        <v>341.43</v>
      </c>
      <c r="P82" s="233">
        <v>341.43</v>
      </c>
      <c r="Q82" s="233">
        <v>341.43</v>
      </c>
      <c r="R82" s="233">
        <v>341.43</v>
      </c>
      <c r="S82" s="233">
        <v>341.43</v>
      </c>
      <c r="T82" s="252">
        <v>341.43</v>
      </c>
      <c r="U82" s="233"/>
      <c r="V82" s="233"/>
      <c r="W82" s="233"/>
      <c r="X82" s="233"/>
      <c r="Y82" s="233"/>
      <c r="Z82" s="233"/>
      <c r="AA82" s="187">
        <f t="shared" si="19"/>
        <v>4780</v>
      </c>
      <c r="AB82" s="232"/>
      <c r="AC82" s="187">
        <f t="shared" si="20"/>
        <v>7511.41</v>
      </c>
      <c r="AD82" s="232"/>
      <c r="AE82" s="187">
        <f t="shared" si="21"/>
        <v>0</v>
      </c>
      <c r="AF82" s="275"/>
      <c r="AG82" s="293"/>
      <c r="AH82" s="294"/>
      <c r="AI82" s="294"/>
      <c r="AJ82" s="294"/>
      <c r="AK82" s="296">
        <v>0</v>
      </c>
    </row>
    <row r="83" s="156" customFormat="1" spans="1:37">
      <c r="A83" s="218">
        <v>43781</v>
      </c>
      <c r="B83" s="218"/>
      <c r="C83" s="218">
        <v>43952</v>
      </c>
      <c r="D83" s="219" t="s">
        <v>149</v>
      </c>
      <c r="E83" s="219"/>
      <c r="F83" s="187">
        <v>46056</v>
      </c>
      <c r="G83" s="187"/>
      <c r="H83" s="187">
        <v>33857.23</v>
      </c>
      <c r="I83" s="187"/>
      <c r="J83" s="187"/>
      <c r="K83" s="187">
        <f t="shared" si="18"/>
        <v>33857.23</v>
      </c>
      <c r="L83" s="232"/>
      <c r="M83" s="189">
        <v>7523.82</v>
      </c>
      <c r="N83" s="187"/>
      <c r="O83" s="233">
        <v>940.48</v>
      </c>
      <c r="P83" s="233">
        <v>940.48</v>
      </c>
      <c r="Q83" s="233">
        <v>940.48</v>
      </c>
      <c r="R83" s="233">
        <v>940.48</v>
      </c>
      <c r="S83" s="233">
        <v>940.48</v>
      </c>
      <c r="T83" s="252">
        <v>940.48</v>
      </c>
      <c r="U83" s="233"/>
      <c r="V83" s="233"/>
      <c r="W83" s="233"/>
      <c r="X83" s="233"/>
      <c r="Y83" s="233"/>
      <c r="Z83" s="233"/>
      <c r="AA83" s="187">
        <f t="shared" si="19"/>
        <v>13166.7</v>
      </c>
      <c r="AB83" s="232"/>
      <c r="AC83" s="187">
        <f t="shared" si="20"/>
        <v>20690.53</v>
      </c>
      <c r="AD83" s="232"/>
      <c r="AE83" s="187">
        <f t="shared" si="21"/>
        <v>0</v>
      </c>
      <c r="AF83" s="275"/>
      <c r="AG83" s="293"/>
      <c r="AH83" s="294"/>
      <c r="AI83" s="294"/>
      <c r="AJ83" s="294"/>
      <c r="AK83" s="296">
        <v>0</v>
      </c>
    </row>
    <row r="84" s="156" customFormat="1" spans="1:37">
      <c r="A84" s="218">
        <v>43802</v>
      </c>
      <c r="B84" s="218"/>
      <c r="C84" s="218">
        <v>43952</v>
      </c>
      <c r="D84" s="219" t="s">
        <v>150</v>
      </c>
      <c r="E84" s="219"/>
      <c r="F84" s="187">
        <v>15960</v>
      </c>
      <c r="G84" s="187"/>
      <c r="H84" s="187">
        <v>11669.23</v>
      </c>
      <c r="I84" s="187"/>
      <c r="J84" s="187"/>
      <c r="K84" s="187">
        <f t="shared" si="18"/>
        <v>11669.23</v>
      </c>
      <c r="L84" s="232"/>
      <c r="M84" s="189">
        <v>2593.16</v>
      </c>
      <c r="N84" s="187"/>
      <c r="O84" s="233">
        <v>324.15</v>
      </c>
      <c r="P84" s="233">
        <v>324.15</v>
      </c>
      <c r="Q84" s="233">
        <v>324.15</v>
      </c>
      <c r="R84" s="233">
        <v>324.15</v>
      </c>
      <c r="S84" s="233">
        <v>324.15</v>
      </c>
      <c r="T84" s="252">
        <v>324.15</v>
      </c>
      <c r="U84" s="233"/>
      <c r="V84" s="233"/>
      <c r="W84" s="233"/>
      <c r="X84" s="233"/>
      <c r="Y84" s="233"/>
      <c r="Z84" s="233"/>
      <c r="AA84" s="187">
        <f t="shared" si="19"/>
        <v>4538.06</v>
      </c>
      <c r="AB84" s="232"/>
      <c r="AC84" s="187">
        <f t="shared" si="20"/>
        <v>7131.17</v>
      </c>
      <c r="AD84" s="232"/>
      <c r="AE84" s="187">
        <f t="shared" si="21"/>
        <v>0</v>
      </c>
      <c r="AF84" s="275"/>
      <c r="AG84" s="293"/>
      <c r="AH84" s="294"/>
      <c r="AI84" s="294"/>
      <c r="AJ84" s="294"/>
      <c r="AK84" s="296">
        <v>0</v>
      </c>
    </row>
    <row r="85" s="156" customFormat="1" spans="1:37">
      <c r="A85" s="218">
        <v>43810</v>
      </c>
      <c r="B85" s="218"/>
      <c r="C85" s="218">
        <v>43952</v>
      </c>
      <c r="D85" s="219" t="s">
        <v>150</v>
      </c>
      <c r="E85" s="219"/>
      <c r="F85" s="187">
        <v>56661</v>
      </c>
      <c r="G85" s="187"/>
      <c r="H85" s="187">
        <v>41427.94</v>
      </c>
      <c r="I85" s="187"/>
      <c r="J85" s="187"/>
      <c r="K85" s="187">
        <f t="shared" si="18"/>
        <v>41427.94</v>
      </c>
      <c r="L85" s="232"/>
      <c r="M85" s="189">
        <v>9206.2</v>
      </c>
      <c r="N85" s="187"/>
      <c r="O85" s="233">
        <v>1150.78</v>
      </c>
      <c r="P85" s="233">
        <v>1150.78</v>
      </c>
      <c r="Q85" s="233">
        <v>1150.78</v>
      </c>
      <c r="R85" s="233">
        <v>1150.78</v>
      </c>
      <c r="S85" s="233">
        <v>1150.78</v>
      </c>
      <c r="T85" s="252">
        <v>1150.78</v>
      </c>
      <c r="U85" s="233"/>
      <c r="V85" s="233"/>
      <c r="W85" s="233"/>
      <c r="X85" s="233"/>
      <c r="Y85" s="233"/>
      <c r="Z85" s="233"/>
      <c r="AA85" s="187">
        <f t="shared" si="19"/>
        <v>16110.88</v>
      </c>
      <c r="AB85" s="232"/>
      <c r="AC85" s="187">
        <f t="shared" si="20"/>
        <v>25317.06</v>
      </c>
      <c r="AD85" s="232"/>
      <c r="AE85" s="187">
        <f t="shared" si="21"/>
        <v>0</v>
      </c>
      <c r="AF85" s="275"/>
      <c r="AG85" s="293"/>
      <c r="AH85" s="294"/>
      <c r="AI85" s="294"/>
      <c r="AJ85" s="294"/>
      <c r="AK85" s="296">
        <v>0</v>
      </c>
    </row>
    <row r="86" s="156" customFormat="1" spans="1:37">
      <c r="A86" s="218">
        <v>43830</v>
      </c>
      <c r="B86" s="218"/>
      <c r="C86" s="218">
        <v>43952</v>
      </c>
      <c r="D86" s="219" t="s">
        <v>151</v>
      </c>
      <c r="E86" s="219"/>
      <c r="F86" s="187">
        <v>43935</v>
      </c>
      <c r="G86" s="187"/>
      <c r="H86" s="187">
        <v>32648.44</v>
      </c>
      <c r="I86" s="187"/>
      <c r="J86" s="187"/>
      <c r="K86" s="187">
        <f t="shared" si="18"/>
        <v>32648.44</v>
      </c>
      <c r="L86" s="232"/>
      <c r="M86" s="189">
        <v>7255.2</v>
      </c>
      <c r="N86" s="187"/>
      <c r="O86" s="233">
        <v>906.9</v>
      </c>
      <c r="P86" s="233">
        <v>906.9</v>
      </c>
      <c r="Q86" s="233">
        <v>906.9</v>
      </c>
      <c r="R86" s="233">
        <v>906.9</v>
      </c>
      <c r="S86" s="233">
        <v>906.9</v>
      </c>
      <c r="T86" s="252">
        <v>906.9</v>
      </c>
      <c r="U86" s="233"/>
      <c r="V86" s="233"/>
      <c r="W86" s="233"/>
      <c r="X86" s="233"/>
      <c r="Y86" s="233"/>
      <c r="Z86" s="233"/>
      <c r="AA86" s="187">
        <f t="shared" si="19"/>
        <v>12696.6</v>
      </c>
      <c r="AB86" s="232"/>
      <c r="AC86" s="187">
        <f t="shared" si="20"/>
        <v>19951.84</v>
      </c>
      <c r="AD86" s="232"/>
      <c r="AE86" s="187">
        <f t="shared" si="21"/>
        <v>0</v>
      </c>
      <c r="AF86" s="275"/>
      <c r="AG86" s="293"/>
      <c r="AH86" s="294"/>
      <c r="AI86" s="294"/>
      <c r="AJ86" s="294"/>
      <c r="AK86" s="296">
        <v>0</v>
      </c>
    </row>
    <row r="87" s="156" customFormat="1" spans="1:37">
      <c r="A87" s="218">
        <v>43836</v>
      </c>
      <c r="B87" s="218"/>
      <c r="C87" s="218">
        <v>43952</v>
      </c>
      <c r="D87" s="219" t="s">
        <v>152</v>
      </c>
      <c r="E87" s="219"/>
      <c r="F87" s="187">
        <v>10830</v>
      </c>
      <c r="G87" s="187"/>
      <c r="H87" s="187">
        <v>8047.86</v>
      </c>
      <c r="I87" s="187"/>
      <c r="J87" s="187"/>
      <c r="K87" s="187">
        <f t="shared" si="18"/>
        <v>8047.86</v>
      </c>
      <c r="L87" s="232"/>
      <c r="M87" s="189">
        <v>1788.41</v>
      </c>
      <c r="N87" s="187"/>
      <c r="O87" s="233">
        <v>223.55</v>
      </c>
      <c r="P87" s="233">
        <v>223.55</v>
      </c>
      <c r="Q87" s="233">
        <v>223.55</v>
      </c>
      <c r="R87" s="233">
        <v>223.55</v>
      </c>
      <c r="S87" s="233">
        <v>223.55</v>
      </c>
      <c r="T87" s="252">
        <v>223.55</v>
      </c>
      <c r="U87" s="233"/>
      <c r="V87" s="233"/>
      <c r="W87" s="233"/>
      <c r="X87" s="233"/>
      <c r="Y87" s="233"/>
      <c r="Z87" s="233"/>
      <c r="AA87" s="187">
        <f t="shared" si="19"/>
        <v>3129.71</v>
      </c>
      <c r="AB87" s="232"/>
      <c r="AC87" s="187">
        <f t="shared" si="20"/>
        <v>4918.15</v>
      </c>
      <c r="AD87" s="232"/>
      <c r="AE87" s="187">
        <f t="shared" si="21"/>
        <v>0</v>
      </c>
      <c r="AF87" s="275"/>
      <c r="AG87" s="293"/>
      <c r="AH87" s="294"/>
      <c r="AI87" s="294"/>
      <c r="AJ87" s="294"/>
      <c r="AK87" s="296">
        <v>0</v>
      </c>
    </row>
    <row r="88" s="156" customFormat="1" spans="1:37">
      <c r="A88" s="218">
        <v>43863</v>
      </c>
      <c r="B88" s="218"/>
      <c r="C88" s="218">
        <v>43952</v>
      </c>
      <c r="D88" s="219" t="s">
        <v>153</v>
      </c>
      <c r="E88" s="219"/>
      <c r="F88" s="187">
        <v>14440</v>
      </c>
      <c r="G88" s="187"/>
      <c r="H88" s="187">
        <v>10580.3</v>
      </c>
      <c r="I88" s="187"/>
      <c r="J88" s="187"/>
      <c r="K88" s="187">
        <f t="shared" si="18"/>
        <v>10580.3</v>
      </c>
      <c r="L88" s="232"/>
      <c r="M88" s="189">
        <v>2351.17</v>
      </c>
      <c r="N88" s="187"/>
      <c r="O88" s="233">
        <v>293.9</v>
      </c>
      <c r="P88" s="233">
        <v>293.9</v>
      </c>
      <c r="Q88" s="233">
        <v>293.9</v>
      </c>
      <c r="R88" s="233">
        <v>293.9</v>
      </c>
      <c r="S88" s="233">
        <v>293.9</v>
      </c>
      <c r="T88" s="252">
        <v>293.9</v>
      </c>
      <c r="U88" s="233"/>
      <c r="V88" s="233"/>
      <c r="W88" s="233"/>
      <c r="X88" s="233"/>
      <c r="Y88" s="233"/>
      <c r="Z88" s="233"/>
      <c r="AA88" s="187">
        <f t="shared" si="19"/>
        <v>4114.57</v>
      </c>
      <c r="AB88" s="232"/>
      <c r="AC88" s="187">
        <f t="shared" si="20"/>
        <v>6465.73</v>
      </c>
      <c r="AD88" s="232"/>
      <c r="AE88" s="187">
        <f t="shared" si="21"/>
        <v>0</v>
      </c>
      <c r="AF88" s="275"/>
      <c r="AG88" s="293"/>
      <c r="AH88" s="294"/>
      <c r="AI88" s="294"/>
      <c r="AJ88" s="294"/>
      <c r="AK88" s="296">
        <v>0</v>
      </c>
    </row>
    <row r="89" s="156" customFormat="1" spans="1:37">
      <c r="A89" s="218">
        <v>43861</v>
      </c>
      <c r="B89" s="218"/>
      <c r="C89" s="218">
        <v>43952</v>
      </c>
      <c r="D89" s="219" t="s">
        <v>154</v>
      </c>
      <c r="E89" s="219"/>
      <c r="F89" s="187">
        <v>46864</v>
      </c>
      <c r="G89" s="187"/>
      <c r="H89" s="187">
        <v>34337.64</v>
      </c>
      <c r="I89" s="187"/>
      <c r="J89" s="187"/>
      <c r="K89" s="187">
        <f t="shared" si="18"/>
        <v>34337.64</v>
      </c>
      <c r="L89" s="232"/>
      <c r="M89" s="189">
        <v>7630.58</v>
      </c>
      <c r="N89" s="187"/>
      <c r="O89" s="233">
        <v>953.82</v>
      </c>
      <c r="P89" s="233">
        <v>953.82</v>
      </c>
      <c r="Q89" s="233">
        <v>953.82</v>
      </c>
      <c r="R89" s="233">
        <v>953.82</v>
      </c>
      <c r="S89" s="233">
        <v>953.82</v>
      </c>
      <c r="T89" s="252">
        <v>953.82</v>
      </c>
      <c r="U89" s="233"/>
      <c r="V89" s="233"/>
      <c r="W89" s="233"/>
      <c r="X89" s="233"/>
      <c r="Y89" s="233"/>
      <c r="Z89" s="233"/>
      <c r="AA89" s="187">
        <f t="shared" si="19"/>
        <v>13353.5</v>
      </c>
      <c r="AB89" s="232"/>
      <c r="AC89" s="187">
        <f t="shared" si="20"/>
        <v>20984.14</v>
      </c>
      <c r="AD89" s="232"/>
      <c r="AE89" s="187">
        <f t="shared" si="21"/>
        <v>0</v>
      </c>
      <c r="AF89" s="275"/>
      <c r="AG89" s="293"/>
      <c r="AH89" s="294"/>
      <c r="AI89" s="294"/>
      <c r="AJ89" s="294"/>
      <c r="AK89" s="296">
        <v>0</v>
      </c>
    </row>
    <row r="90" s="156" customFormat="1" spans="1:37">
      <c r="A90" s="218">
        <v>43899</v>
      </c>
      <c r="B90" s="218"/>
      <c r="C90" s="218">
        <v>43952</v>
      </c>
      <c r="D90" s="219" t="s">
        <v>155</v>
      </c>
      <c r="E90" s="219"/>
      <c r="F90" s="187">
        <v>16150</v>
      </c>
      <c r="G90" s="187"/>
      <c r="H90" s="187">
        <v>11592.02</v>
      </c>
      <c r="I90" s="187"/>
      <c r="J90" s="187"/>
      <c r="K90" s="187">
        <f t="shared" si="18"/>
        <v>11592.02</v>
      </c>
      <c r="L90" s="232"/>
      <c r="M90" s="189">
        <v>2576</v>
      </c>
      <c r="N90" s="187"/>
      <c r="O90" s="233">
        <v>322</v>
      </c>
      <c r="P90" s="233">
        <v>322</v>
      </c>
      <c r="Q90" s="233">
        <v>322</v>
      </c>
      <c r="R90" s="233">
        <v>322</v>
      </c>
      <c r="S90" s="233">
        <v>322</v>
      </c>
      <c r="T90" s="252">
        <v>322</v>
      </c>
      <c r="U90" s="233"/>
      <c r="V90" s="233"/>
      <c r="W90" s="233"/>
      <c r="X90" s="233"/>
      <c r="Y90" s="233"/>
      <c r="Z90" s="233"/>
      <c r="AA90" s="187">
        <f t="shared" si="19"/>
        <v>4508</v>
      </c>
      <c r="AB90" s="232"/>
      <c r="AC90" s="187">
        <f t="shared" si="20"/>
        <v>7084.02</v>
      </c>
      <c r="AD90" s="232"/>
      <c r="AE90" s="187">
        <f t="shared" si="21"/>
        <v>0</v>
      </c>
      <c r="AF90" s="275"/>
      <c r="AG90" s="293"/>
      <c r="AH90" s="294"/>
      <c r="AI90" s="294"/>
      <c r="AJ90" s="294"/>
      <c r="AK90" s="296">
        <v>0</v>
      </c>
    </row>
    <row r="91" s="156" customFormat="1" spans="1:37">
      <c r="A91" s="218">
        <v>43896</v>
      </c>
      <c r="B91" s="218"/>
      <c r="C91" s="218">
        <v>43952</v>
      </c>
      <c r="D91" s="219" t="s">
        <v>156</v>
      </c>
      <c r="E91" s="219"/>
      <c r="F91" s="187">
        <v>57267</v>
      </c>
      <c r="G91" s="187"/>
      <c r="H91" s="187">
        <v>41104.65</v>
      </c>
      <c r="I91" s="187"/>
      <c r="J91" s="187"/>
      <c r="K91" s="187">
        <f t="shared" si="18"/>
        <v>41104.65</v>
      </c>
      <c r="L91" s="232"/>
      <c r="M91" s="189">
        <v>9134.36</v>
      </c>
      <c r="N91" s="187"/>
      <c r="O91" s="233">
        <v>1141.8</v>
      </c>
      <c r="P91" s="233">
        <v>1141.8</v>
      </c>
      <c r="Q91" s="233">
        <v>1141.8</v>
      </c>
      <c r="R91" s="233">
        <v>1141.8</v>
      </c>
      <c r="S91" s="233">
        <v>1141.8</v>
      </c>
      <c r="T91" s="252">
        <v>1141.8</v>
      </c>
      <c r="U91" s="233"/>
      <c r="V91" s="233"/>
      <c r="W91" s="233"/>
      <c r="X91" s="233"/>
      <c r="Y91" s="233"/>
      <c r="Z91" s="233"/>
      <c r="AA91" s="187">
        <f t="shared" si="19"/>
        <v>15985.16</v>
      </c>
      <c r="AB91" s="232"/>
      <c r="AC91" s="187">
        <f t="shared" si="20"/>
        <v>25119.49</v>
      </c>
      <c r="AD91" s="232"/>
      <c r="AE91" s="187">
        <f t="shared" si="21"/>
        <v>0</v>
      </c>
      <c r="AF91" s="275"/>
      <c r="AG91" s="293"/>
      <c r="AH91" s="294"/>
      <c r="AI91" s="294"/>
      <c r="AJ91" s="294"/>
      <c r="AK91" s="296">
        <v>0</v>
      </c>
    </row>
    <row r="92" s="156" customFormat="1" spans="1:37">
      <c r="A92" s="218">
        <v>43951</v>
      </c>
      <c r="B92" s="218"/>
      <c r="C92" s="218">
        <v>43952</v>
      </c>
      <c r="D92" s="219" t="s">
        <v>157</v>
      </c>
      <c r="E92" s="219"/>
      <c r="F92" s="187">
        <v>78469.2</v>
      </c>
      <c r="G92" s="187"/>
      <c r="H92" s="187">
        <v>55182.2784810127</v>
      </c>
      <c r="I92" s="187"/>
      <c r="J92" s="187"/>
      <c r="K92" s="187">
        <f t="shared" si="18"/>
        <v>55182.2784810127</v>
      </c>
      <c r="L92" s="232"/>
      <c r="M92" s="189">
        <v>12262.72</v>
      </c>
      <c r="N92" s="187"/>
      <c r="O92" s="233">
        <v>1532.84</v>
      </c>
      <c r="P92" s="233">
        <v>1532.84</v>
      </c>
      <c r="Q92" s="233">
        <v>1532.84</v>
      </c>
      <c r="R92" s="233">
        <v>1532.84</v>
      </c>
      <c r="S92" s="233">
        <v>1532.84</v>
      </c>
      <c r="T92" s="252">
        <v>1532.84</v>
      </c>
      <c r="U92" s="233"/>
      <c r="V92" s="233"/>
      <c r="W92" s="233"/>
      <c r="X92" s="233"/>
      <c r="Y92" s="233"/>
      <c r="Z92" s="233"/>
      <c r="AA92" s="187">
        <f t="shared" si="19"/>
        <v>21459.76</v>
      </c>
      <c r="AB92" s="232"/>
      <c r="AC92" s="187">
        <f t="shared" si="20"/>
        <v>33722.52</v>
      </c>
      <c r="AD92" s="232"/>
      <c r="AE92" s="187">
        <f t="shared" si="21"/>
        <v>0</v>
      </c>
      <c r="AF92" s="275"/>
      <c r="AG92" s="293"/>
      <c r="AH92" s="294"/>
      <c r="AI92" s="294"/>
      <c r="AJ92" s="294"/>
      <c r="AK92" s="296">
        <v>0</v>
      </c>
    </row>
    <row r="93" s="156" customFormat="1" spans="1:37">
      <c r="A93" s="218">
        <v>43952</v>
      </c>
      <c r="B93" s="301" t="s">
        <v>158</v>
      </c>
      <c r="C93" s="218">
        <v>43952</v>
      </c>
      <c r="D93" s="219" t="s">
        <v>159</v>
      </c>
      <c r="E93" s="219"/>
      <c r="F93" s="187">
        <v>17442</v>
      </c>
      <c r="G93" s="187"/>
      <c r="H93" s="187">
        <v>12371.09</v>
      </c>
      <c r="I93" s="187"/>
      <c r="J93" s="187"/>
      <c r="K93" s="187">
        <f t="shared" si="18"/>
        <v>12371.09</v>
      </c>
      <c r="L93" s="232"/>
      <c r="M93" s="189">
        <v>2749.13</v>
      </c>
      <c r="N93" s="187"/>
      <c r="O93" s="233">
        <v>343.64</v>
      </c>
      <c r="P93" s="233">
        <v>343.64</v>
      </c>
      <c r="Q93" s="233">
        <v>343.64</v>
      </c>
      <c r="R93" s="233">
        <v>343.64</v>
      </c>
      <c r="S93" s="233">
        <v>343.64</v>
      </c>
      <c r="T93" s="252">
        <v>343.64</v>
      </c>
      <c r="U93" s="233"/>
      <c r="V93" s="233"/>
      <c r="W93" s="233"/>
      <c r="X93" s="233"/>
      <c r="Y93" s="233"/>
      <c r="Z93" s="233"/>
      <c r="AA93" s="187">
        <f t="shared" si="19"/>
        <v>4810.97</v>
      </c>
      <c r="AB93" s="232"/>
      <c r="AC93" s="187">
        <f t="shared" si="20"/>
        <v>7560.12</v>
      </c>
      <c r="AD93" s="232"/>
      <c r="AE93" s="187">
        <f t="shared" si="21"/>
        <v>0</v>
      </c>
      <c r="AF93" s="275"/>
      <c r="AG93" s="293"/>
      <c r="AH93" s="294"/>
      <c r="AI93" s="294"/>
      <c r="AJ93" s="294"/>
      <c r="AK93" s="296">
        <v>0</v>
      </c>
    </row>
    <row r="94" s="156" customFormat="1" spans="1:37">
      <c r="A94" s="218">
        <v>43980</v>
      </c>
      <c r="B94" s="301" t="s">
        <v>160</v>
      </c>
      <c r="C94" s="218">
        <v>43952</v>
      </c>
      <c r="D94" s="219" t="s">
        <v>161</v>
      </c>
      <c r="E94" s="219"/>
      <c r="F94" s="187">
        <v>61509</v>
      </c>
      <c r="G94" s="187"/>
      <c r="H94" s="187">
        <v>43626.5</v>
      </c>
      <c r="I94" s="187"/>
      <c r="J94" s="187"/>
      <c r="K94" s="187">
        <f t="shared" si="18"/>
        <v>43626.5</v>
      </c>
      <c r="L94" s="232"/>
      <c r="M94" s="189">
        <v>9694.77</v>
      </c>
      <c r="N94" s="187"/>
      <c r="O94" s="233">
        <v>1211.85</v>
      </c>
      <c r="P94" s="233">
        <v>1211.85</v>
      </c>
      <c r="Q94" s="233">
        <v>1211.85</v>
      </c>
      <c r="R94" s="233">
        <v>1211.85</v>
      </c>
      <c r="S94" s="233">
        <v>1211.85</v>
      </c>
      <c r="T94" s="252">
        <v>1211.85</v>
      </c>
      <c r="U94" s="233"/>
      <c r="V94" s="233"/>
      <c r="W94" s="233"/>
      <c r="X94" s="233"/>
      <c r="Y94" s="233"/>
      <c r="Z94" s="233"/>
      <c r="AA94" s="187">
        <f t="shared" si="19"/>
        <v>16965.87</v>
      </c>
      <c r="AB94" s="232"/>
      <c r="AC94" s="187">
        <f t="shared" si="20"/>
        <v>26660.63</v>
      </c>
      <c r="AD94" s="232"/>
      <c r="AE94" s="187">
        <f t="shared" si="21"/>
        <v>0</v>
      </c>
      <c r="AF94" s="275"/>
      <c r="AG94" s="293"/>
      <c r="AH94" s="294"/>
      <c r="AI94" s="294"/>
      <c r="AJ94" s="294"/>
      <c r="AK94" s="296">
        <v>0</v>
      </c>
    </row>
    <row r="95" s="156" customFormat="1" spans="1:37">
      <c r="A95" s="218">
        <v>43800</v>
      </c>
      <c r="B95" s="301"/>
      <c r="C95" s="218">
        <v>43952</v>
      </c>
      <c r="D95" s="219" t="s">
        <v>162</v>
      </c>
      <c r="E95" s="219"/>
      <c r="F95" s="187"/>
      <c r="G95" s="187"/>
      <c r="H95" s="187">
        <v>149389.38</v>
      </c>
      <c r="I95" s="187"/>
      <c r="J95" s="187"/>
      <c r="K95" s="187">
        <f t="shared" si="18"/>
        <v>149389.38</v>
      </c>
      <c r="L95" s="232"/>
      <c r="M95" s="189">
        <v>33197.64</v>
      </c>
      <c r="N95" s="187"/>
      <c r="O95" s="233">
        <v>4149.71</v>
      </c>
      <c r="P95" s="233">
        <v>4149.71</v>
      </c>
      <c r="Q95" s="233">
        <v>4149.71</v>
      </c>
      <c r="R95" s="233">
        <v>4149.71</v>
      </c>
      <c r="S95" s="233">
        <v>4149.71</v>
      </c>
      <c r="T95" s="252">
        <v>4149.71</v>
      </c>
      <c r="U95" s="233"/>
      <c r="V95" s="233"/>
      <c r="W95" s="233"/>
      <c r="X95" s="233"/>
      <c r="Y95" s="233"/>
      <c r="Z95" s="233"/>
      <c r="AA95" s="187">
        <f t="shared" si="19"/>
        <v>58095.9</v>
      </c>
      <c r="AB95" s="232"/>
      <c r="AC95" s="187">
        <f t="shared" si="20"/>
        <v>91293.48</v>
      </c>
      <c r="AD95" s="232"/>
      <c r="AE95" s="187">
        <f t="shared" si="21"/>
        <v>0</v>
      </c>
      <c r="AF95" s="275"/>
      <c r="AG95" s="293"/>
      <c r="AH95" s="294"/>
      <c r="AI95" s="294"/>
      <c r="AJ95" s="294"/>
      <c r="AK95" s="296">
        <v>0</v>
      </c>
    </row>
    <row r="96" s="156" customFormat="1" spans="1:37">
      <c r="A96" s="218">
        <v>43800</v>
      </c>
      <c r="B96" s="301"/>
      <c r="C96" s="218">
        <v>43952</v>
      </c>
      <c r="D96" s="219" t="s">
        <v>163</v>
      </c>
      <c r="E96" s="219"/>
      <c r="F96" s="187"/>
      <c r="G96" s="187"/>
      <c r="H96" s="187">
        <v>64024.02</v>
      </c>
      <c r="I96" s="187"/>
      <c r="J96" s="187"/>
      <c r="K96" s="187">
        <f t="shared" si="18"/>
        <v>64024.02</v>
      </c>
      <c r="L96" s="232"/>
      <c r="M96" s="189">
        <v>14227.56</v>
      </c>
      <c r="N96" s="187"/>
      <c r="O96" s="233">
        <v>1778.45</v>
      </c>
      <c r="P96" s="233">
        <v>1778.45</v>
      </c>
      <c r="Q96" s="233">
        <v>1778.45</v>
      </c>
      <c r="R96" s="233">
        <v>1778.45</v>
      </c>
      <c r="S96" s="233">
        <v>1778.45</v>
      </c>
      <c r="T96" s="252">
        <v>1778.45</v>
      </c>
      <c r="U96" s="233"/>
      <c r="V96" s="233"/>
      <c r="W96" s="233"/>
      <c r="X96" s="233"/>
      <c r="Y96" s="233"/>
      <c r="Z96" s="233"/>
      <c r="AA96" s="187">
        <f t="shared" si="19"/>
        <v>24898.26</v>
      </c>
      <c r="AB96" s="232"/>
      <c r="AC96" s="187">
        <f t="shared" si="20"/>
        <v>39125.76</v>
      </c>
      <c r="AD96" s="232"/>
      <c r="AE96" s="187">
        <f t="shared" si="21"/>
        <v>0</v>
      </c>
      <c r="AF96" s="275"/>
      <c r="AG96" s="293"/>
      <c r="AH96" s="294"/>
      <c r="AI96" s="294"/>
      <c r="AJ96" s="294"/>
      <c r="AK96" s="296">
        <v>0</v>
      </c>
    </row>
    <row r="97" s="156" customFormat="1" spans="1:37">
      <c r="A97" s="218">
        <v>43977</v>
      </c>
      <c r="B97" s="302">
        <v>190000030482</v>
      </c>
      <c r="C97" s="218">
        <v>43952</v>
      </c>
      <c r="D97" s="219" t="s">
        <v>164</v>
      </c>
      <c r="E97" s="219"/>
      <c r="F97" s="187">
        <v>0</v>
      </c>
      <c r="G97" s="187"/>
      <c r="H97" s="187">
        <v>160060</v>
      </c>
      <c r="I97" s="187"/>
      <c r="J97" s="187"/>
      <c r="K97" s="187">
        <f t="shared" si="18"/>
        <v>160060</v>
      </c>
      <c r="L97" s="232"/>
      <c r="M97" s="189">
        <v>35568.88</v>
      </c>
      <c r="N97" s="187"/>
      <c r="O97" s="233">
        <v>4446.11</v>
      </c>
      <c r="P97" s="233">
        <v>4446.11</v>
      </c>
      <c r="Q97" s="233">
        <v>4446.11</v>
      </c>
      <c r="R97" s="233">
        <v>4446.11</v>
      </c>
      <c r="S97" s="233">
        <v>4446.11</v>
      </c>
      <c r="T97" s="252">
        <v>4446.11</v>
      </c>
      <c r="U97" s="233"/>
      <c r="V97" s="233"/>
      <c r="W97" s="233"/>
      <c r="X97" s="233"/>
      <c r="Y97" s="233"/>
      <c r="Z97" s="233"/>
      <c r="AA97" s="187">
        <f t="shared" si="19"/>
        <v>62245.54</v>
      </c>
      <c r="AB97" s="232"/>
      <c r="AC97" s="187">
        <f t="shared" si="20"/>
        <v>97814.46</v>
      </c>
      <c r="AD97" s="232"/>
      <c r="AE97" s="187">
        <f t="shared" si="21"/>
        <v>0</v>
      </c>
      <c r="AF97" s="275"/>
      <c r="AG97" s="293"/>
      <c r="AH97" s="294"/>
      <c r="AI97" s="294"/>
      <c r="AJ97" s="294"/>
      <c r="AK97" s="296">
        <v>0</v>
      </c>
    </row>
    <row r="98" s="156" customFormat="1" spans="1:37">
      <c r="A98" s="218">
        <v>43977</v>
      </c>
      <c r="B98" s="302">
        <v>190000030483</v>
      </c>
      <c r="C98" s="218">
        <v>43952</v>
      </c>
      <c r="D98" s="219" t="s">
        <v>165</v>
      </c>
      <c r="E98" s="219"/>
      <c r="F98" s="187">
        <v>0</v>
      </c>
      <c r="G98" s="187"/>
      <c r="H98" s="187">
        <v>74694.69</v>
      </c>
      <c r="I98" s="187"/>
      <c r="J98" s="187"/>
      <c r="K98" s="187">
        <f t="shared" si="18"/>
        <v>74694.69</v>
      </c>
      <c r="L98" s="232"/>
      <c r="M98" s="189">
        <v>16598.82</v>
      </c>
      <c r="N98" s="187"/>
      <c r="O98" s="233">
        <v>2074.85</v>
      </c>
      <c r="P98" s="233">
        <v>2074.85</v>
      </c>
      <c r="Q98" s="233">
        <v>2074.85</v>
      </c>
      <c r="R98" s="233">
        <v>2074.85</v>
      </c>
      <c r="S98" s="233">
        <v>2074.85</v>
      </c>
      <c r="T98" s="252">
        <v>2074.85</v>
      </c>
      <c r="U98" s="233"/>
      <c r="V98" s="233"/>
      <c r="W98" s="233"/>
      <c r="X98" s="233"/>
      <c r="Y98" s="233"/>
      <c r="Z98" s="233"/>
      <c r="AA98" s="187">
        <f t="shared" si="19"/>
        <v>29047.92</v>
      </c>
      <c r="AB98" s="232"/>
      <c r="AC98" s="187">
        <f t="shared" si="20"/>
        <v>45646.77</v>
      </c>
      <c r="AD98" s="232"/>
      <c r="AE98" s="187">
        <f t="shared" si="21"/>
        <v>0</v>
      </c>
      <c r="AF98" s="275"/>
      <c r="AG98" s="293"/>
      <c r="AH98" s="294"/>
      <c r="AI98" s="294"/>
      <c r="AJ98" s="294"/>
      <c r="AK98" s="296">
        <v>0</v>
      </c>
    </row>
    <row r="99" s="156" customFormat="1" spans="1:37">
      <c r="A99" s="218">
        <v>43977</v>
      </c>
      <c r="B99" s="302">
        <v>190000030484</v>
      </c>
      <c r="C99" s="218">
        <v>43952</v>
      </c>
      <c r="D99" s="219" t="s">
        <v>166</v>
      </c>
      <c r="E99" s="219"/>
      <c r="F99" s="187">
        <v>0</v>
      </c>
      <c r="G99" s="187"/>
      <c r="H99" s="187">
        <v>37347.35</v>
      </c>
      <c r="I99" s="187"/>
      <c r="J99" s="187"/>
      <c r="K99" s="187">
        <f t="shared" si="18"/>
        <v>37347.35</v>
      </c>
      <c r="L99" s="232"/>
      <c r="M99" s="189">
        <v>8299.41</v>
      </c>
      <c r="N99" s="187"/>
      <c r="O99" s="233">
        <v>1037.43</v>
      </c>
      <c r="P99" s="233">
        <v>1037.43</v>
      </c>
      <c r="Q99" s="233">
        <v>1037.43</v>
      </c>
      <c r="R99" s="233">
        <v>1037.43</v>
      </c>
      <c r="S99" s="233">
        <v>1037.43</v>
      </c>
      <c r="T99" s="252">
        <v>1037.43</v>
      </c>
      <c r="U99" s="233"/>
      <c r="V99" s="233"/>
      <c r="W99" s="233"/>
      <c r="X99" s="233"/>
      <c r="Y99" s="233"/>
      <c r="Z99" s="233"/>
      <c r="AA99" s="187">
        <f t="shared" si="19"/>
        <v>14523.99</v>
      </c>
      <c r="AB99" s="232"/>
      <c r="AC99" s="187">
        <f t="shared" si="20"/>
        <v>22823.36</v>
      </c>
      <c r="AD99" s="232"/>
      <c r="AE99" s="187">
        <f t="shared" si="21"/>
        <v>0</v>
      </c>
      <c r="AF99" s="275"/>
      <c r="AG99" s="293"/>
      <c r="AH99" s="294"/>
      <c r="AI99" s="294"/>
      <c r="AJ99" s="294"/>
      <c r="AK99" s="296">
        <v>0</v>
      </c>
    </row>
    <row r="100" s="156" customFormat="1" spans="1:37">
      <c r="A100" s="218">
        <v>43977</v>
      </c>
      <c r="B100" s="302">
        <v>190000030485</v>
      </c>
      <c r="C100" s="218">
        <v>43952</v>
      </c>
      <c r="D100" s="219" t="s">
        <v>167</v>
      </c>
      <c r="E100" s="219"/>
      <c r="F100" s="187">
        <v>0</v>
      </c>
      <c r="G100" s="187"/>
      <c r="H100" s="187">
        <v>149389.38</v>
      </c>
      <c r="I100" s="187"/>
      <c r="J100" s="187"/>
      <c r="K100" s="187">
        <f t="shared" si="18"/>
        <v>149389.38</v>
      </c>
      <c r="L100" s="232"/>
      <c r="M100" s="189">
        <v>33197.64</v>
      </c>
      <c r="N100" s="187"/>
      <c r="O100" s="233">
        <v>4149.71</v>
      </c>
      <c r="P100" s="233">
        <v>4149.71</v>
      </c>
      <c r="Q100" s="233">
        <v>4149.71</v>
      </c>
      <c r="R100" s="233">
        <v>4149.71</v>
      </c>
      <c r="S100" s="233">
        <v>4149.71</v>
      </c>
      <c r="T100" s="252">
        <v>4149.71</v>
      </c>
      <c r="U100" s="233"/>
      <c r="V100" s="233"/>
      <c r="W100" s="233"/>
      <c r="X100" s="233"/>
      <c r="Y100" s="233"/>
      <c r="Z100" s="233"/>
      <c r="AA100" s="187">
        <f t="shared" si="19"/>
        <v>58095.9</v>
      </c>
      <c r="AB100" s="232"/>
      <c r="AC100" s="187">
        <f t="shared" si="20"/>
        <v>91293.48</v>
      </c>
      <c r="AD100" s="232"/>
      <c r="AE100" s="187">
        <f t="shared" si="21"/>
        <v>0</v>
      </c>
      <c r="AF100" s="275"/>
      <c r="AG100" s="293"/>
      <c r="AH100" s="294"/>
      <c r="AI100" s="294"/>
      <c r="AJ100" s="294"/>
      <c r="AK100" s="296">
        <v>0</v>
      </c>
    </row>
    <row r="101" s="156" customFormat="1" spans="1:37">
      <c r="A101" s="218">
        <v>43977</v>
      </c>
      <c r="B101" s="302">
        <v>190000030486</v>
      </c>
      <c r="C101" s="218">
        <v>43952</v>
      </c>
      <c r="D101" s="219" t="s">
        <v>168</v>
      </c>
      <c r="E101" s="219"/>
      <c r="F101" s="187">
        <v>0</v>
      </c>
      <c r="G101" s="187"/>
      <c r="H101" s="187">
        <v>112042.04</v>
      </c>
      <c r="I101" s="187"/>
      <c r="J101" s="187"/>
      <c r="K101" s="187">
        <f t="shared" si="18"/>
        <v>112042.04</v>
      </c>
      <c r="L101" s="232"/>
      <c r="M101" s="189">
        <v>24898.23</v>
      </c>
      <c r="N101" s="187"/>
      <c r="O101" s="233">
        <v>3112.28</v>
      </c>
      <c r="P101" s="233">
        <v>3112.28</v>
      </c>
      <c r="Q101" s="233">
        <v>3112.28</v>
      </c>
      <c r="R101" s="233">
        <v>3112.28</v>
      </c>
      <c r="S101" s="233">
        <v>3112.28</v>
      </c>
      <c r="T101" s="252">
        <v>3112.28</v>
      </c>
      <c r="U101" s="233"/>
      <c r="V101" s="233"/>
      <c r="W101" s="233"/>
      <c r="X101" s="233"/>
      <c r="Y101" s="233"/>
      <c r="Z101" s="233"/>
      <c r="AA101" s="187">
        <f t="shared" si="19"/>
        <v>43571.91</v>
      </c>
      <c r="AB101" s="232"/>
      <c r="AC101" s="187">
        <f t="shared" si="20"/>
        <v>68470.13</v>
      </c>
      <c r="AD101" s="232"/>
      <c r="AE101" s="187">
        <f t="shared" si="21"/>
        <v>0</v>
      </c>
      <c r="AF101" s="275"/>
      <c r="AG101" s="293"/>
      <c r="AH101" s="294"/>
      <c r="AI101" s="294"/>
      <c r="AJ101" s="294"/>
      <c r="AK101" s="296">
        <v>0</v>
      </c>
    </row>
    <row r="102" s="156" customFormat="1" spans="1:37">
      <c r="A102" s="218">
        <v>43994</v>
      </c>
      <c r="B102" s="301" t="s">
        <v>169</v>
      </c>
      <c r="C102" s="218">
        <v>43952</v>
      </c>
      <c r="D102" s="219" t="s">
        <v>170</v>
      </c>
      <c r="E102" s="219"/>
      <c r="F102" s="187">
        <v>38178</v>
      </c>
      <c r="G102" s="187"/>
      <c r="H102" s="187">
        <v>27009.55</v>
      </c>
      <c r="I102" s="187"/>
      <c r="J102" s="187"/>
      <c r="K102" s="187">
        <f t="shared" si="18"/>
        <v>27009.55</v>
      </c>
      <c r="L102" s="232"/>
      <c r="M102" s="189">
        <v>6002.09222222222</v>
      </c>
      <c r="N102" s="187"/>
      <c r="O102" s="233">
        <v>750.265277777778</v>
      </c>
      <c r="P102" s="233">
        <v>750.265277777778</v>
      </c>
      <c r="Q102" s="233">
        <v>750.265277777778</v>
      </c>
      <c r="R102" s="233">
        <v>750.265277777778</v>
      </c>
      <c r="S102" s="233">
        <v>750.265277777778</v>
      </c>
      <c r="T102" s="252">
        <v>750.265277777778</v>
      </c>
      <c r="U102" s="233"/>
      <c r="V102" s="233"/>
      <c r="W102" s="233"/>
      <c r="X102" s="233"/>
      <c r="Y102" s="233"/>
      <c r="Z102" s="233"/>
      <c r="AA102" s="187">
        <f t="shared" si="19"/>
        <v>10503.6838888889</v>
      </c>
      <c r="AB102" s="232"/>
      <c r="AC102" s="204">
        <f t="shared" ref="AC102:AC128" si="22">+K102-AA102</f>
        <v>16505.8661111111</v>
      </c>
      <c r="AD102" s="197"/>
      <c r="AE102" s="204">
        <f>K102/36</f>
        <v>750.265277777778</v>
      </c>
      <c r="AF102" s="275"/>
      <c r="AG102" s="293"/>
      <c r="AH102" s="294"/>
      <c r="AI102" s="294"/>
      <c r="AJ102" s="294"/>
      <c r="AK102" s="296"/>
    </row>
    <row r="103" s="156" customFormat="1" spans="1:37">
      <c r="A103" s="218">
        <v>43991</v>
      </c>
      <c r="B103" s="301" t="s">
        <v>171</v>
      </c>
      <c r="C103" s="218">
        <v>43952</v>
      </c>
      <c r="D103" s="219" t="s">
        <v>172</v>
      </c>
      <c r="E103" s="219"/>
      <c r="F103" s="187">
        <v>17248.2</v>
      </c>
      <c r="G103" s="187"/>
      <c r="H103" s="187">
        <v>12202.48</v>
      </c>
      <c r="I103" s="187"/>
      <c r="J103" s="187"/>
      <c r="K103" s="187">
        <f t="shared" si="18"/>
        <v>12202.48</v>
      </c>
      <c r="L103" s="232"/>
      <c r="M103" s="189">
        <v>2711.64222222222</v>
      </c>
      <c r="N103" s="187"/>
      <c r="O103" s="233">
        <v>338.957777777778</v>
      </c>
      <c r="P103" s="233">
        <v>338.957777777778</v>
      </c>
      <c r="Q103" s="233">
        <v>338.957777777778</v>
      </c>
      <c r="R103" s="233">
        <v>338.957777777778</v>
      </c>
      <c r="S103" s="233">
        <v>338.957777777778</v>
      </c>
      <c r="T103" s="252">
        <v>338.957777777778</v>
      </c>
      <c r="U103" s="233"/>
      <c r="V103" s="233"/>
      <c r="W103" s="233"/>
      <c r="X103" s="233"/>
      <c r="Y103" s="233"/>
      <c r="Z103" s="233"/>
      <c r="AA103" s="187">
        <f t="shared" si="19"/>
        <v>4745.38888888889</v>
      </c>
      <c r="AB103" s="232"/>
      <c r="AC103" s="204">
        <f t="shared" si="22"/>
        <v>7457.09111111111</v>
      </c>
      <c r="AD103" s="197"/>
      <c r="AE103" s="204">
        <f>K103/36</f>
        <v>338.957777777778</v>
      </c>
      <c r="AF103" s="275"/>
      <c r="AG103" s="293"/>
      <c r="AH103" s="294"/>
      <c r="AI103" s="294"/>
      <c r="AJ103" s="294"/>
      <c r="AK103" s="296"/>
    </row>
    <row r="104" s="156" customFormat="1" spans="1:37">
      <c r="A104" s="218">
        <v>44105</v>
      </c>
      <c r="B104" s="303">
        <v>190000036600</v>
      </c>
      <c r="C104" s="218">
        <v>43952</v>
      </c>
      <c r="D104" s="219" t="s">
        <v>173</v>
      </c>
      <c r="E104" s="219"/>
      <c r="F104" s="187">
        <v>0</v>
      </c>
      <c r="G104" s="187"/>
      <c r="H104" s="187">
        <v>74694.69</v>
      </c>
      <c r="I104" s="187"/>
      <c r="J104" s="187"/>
      <c r="K104" s="187">
        <f t="shared" si="18"/>
        <v>74694.69</v>
      </c>
      <c r="L104" s="232"/>
      <c r="M104" s="189">
        <v>16598.82</v>
      </c>
      <c r="N104" s="187"/>
      <c r="O104" s="233">
        <v>2074.8525</v>
      </c>
      <c r="P104" s="233">
        <v>2074.8525</v>
      </c>
      <c r="Q104" s="233">
        <v>2074.8525</v>
      </c>
      <c r="R104" s="233">
        <v>2074.8525</v>
      </c>
      <c r="S104" s="233">
        <v>2074.8525</v>
      </c>
      <c r="T104" s="252">
        <v>2074.8525</v>
      </c>
      <c r="U104" s="233"/>
      <c r="V104" s="233"/>
      <c r="W104" s="233"/>
      <c r="X104" s="233"/>
      <c r="Y104" s="233"/>
      <c r="Z104" s="233"/>
      <c r="AA104" s="187">
        <f t="shared" si="19"/>
        <v>29047.935</v>
      </c>
      <c r="AB104" s="232"/>
      <c r="AC104" s="204">
        <f t="shared" si="22"/>
        <v>45646.755</v>
      </c>
      <c r="AD104" s="197"/>
      <c r="AE104" s="204">
        <f>K104/36</f>
        <v>2074.8525</v>
      </c>
      <c r="AF104" s="275"/>
      <c r="AG104" s="293"/>
      <c r="AH104" s="294"/>
      <c r="AI104" s="294"/>
      <c r="AJ104" s="294"/>
      <c r="AK104" s="296"/>
    </row>
    <row r="105" s="157" customFormat="1" spans="1:37">
      <c r="A105" s="301">
        <v>44167</v>
      </c>
      <c r="B105" s="303">
        <v>190000040294</v>
      </c>
      <c r="C105" s="301">
        <v>43952</v>
      </c>
      <c r="D105" s="304" t="s">
        <v>174</v>
      </c>
      <c r="E105" s="304"/>
      <c r="F105" s="233"/>
      <c r="G105" s="233"/>
      <c r="H105" s="233">
        <v>32012</v>
      </c>
      <c r="I105" s="233"/>
      <c r="J105" s="233"/>
      <c r="K105" s="233">
        <f t="shared" si="18"/>
        <v>32012</v>
      </c>
      <c r="L105" s="254"/>
      <c r="M105" s="318">
        <v>7113.76777777778</v>
      </c>
      <c r="N105" s="233"/>
      <c r="O105" s="233">
        <v>889.222222222222</v>
      </c>
      <c r="P105" s="233">
        <v>889.222222222222</v>
      </c>
      <c r="Q105" s="233">
        <v>889.222222222222</v>
      </c>
      <c r="R105" s="233">
        <v>889.222222222222</v>
      </c>
      <c r="S105" s="233">
        <v>889.222222222222</v>
      </c>
      <c r="T105" s="252">
        <v>889.222222222222</v>
      </c>
      <c r="U105" s="233"/>
      <c r="V105" s="233"/>
      <c r="W105" s="233"/>
      <c r="X105" s="233"/>
      <c r="Y105" s="233"/>
      <c r="Z105" s="233"/>
      <c r="AA105" s="233">
        <f t="shared" si="19"/>
        <v>12449.1011111111</v>
      </c>
      <c r="AB105" s="254"/>
      <c r="AC105" s="233">
        <f t="shared" si="22"/>
        <v>19562.8988888889</v>
      </c>
      <c r="AD105" s="254"/>
      <c r="AE105" s="233">
        <f>K105/36</f>
        <v>889.222222222222</v>
      </c>
      <c r="AF105" s="320"/>
      <c r="AG105" s="322"/>
      <c r="AH105" s="321"/>
      <c r="AI105" s="321"/>
      <c r="AJ105" s="321"/>
      <c r="AK105" s="323"/>
    </row>
    <row r="106" s="157" customFormat="1" spans="1:37">
      <c r="A106" s="301">
        <v>44173</v>
      </c>
      <c r="B106" s="303" t="s">
        <v>175</v>
      </c>
      <c r="C106" s="301">
        <v>44166</v>
      </c>
      <c r="D106" s="304" t="s">
        <v>176</v>
      </c>
      <c r="E106" s="304"/>
      <c r="F106" s="233">
        <v>26260</v>
      </c>
      <c r="G106" s="233"/>
      <c r="H106" s="233">
        <v>19573.64</v>
      </c>
      <c r="I106" s="233"/>
      <c r="J106" s="233"/>
      <c r="K106" s="233">
        <f t="shared" si="18"/>
        <v>19573.64</v>
      </c>
      <c r="L106" s="254"/>
      <c r="M106" s="318">
        <v>543.712222222222</v>
      </c>
      <c r="N106" s="233"/>
      <c r="O106" s="233">
        <v>543.712222222222</v>
      </c>
      <c r="P106" s="233">
        <v>543.712222222222</v>
      </c>
      <c r="Q106" s="233">
        <v>543.712222222222</v>
      </c>
      <c r="R106" s="233">
        <v>543.712222222222</v>
      </c>
      <c r="S106" s="233">
        <v>543.712222222222</v>
      </c>
      <c r="T106" s="252">
        <v>543.712222222222</v>
      </c>
      <c r="U106" s="233"/>
      <c r="V106" s="233"/>
      <c r="W106" s="233"/>
      <c r="X106" s="233"/>
      <c r="Y106" s="233"/>
      <c r="Z106" s="233"/>
      <c r="AA106" s="233">
        <f t="shared" si="19"/>
        <v>3805.98555555556</v>
      </c>
      <c r="AB106" s="254"/>
      <c r="AC106" s="233">
        <f t="shared" si="22"/>
        <v>15767.6544444444</v>
      </c>
      <c r="AD106" s="254"/>
      <c r="AE106" s="233">
        <f t="shared" ref="AE106:AE128" si="23">K106/36</f>
        <v>543.712222222222</v>
      </c>
      <c r="AF106" s="320"/>
      <c r="AG106" s="322"/>
      <c r="AH106" s="321"/>
      <c r="AI106" s="321"/>
      <c r="AJ106" s="321"/>
      <c r="AK106" s="323"/>
    </row>
    <row r="107" s="157" customFormat="1" spans="1:37">
      <c r="A107" s="301">
        <v>44106</v>
      </c>
      <c r="B107" s="303" t="s">
        <v>177</v>
      </c>
      <c r="C107" s="301">
        <v>44166</v>
      </c>
      <c r="D107" s="304" t="s">
        <v>178</v>
      </c>
      <c r="E107" s="304"/>
      <c r="F107" s="233">
        <v>21486.15</v>
      </c>
      <c r="G107" s="233"/>
      <c r="H107" s="233">
        <v>15750</v>
      </c>
      <c r="I107" s="233"/>
      <c r="J107" s="233"/>
      <c r="K107" s="233">
        <f t="shared" si="18"/>
        <v>15750</v>
      </c>
      <c r="L107" s="254"/>
      <c r="M107" s="318">
        <v>437.5</v>
      </c>
      <c r="N107" s="233"/>
      <c r="O107" s="233">
        <v>437.5</v>
      </c>
      <c r="P107" s="233">
        <v>437.5</v>
      </c>
      <c r="Q107" s="233">
        <v>437.5</v>
      </c>
      <c r="R107" s="233">
        <v>437.5</v>
      </c>
      <c r="S107" s="233">
        <v>437.5</v>
      </c>
      <c r="T107" s="252">
        <v>437.5</v>
      </c>
      <c r="U107" s="233"/>
      <c r="V107" s="233"/>
      <c r="W107" s="233"/>
      <c r="X107" s="233"/>
      <c r="Y107" s="233"/>
      <c r="Z107" s="233"/>
      <c r="AA107" s="233">
        <f t="shared" si="19"/>
        <v>3062.5</v>
      </c>
      <c r="AB107" s="254"/>
      <c r="AC107" s="233">
        <f t="shared" si="22"/>
        <v>12687.5</v>
      </c>
      <c r="AD107" s="254"/>
      <c r="AE107" s="233">
        <f t="shared" si="23"/>
        <v>437.5</v>
      </c>
      <c r="AF107" s="320"/>
      <c r="AG107" s="322"/>
      <c r="AH107" s="321"/>
      <c r="AI107" s="321"/>
      <c r="AJ107" s="321"/>
      <c r="AK107" s="323"/>
    </row>
    <row r="108" s="157" customFormat="1" spans="1:37">
      <c r="A108" s="305">
        <v>44106</v>
      </c>
      <c r="B108" s="306" t="s">
        <v>177</v>
      </c>
      <c r="C108" s="301">
        <v>44166</v>
      </c>
      <c r="D108" s="307" t="s">
        <v>179</v>
      </c>
      <c r="E108" s="308"/>
      <c r="F108" s="309">
        <v>20819.9</v>
      </c>
      <c r="G108" s="310"/>
      <c r="H108" s="311">
        <v>15261.62</v>
      </c>
      <c r="I108" s="311"/>
      <c r="J108" s="233"/>
      <c r="K108" s="233">
        <f t="shared" si="18"/>
        <v>15261.62</v>
      </c>
      <c r="L108" s="254"/>
      <c r="M108" s="318">
        <v>423.933888888889</v>
      </c>
      <c r="N108" s="233"/>
      <c r="O108" s="233">
        <v>423.933888888889</v>
      </c>
      <c r="P108" s="233">
        <v>423.933888888889</v>
      </c>
      <c r="Q108" s="233">
        <v>423.933888888889</v>
      </c>
      <c r="R108" s="233">
        <v>423.933888888889</v>
      </c>
      <c r="S108" s="233">
        <v>423.933888888889</v>
      </c>
      <c r="T108" s="252">
        <v>423.933888888889</v>
      </c>
      <c r="U108" s="233"/>
      <c r="V108" s="233"/>
      <c r="W108" s="233"/>
      <c r="X108" s="233"/>
      <c r="Y108" s="233"/>
      <c r="Z108" s="233"/>
      <c r="AA108" s="233">
        <f t="shared" si="19"/>
        <v>2967.53722222222</v>
      </c>
      <c r="AB108" s="254"/>
      <c r="AC108" s="233">
        <f t="shared" si="22"/>
        <v>12294.0827777778</v>
      </c>
      <c r="AD108" s="254"/>
      <c r="AE108" s="233">
        <f t="shared" si="23"/>
        <v>423.933888888889</v>
      </c>
      <c r="AF108" s="320"/>
      <c r="AG108" s="322"/>
      <c r="AH108" s="321"/>
      <c r="AI108" s="321"/>
      <c r="AJ108" s="321"/>
      <c r="AK108" s="323"/>
    </row>
    <row r="109" s="157" customFormat="1" ht="12" customHeight="1" spans="1:37">
      <c r="A109" s="301">
        <v>44106</v>
      </c>
      <c r="B109" s="306" t="s">
        <v>177</v>
      </c>
      <c r="C109" s="301">
        <v>44166</v>
      </c>
      <c r="D109" s="304" t="s">
        <v>180</v>
      </c>
      <c r="E109" s="304"/>
      <c r="F109" s="233">
        <v>16370.4</v>
      </c>
      <c r="G109" s="233"/>
      <c r="H109" s="233">
        <v>12000</v>
      </c>
      <c r="I109" s="233"/>
      <c r="J109" s="233"/>
      <c r="K109" s="233">
        <f t="shared" si="18"/>
        <v>12000</v>
      </c>
      <c r="L109" s="254"/>
      <c r="M109" s="318">
        <v>333.333333333333</v>
      </c>
      <c r="N109" s="233"/>
      <c r="O109" s="233">
        <v>333.33</v>
      </c>
      <c r="P109" s="233">
        <v>333.33</v>
      </c>
      <c r="Q109" s="233">
        <v>333.33</v>
      </c>
      <c r="R109" s="233">
        <v>333.33</v>
      </c>
      <c r="S109" s="233">
        <v>333.33</v>
      </c>
      <c r="T109" s="252">
        <v>333.33</v>
      </c>
      <c r="U109" s="233"/>
      <c r="V109" s="233"/>
      <c r="W109" s="233"/>
      <c r="X109" s="233"/>
      <c r="Y109" s="233"/>
      <c r="Z109" s="233"/>
      <c r="AA109" s="233">
        <f t="shared" si="19"/>
        <v>2333.31333333333</v>
      </c>
      <c r="AB109" s="254"/>
      <c r="AC109" s="233">
        <f t="shared" si="22"/>
        <v>9666.68666666667</v>
      </c>
      <c r="AD109" s="254"/>
      <c r="AE109" s="233">
        <f t="shared" si="23"/>
        <v>333.333333333333</v>
      </c>
      <c r="AF109" s="320"/>
      <c r="AG109" s="322"/>
      <c r="AH109" s="321"/>
      <c r="AI109" s="321"/>
      <c r="AJ109" s="321"/>
      <c r="AK109" s="323"/>
    </row>
    <row r="110" s="157" customFormat="1" ht="12" customHeight="1" spans="1:37">
      <c r="A110" s="301">
        <v>44081</v>
      </c>
      <c r="B110" s="305" t="s">
        <v>181</v>
      </c>
      <c r="C110" s="306">
        <v>44166</v>
      </c>
      <c r="D110" s="312" t="s">
        <v>182</v>
      </c>
      <c r="E110" s="304"/>
      <c r="F110" s="233">
        <v>24947</v>
      </c>
      <c r="G110" s="233"/>
      <c r="H110" s="233">
        <v>18339.34</v>
      </c>
      <c r="I110" s="233"/>
      <c r="J110" s="233"/>
      <c r="K110" s="233">
        <f t="shared" si="18"/>
        <v>18339.34</v>
      </c>
      <c r="L110" s="254"/>
      <c r="M110" s="318">
        <v>509.416111111111</v>
      </c>
      <c r="N110" s="233"/>
      <c r="O110" s="233">
        <v>509.426111111111</v>
      </c>
      <c r="P110" s="233">
        <v>509.426111111111</v>
      </c>
      <c r="Q110" s="233">
        <v>509.426111111111</v>
      </c>
      <c r="R110" s="233">
        <v>509.426111111111</v>
      </c>
      <c r="S110" s="233">
        <v>509.426111111111</v>
      </c>
      <c r="T110" s="252">
        <v>509.426111111111</v>
      </c>
      <c r="U110" s="233"/>
      <c r="V110" s="233"/>
      <c r="W110" s="233"/>
      <c r="X110" s="233"/>
      <c r="Y110" s="233"/>
      <c r="Z110" s="233"/>
      <c r="AA110" s="233">
        <f t="shared" si="19"/>
        <v>3565.97277777778</v>
      </c>
      <c r="AB110" s="254"/>
      <c r="AC110" s="233">
        <f t="shared" si="22"/>
        <v>14773.3672222222</v>
      </c>
      <c r="AD110" s="254"/>
      <c r="AE110" s="233">
        <f t="shared" si="23"/>
        <v>509.426111111111</v>
      </c>
      <c r="AF110" s="321"/>
      <c r="AG110" s="324"/>
      <c r="AH110" s="321"/>
      <c r="AI110" s="321"/>
      <c r="AJ110" s="321"/>
      <c r="AK110" s="323"/>
    </row>
    <row r="111" s="157" customFormat="1" ht="12" customHeight="1" spans="1:37">
      <c r="A111" s="313">
        <v>44109</v>
      </c>
      <c r="B111" s="306" t="s">
        <v>183</v>
      </c>
      <c r="C111" s="314">
        <v>44166</v>
      </c>
      <c r="D111" s="312" t="s">
        <v>184</v>
      </c>
      <c r="E111" s="304"/>
      <c r="F111" s="233">
        <v>28229.5</v>
      </c>
      <c r="G111" s="233"/>
      <c r="H111" s="233">
        <v>20674.9</v>
      </c>
      <c r="I111" s="233"/>
      <c r="J111" s="233"/>
      <c r="K111" s="233">
        <f t="shared" si="18"/>
        <v>20674.9</v>
      </c>
      <c r="L111" s="254"/>
      <c r="M111" s="318">
        <v>574.302777777778</v>
      </c>
      <c r="N111" s="233"/>
      <c r="O111" s="233">
        <v>574.302777777778</v>
      </c>
      <c r="P111" s="233">
        <v>574.302777777778</v>
      </c>
      <c r="Q111" s="233">
        <v>574.302777777778</v>
      </c>
      <c r="R111" s="233">
        <v>574.302777777778</v>
      </c>
      <c r="S111" s="233">
        <v>574.302777777778</v>
      </c>
      <c r="T111" s="252">
        <v>574.302777777778</v>
      </c>
      <c r="U111" s="233"/>
      <c r="V111" s="233"/>
      <c r="W111" s="233"/>
      <c r="X111" s="233"/>
      <c r="Y111" s="233"/>
      <c r="Z111" s="233"/>
      <c r="AA111" s="233">
        <f t="shared" si="19"/>
        <v>4020.11944444444</v>
      </c>
      <c r="AB111" s="254"/>
      <c r="AC111" s="233">
        <f t="shared" si="22"/>
        <v>16654.7805555556</v>
      </c>
      <c r="AD111" s="254"/>
      <c r="AE111" s="233">
        <f t="shared" si="23"/>
        <v>574.302777777778</v>
      </c>
      <c r="AF111" s="321"/>
      <c r="AG111" s="324"/>
      <c r="AH111" s="321"/>
      <c r="AI111" s="321"/>
      <c r="AJ111" s="321"/>
      <c r="AK111" s="323"/>
    </row>
    <row r="112" s="157" customFormat="1" spans="1:37">
      <c r="A112" s="305">
        <v>44141</v>
      </c>
      <c r="B112" s="306" t="s">
        <v>185</v>
      </c>
      <c r="C112" s="314">
        <v>44166</v>
      </c>
      <c r="D112" s="312" t="s">
        <v>186</v>
      </c>
      <c r="E112" s="315"/>
      <c r="F112" s="311">
        <v>23634</v>
      </c>
      <c r="G112" s="309"/>
      <c r="H112" s="311">
        <v>17296.54</v>
      </c>
      <c r="I112" s="311"/>
      <c r="J112" s="310"/>
      <c r="K112" s="309">
        <f t="shared" si="18"/>
        <v>17296.54</v>
      </c>
      <c r="L112" s="254"/>
      <c r="M112" s="318">
        <v>480.449444444444</v>
      </c>
      <c r="N112" s="233"/>
      <c r="O112" s="233">
        <v>480.459444444444</v>
      </c>
      <c r="P112" s="233">
        <v>480.459444444444</v>
      </c>
      <c r="Q112" s="233">
        <v>480.459444444444</v>
      </c>
      <c r="R112" s="233">
        <v>480.459444444444</v>
      </c>
      <c r="S112" s="233">
        <v>480.459444444444</v>
      </c>
      <c r="T112" s="252">
        <v>480.459444444444</v>
      </c>
      <c r="U112" s="233"/>
      <c r="V112" s="233"/>
      <c r="W112" s="233"/>
      <c r="X112" s="233"/>
      <c r="Y112" s="233"/>
      <c r="Z112" s="233"/>
      <c r="AA112" s="233">
        <f t="shared" si="19"/>
        <v>3363.20611111111</v>
      </c>
      <c r="AB112" s="254"/>
      <c r="AC112" s="233">
        <f t="shared" si="22"/>
        <v>13933.3338888889</v>
      </c>
      <c r="AD112" s="254"/>
      <c r="AE112" s="233">
        <f t="shared" si="23"/>
        <v>480.459444444444</v>
      </c>
      <c r="AF112" s="321"/>
      <c r="AG112" s="324"/>
      <c r="AH112" s="321"/>
      <c r="AI112" s="321"/>
      <c r="AJ112" s="321"/>
      <c r="AK112" s="323"/>
    </row>
    <row r="113" s="157" customFormat="1" spans="1:37">
      <c r="A113" s="305" t="s">
        <v>187</v>
      </c>
      <c r="B113" s="306" t="s">
        <v>188</v>
      </c>
      <c r="C113" s="314">
        <v>44166</v>
      </c>
      <c r="D113" s="312" t="s">
        <v>189</v>
      </c>
      <c r="E113" s="308"/>
      <c r="F113" s="311">
        <v>35749.88</v>
      </c>
      <c r="G113" s="309"/>
      <c r="H113" s="311">
        <v>26250</v>
      </c>
      <c r="I113" s="311"/>
      <c r="J113" s="310"/>
      <c r="K113" s="309">
        <f t="shared" si="18"/>
        <v>26250</v>
      </c>
      <c r="L113" s="254"/>
      <c r="M113" s="318">
        <v>729.156666666667</v>
      </c>
      <c r="N113" s="233"/>
      <c r="O113" s="233">
        <v>729.166666666667</v>
      </c>
      <c r="P113" s="233">
        <v>729.166666666667</v>
      </c>
      <c r="Q113" s="233">
        <v>729.166666666667</v>
      </c>
      <c r="R113" s="233">
        <v>729.166666666667</v>
      </c>
      <c r="S113" s="233">
        <v>729.166666666667</v>
      </c>
      <c r="T113" s="252">
        <v>729.166666666667</v>
      </c>
      <c r="U113" s="233"/>
      <c r="V113" s="233"/>
      <c r="W113" s="233"/>
      <c r="X113" s="233"/>
      <c r="Y113" s="233"/>
      <c r="Z113" s="233"/>
      <c r="AA113" s="233">
        <f t="shared" si="19"/>
        <v>5104.15666666667</v>
      </c>
      <c r="AB113" s="254"/>
      <c r="AC113" s="233">
        <f t="shared" si="22"/>
        <v>21145.8433333333</v>
      </c>
      <c r="AD113" s="254"/>
      <c r="AE113" s="233">
        <f t="shared" si="23"/>
        <v>729.166666666667</v>
      </c>
      <c r="AF113" s="321"/>
      <c r="AG113" s="324"/>
      <c r="AH113" s="321"/>
      <c r="AI113" s="321"/>
      <c r="AJ113" s="321"/>
      <c r="AK113" s="323"/>
    </row>
    <row r="114" s="157" customFormat="1" spans="1:37">
      <c r="A114" s="305">
        <v>43753</v>
      </c>
      <c r="B114" s="306" t="s">
        <v>190</v>
      </c>
      <c r="C114" s="314">
        <v>44166</v>
      </c>
      <c r="D114" s="312" t="s">
        <v>191</v>
      </c>
      <c r="E114" s="308"/>
      <c r="F114" s="309">
        <v>86234.4</v>
      </c>
      <c r="G114" s="316"/>
      <c r="H114" s="311">
        <v>63000</v>
      </c>
      <c r="I114" s="311"/>
      <c r="J114" s="310"/>
      <c r="K114" s="309">
        <f t="shared" si="18"/>
        <v>63000</v>
      </c>
      <c r="L114" s="254"/>
      <c r="M114" s="318">
        <v>1750</v>
      </c>
      <c r="N114" s="233"/>
      <c r="O114" s="233">
        <v>1750</v>
      </c>
      <c r="P114" s="233">
        <v>1750</v>
      </c>
      <c r="Q114" s="233">
        <v>1750</v>
      </c>
      <c r="R114" s="233">
        <v>1750</v>
      </c>
      <c r="S114" s="233">
        <v>1750</v>
      </c>
      <c r="T114" s="252">
        <v>1750</v>
      </c>
      <c r="U114" s="233"/>
      <c r="V114" s="233"/>
      <c r="W114" s="233"/>
      <c r="X114" s="233"/>
      <c r="Y114" s="233"/>
      <c r="Z114" s="233"/>
      <c r="AA114" s="233">
        <f t="shared" si="19"/>
        <v>12250</v>
      </c>
      <c r="AB114" s="254"/>
      <c r="AC114" s="233">
        <f t="shared" si="22"/>
        <v>50750</v>
      </c>
      <c r="AD114" s="254"/>
      <c r="AE114" s="233">
        <f t="shared" si="23"/>
        <v>1750</v>
      </c>
      <c r="AF114" s="321"/>
      <c r="AG114" s="324"/>
      <c r="AH114" s="321"/>
      <c r="AI114" s="321"/>
      <c r="AJ114" s="321"/>
      <c r="AK114" s="323"/>
    </row>
    <row r="115" s="157" customFormat="1" spans="1:37">
      <c r="A115" s="305">
        <v>44025</v>
      </c>
      <c r="B115" s="306" t="s">
        <v>192</v>
      </c>
      <c r="C115" s="314">
        <v>44166</v>
      </c>
      <c r="D115" s="312" t="s">
        <v>193</v>
      </c>
      <c r="E115" s="308"/>
      <c r="F115" s="309">
        <v>23634</v>
      </c>
      <c r="G115" s="310"/>
      <c r="H115" s="309">
        <v>16958.95</v>
      </c>
      <c r="I115" s="310"/>
      <c r="J115" s="310"/>
      <c r="K115" s="309">
        <f t="shared" si="18"/>
        <v>16958.95</v>
      </c>
      <c r="L115" s="254"/>
      <c r="M115" s="318">
        <v>471.091944444444</v>
      </c>
      <c r="N115" s="233"/>
      <c r="O115" s="233">
        <v>471.081944444444</v>
      </c>
      <c r="P115" s="233">
        <v>471.081944444444</v>
      </c>
      <c r="Q115" s="233">
        <v>471.081944444444</v>
      </c>
      <c r="R115" s="233">
        <v>471.081944444444</v>
      </c>
      <c r="S115" s="233">
        <v>471.081944444444</v>
      </c>
      <c r="T115" s="252">
        <v>471.081944444444</v>
      </c>
      <c r="U115" s="233"/>
      <c r="V115" s="233"/>
      <c r="W115" s="233"/>
      <c r="X115" s="233"/>
      <c r="Y115" s="233"/>
      <c r="Z115" s="233"/>
      <c r="AA115" s="233">
        <f t="shared" si="19"/>
        <v>3297.58361111111</v>
      </c>
      <c r="AB115" s="254"/>
      <c r="AC115" s="233">
        <f t="shared" si="22"/>
        <v>13661.3663888889</v>
      </c>
      <c r="AD115" s="254"/>
      <c r="AE115" s="233">
        <f t="shared" si="23"/>
        <v>471.081944444444</v>
      </c>
      <c r="AF115" s="320"/>
      <c r="AG115" s="322"/>
      <c r="AH115" s="321"/>
      <c r="AI115" s="321"/>
      <c r="AJ115" s="321"/>
      <c r="AK115" s="323"/>
    </row>
    <row r="116" s="157" customFormat="1" spans="1:37">
      <c r="A116" s="305">
        <v>44048</v>
      </c>
      <c r="B116" s="306" t="s">
        <v>194</v>
      </c>
      <c r="C116" s="314">
        <v>44166</v>
      </c>
      <c r="D116" s="312" t="s">
        <v>195</v>
      </c>
      <c r="E116" s="308"/>
      <c r="F116" s="309">
        <v>27573</v>
      </c>
      <c r="G116" s="310"/>
      <c r="H116" s="309">
        <v>20060.38</v>
      </c>
      <c r="I116" s="310"/>
      <c r="J116" s="310"/>
      <c r="K116" s="309">
        <f t="shared" si="18"/>
        <v>20060.38</v>
      </c>
      <c r="L116" s="254"/>
      <c r="M116" s="318">
        <v>557.252777777778</v>
      </c>
      <c r="N116" s="233"/>
      <c r="O116" s="233">
        <v>557.232777777778</v>
      </c>
      <c r="P116" s="233">
        <v>557.232777777778</v>
      </c>
      <c r="Q116" s="233">
        <v>557.232777777778</v>
      </c>
      <c r="R116" s="233">
        <v>557.232777777778</v>
      </c>
      <c r="S116" s="233">
        <v>557.232777777778</v>
      </c>
      <c r="T116" s="252">
        <v>557.232777777778</v>
      </c>
      <c r="U116" s="233"/>
      <c r="V116" s="233"/>
      <c r="W116" s="233"/>
      <c r="X116" s="233"/>
      <c r="Y116" s="233"/>
      <c r="Z116" s="233"/>
      <c r="AA116" s="233">
        <f t="shared" si="19"/>
        <v>3900.64944444444</v>
      </c>
      <c r="AB116" s="254"/>
      <c r="AC116" s="233">
        <f t="shared" si="22"/>
        <v>16159.7305555556</v>
      </c>
      <c r="AD116" s="254"/>
      <c r="AE116" s="233">
        <f t="shared" si="23"/>
        <v>557.232777777778</v>
      </c>
      <c r="AF116" s="320"/>
      <c r="AG116" s="322"/>
      <c r="AH116" s="321"/>
      <c r="AI116" s="321"/>
      <c r="AJ116" s="321"/>
      <c r="AK116" s="323"/>
    </row>
    <row r="117" s="157" customFormat="1" spans="1:37">
      <c r="A117" s="305">
        <v>44215</v>
      </c>
      <c r="B117" s="306" t="s">
        <v>196</v>
      </c>
      <c r="C117" s="314">
        <v>44166</v>
      </c>
      <c r="D117" s="304" t="s">
        <v>197</v>
      </c>
      <c r="E117" s="308"/>
      <c r="F117" s="309">
        <v>28886</v>
      </c>
      <c r="G117" s="310"/>
      <c r="H117" s="309">
        <v>0</v>
      </c>
      <c r="I117" s="310">
        <v>21848.57</v>
      </c>
      <c r="J117" s="310"/>
      <c r="K117" s="309">
        <f t="shared" si="18"/>
        <v>21848.57</v>
      </c>
      <c r="L117" s="254"/>
      <c r="M117" s="318">
        <v>0</v>
      </c>
      <c r="N117" s="233"/>
      <c r="O117" s="233">
        <f>606.9*2</f>
        <v>1213.8</v>
      </c>
      <c r="P117" s="233">
        <v>606.9</v>
      </c>
      <c r="Q117" s="233">
        <v>606.9</v>
      </c>
      <c r="R117" s="233">
        <v>606.9</v>
      </c>
      <c r="S117" s="233">
        <v>606.9</v>
      </c>
      <c r="T117" s="252">
        <v>606.9</v>
      </c>
      <c r="U117" s="233"/>
      <c r="V117" s="233"/>
      <c r="W117" s="233"/>
      <c r="X117" s="233"/>
      <c r="Y117" s="233"/>
      <c r="Z117" s="233"/>
      <c r="AA117" s="233">
        <f t="shared" si="19"/>
        <v>4248.3</v>
      </c>
      <c r="AB117" s="254"/>
      <c r="AC117" s="233">
        <f t="shared" si="22"/>
        <v>17600.27</v>
      </c>
      <c r="AD117" s="254"/>
      <c r="AE117" s="233">
        <f t="shared" si="23"/>
        <v>606.904722222222</v>
      </c>
      <c r="AF117" s="320"/>
      <c r="AG117" s="322"/>
      <c r="AH117" s="321"/>
      <c r="AI117" s="321"/>
      <c r="AJ117" s="321"/>
      <c r="AK117" s="323"/>
    </row>
    <row r="118" s="157" customFormat="1" spans="1:37">
      <c r="A118" s="305">
        <v>44245</v>
      </c>
      <c r="B118" s="317">
        <v>190000043932</v>
      </c>
      <c r="C118" s="314">
        <v>44166</v>
      </c>
      <c r="D118" s="312" t="s">
        <v>198</v>
      </c>
      <c r="E118" s="308"/>
      <c r="F118" s="309">
        <v>0</v>
      </c>
      <c r="G118" s="310"/>
      <c r="H118" s="309">
        <v>0</v>
      </c>
      <c r="I118" s="310">
        <v>23760</v>
      </c>
      <c r="J118" s="310"/>
      <c r="K118" s="309">
        <f t="shared" si="18"/>
        <v>23760</v>
      </c>
      <c r="L118" s="254"/>
      <c r="M118" s="318"/>
      <c r="N118" s="233"/>
      <c r="O118" s="233"/>
      <c r="P118" s="233">
        <f>660*3</f>
        <v>1980</v>
      </c>
      <c r="Q118" s="233">
        <v>660</v>
      </c>
      <c r="R118" s="233">
        <v>660</v>
      </c>
      <c r="S118" s="233">
        <v>660</v>
      </c>
      <c r="T118" s="252">
        <v>660</v>
      </c>
      <c r="U118" s="233"/>
      <c r="V118" s="233"/>
      <c r="W118" s="233"/>
      <c r="X118" s="233"/>
      <c r="Y118" s="233"/>
      <c r="Z118" s="233"/>
      <c r="AA118" s="233">
        <f t="shared" si="19"/>
        <v>4620</v>
      </c>
      <c r="AB118" s="254"/>
      <c r="AC118" s="233">
        <f t="shared" si="22"/>
        <v>19140</v>
      </c>
      <c r="AD118" s="254"/>
      <c r="AE118" s="233">
        <f t="shared" si="23"/>
        <v>660</v>
      </c>
      <c r="AF118" s="320"/>
      <c r="AG118" s="322"/>
      <c r="AH118" s="321"/>
      <c r="AI118" s="321"/>
      <c r="AJ118" s="321"/>
      <c r="AK118" s="323"/>
    </row>
    <row r="119" s="157" customFormat="1" spans="1:37">
      <c r="A119" s="305">
        <v>44270</v>
      </c>
      <c r="B119" s="317">
        <v>190000045219</v>
      </c>
      <c r="C119" s="314">
        <v>44166</v>
      </c>
      <c r="D119" s="312" t="s">
        <v>199</v>
      </c>
      <c r="E119" s="308"/>
      <c r="F119" s="309">
        <v>0</v>
      </c>
      <c r="G119" s="310"/>
      <c r="H119" s="309">
        <v>0</v>
      </c>
      <c r="I119" s="310">
        <v>23760</v>
      </c>
      <c r="J119" s="310"/>
      <c r="K119" s="309">
        <f t="shared" si="18"/>
        <v>23760</v>
      </c>
      <c r="L119" s="254"/>
      <c r="M119" s="318"/>
      <c r="N119" s="233"/>
      <c r="O119" s="233"/>
      <c r="P119" s="233"/>
      <c r="Q119" s="233">
        <f>660*4</f>
        <v>2640</v>
      </c>
      <c r="R119" s="233">
        <v>660</v>
      </c>
      <c r="S119" s="233">
        <v>660</v>
      </c>
      <c r="T119" s="252">
        <v>660</v>
      </c>
      <c r="U119" s="233"/>
      <c r="V119" s="233"/>
      <c r="W119" s="233"/>
      <c r="X119" s="233"/>
      <c r="Y119" s="233"/>
      <c r="Z119" s="233"/>
      <c r="AA119" s="233">
        <f t="shared" si="19"/>
        <v>4620</v>
      </c>
      <c r="AB119" s="254"/>
      <c r="AC119" s="233">
        <f t="shared" si="22"/>
        <v>19140</v>
      </c>
      <c r="AD119" s="254"/>
      <c r="AE119" s="233">
        <f t="shared" si="23"/>
        <v>660</v>
      </c>
      <c r="AF119" s="320"/>
      <c r="AG119" s="322"/>
      <c r="AH119" s="321"/>
      <c r="AI119" s="321"/>
      <c r="AJ119" s="321"/>
      <c r="AK119" s="323"/>
    </row>
    <row r="120" s="157" customFormat="1" spans="1:37">
      <c r="A120" s="305">
        <v>44264</v>
      </c>
      <c r="B120" s="317">
        <v>190000045040</v>
      </c>
      <c r="C120" s="314">
        <v>44166</v>
      </c>
      <c r="D120" s="312" t="s">
        <v>200</v>
      </c>
      <c r="E120" s="308"/>
      <c r="F120" s="309">
        <v>0</v>
      </c>
      <c r="G120" s="310"/>
      <c r="H120" s="309">
        <v>0</v>
      </c>
      <c r="I120" s="310">
        <v>21900</v>
      </c>
      <c r="J120" s="310"/>
      <c r="K120" s="309">
        <f t="shared" si="18"/>
        <v>21900</v>
      </c>
      <c r="L120" s="254"/>
      <c r="M120" s="318"/>
      <c r="N120" s="233"/>
      <c r="O120" s="233"/>
      <c r="P120" s="233"/>
      <c r="Q120" s="233"/>
      <c r="R120" s="233">
        <f>AE120*5</f>
        <v>3041.66666666667</v>
      </c>
      <c r="S120" s="233">
        <v>608.333333333333</v>
      </c>
      <c r="T120" s="252">
        <v>608.333333333333</v>
      </c>
      <c r="U120" s="233"/>
      <c r="V120" s="233"/>
      <c r="W120" s="233"/>
      <c r="X120" s="233"/>
      <c r="Y120" s="233"/>
      <c r="Z120" s="233"/>
      <c r="AA120" s="233">
        <f t="shared" si="19"/>
        <v>4258.33333333333</v>
      </c>
      <c r="AB120" s="254"/>
      <c r="AC120" s="233">
        <f t="shared" si="22"/>
        <v>17641.6666666667</v>
      </c>
      <c r="AD120" s="254"/>
      <c r="AE120" s="233">
        <f t="shared" si="23"/>
        <v>608.333333333333</v>
      </c>
      <c r="AF120" s="320"/>
      <c r="AG120" s="322"/>
      <c r="AH120" s="321"/>
      <c r="AI120" s="321"/>
      <c r="AJ120" s="321"/>
      <c r="AK120" s="323"/>
    </row>
    <row r="121" s="157" customFormat="1" spans="1:37">
      <c r="A121" s="305">
        <v>44021</v>
      </c>
      <c r="B121" s="317" t="s">
        <v>201</v>
      </c>
      <c r="C121" s="314" t="s">
        <v>202</v>
      </c>
      <c r="D121" s="312" t="s">
        <v>203</v>
      </c>
      <c r="E121" s="308"/>
      <c r="F121" s="309">
        <v>18507.9</v>
      </c>
      <c r="G121" s="310"/>
      <c r="H121" s="309">
        <v>0</v>
      </c>
      <c r="I121" s="310">
        <v>13280.64</v>
      </c>
      <c r="J121" s="310"/>
      <c r="K121" s="309">
        <v>13280.64</v>
      </c>
      <c r="L121" s="254"/>
      <c r="M121" s="318"/>
      <c r="N121" s="233"/>
      <c r="O121" s="233"/>
      <c r="P121" s="233"/>
      <c r="Q121" s="233"/>
      <c r="R121" s="233"/>
      <c r="S121" s="233">
        <f t="shared" ref="S121:S123" si="24">AE121</f>
        <v>368.906666666667</v>
      </c>
      <c r="T121" s="252">
        <v>368.906666666667</v>
      </c>
      <c r="U121" s="233"/>
      <c r="V121" s="233"/>
      <c r="W121" s="233"/>
      <c r="X121" s="233"/>
      <c r="Y121" s="233"/>
      <c r="Z121" s="233"/>
      <c r="AA121" s="233">
        <f t="shared" si="19"/>
        <v>737.813333333333</v>
      </c>
      <c r="AB121" s="254"/>
      <c r="AC121" s="233">
        <f t="shared" si="22"/>
        <v>12542.8266666667</v>
      </c>
      <c r="AD121" s="254"/>
      <c r="AE121" s="233">
        <f t="shared" si="23"/>
        <v>368.906666666667</v>
      </c>
      <c r="AF121" s="320"/>
      <c r="AG121" s="322"/>
      <c r="AH121" s="321"/>
      <c r="AI121" s="321"/>
      <c r="AJ121" s="321"/>
      <c r="AK121" s="323"/>
    </row>
    <row r="122" s="157" customFormat="1" spans="1:37">
      <c r="A122" s="305">
        <v>44056</v>
      </c>
      <c r="B122" s="317" t="s">
        <v>204</v>
      </c>
      <c r="C122" s="314" t="s">
        <v>202</v>
      </c>
      <c r="D122" s="312" t="s">
        <v>205</v>
      </c>
      <c r="E122" s="308"/>
      <c r="F122" s="309">
        <v>18023.4</v>
      </c>
      <c r="G122" s="310"/>
      <c r="H122" s="309">
        <v>0</v>
      </c>
      <c r="I122" s="310">
        <v>13112.7</v>
      </c>
      <c r="J122" s="310"/>
      <c r="K122" s="309">
        <v>13112.7</v>
      </c>
      <c r="L122" s="254"/>
      <c r="M122" s="318"/>
      <c r="N122" s="233"/>
      <c r="O122" s="233"/>
      <c r="P122" s="233"/>
      <c r="Q122" s="233"/>
      <c r="R122" s="233"/>
      <c r="S122" s="233">
        <f t="shared" si="24"/>
        <v>364.241666666667</v>
      </c>
      <c r="T122" s="252">
        <v>364.241666666667</v>
      </c>
      <c r="U122" s="233"/>
      <c r="V122" s="233"/>
      <c r="W122" s="233"/>
      <c r="X122" s="233"/>
      <c r="Y122" s="233"/>
      <c r="Z122" s="233"/>
      <c r="AA122" s="233">
        <f t="shared" si="19"/>
        <v>728.483333333333</v>
      </c>
      <c r="AB122" s="254"/>
      <c r="AC122" s="233">
        <f t="shared" si="22"/>
        <v>12384.2166666667</v>
      </c>
      <c r="AD122" s="254"/>
      <c r="AE122" s="233">
        <f t="shared" si="23"/>
        <v>364.241666666667</v>
      </c>
      <c r="AF122" s="320"/>
      <c r="AG122" s="322"/>
      <c r="AH122" s="321"/>
      <c r="AI122" s="321"/>
      <c r="AJ122" s="321"/>
      <c r="AK122" s="323"/>
    </row>
    <row r="123" s="157" customFormat="1" spans="1:37">
      <c r="A123" s="305">
        <v>44085</v>
      </c>
      <c r="B123" s="317" t="s">
        <v>206</v>
      </c>
      <c r="C123" s="314" t="s">
        <v>202</v>
      </c>
      <c r="D123" s="312" t="s">
        <v>207</v>
      </c>
      <c r="E123" s="308"/>
      <c r="F123" s="309">
        <v>18023.4</v>
      </c>
      <c r="G123" s="310"/>
      <c r="H123" s="309">
        <v>0</v>
      </c>
      <c r="I123" s="319">
        <v>13249.58</v>
      </c>
      <c r="J123" s="310"/>
      <c r="K123" s="309">
        <v>13249.58</v>
      </c>
      <c r="L123" s="254"/>
      <c r="M123" s="318"/>
      <c r="N123" s="233"/>
      <c r="O123" s="233"/>
      <c r="P123" s="233"/>
      <c r="Q123" s="233"/>
      <c r="R123" s="233"/>
      <c r="S123" s="233">
        <f t="shared" si="24"/>
        <v>368.043888888889</v>
      </c>
      <c r="T123" s="252">
        <v>368.043888888889</v>
      </c>
      <c r="U123" s="233"/>
      <c r="V123" s="233"/>
      <c r="W123" s="233"/>
      <c r="X123" s="233"/>
      <c r="Y123" s="233"/>
      <c r="Z123" s="233"/>
      <c r="AA123" s="233">
        <f t="shared" si="19"/>
        <v>736.087777777778</v>
      </c>
      <c r="AB123" s="254"/>
      <c r="AC123" s="233">
        <f t="shared" si="22"/>
        <v>12513.4922222222</v>
      </c>
      <c r="AD123" s="254"/>
      <c r="AE123" s="233">
        <f t="shared" si="23"/>
        <v>368.043888888889</v>
      </c>
      <c r="AF123" s="320"/>
      <c r="AG123" s="322"/>
      <c r="AH123" s="321"/>
      <c r="AI123" s="321"/>
      <c r="AJ123" s="321"/>
      <c r="AK123" s="323"/>
    </row>
    <row r="124" s="157" customFormat="1" spans="1:37">
      <c r="A124" s="305">
        <v>44118</v>
      </c>
      <c r="B124" s="317" t="s">
        <v>208</v>
      </c>
      <c r="C124" s="314" t="s">
        <v>202</v>
      </c>
      <c r="D124" s="312" t="s">
        <v>209</v>
      </c>
      <c r="E124" s="308"/>
      <c r="F124" s="309">
        <v>18178.44</v>
      </c>
      <c r="G124" s="310"/>
      <c r="H124" s="309">
        <v>0</v>
      </c>
      <c r="I124" s="319">
        <v>13313.64</v>
      </c>
      <c r="J124" s="310"/>
      <c r="K124" s="309">
        <v>13313.64</v>
      </c>
      <c r="L124" s="254"/>
      <c r="M124" s="318"/>
      <c r="N124" s="233"/>
      <c r="O124" s="233"/>
      <c r="P124" s="233"/>
      <c r="Q124" s="233"/>
      <c r="R124" s="233"/>
      <c r="S124" s="233">
        <f t="shared" ref="S124:S128" si="25">AE124</f>
        <v>369.823333333333</v>
      </c>
      <c r="T124" s="252">
        <v>369.823333333333</v>
      </c>
      <c r="U124" s="233"/>
      <c r="V124" s="233"/>
      <c r="W124" s="233"/>
      <c r="X124" s="233"/>
      <c r="Y124" s="233"/>
      <c r="Z124" s="233"/>
      <c r="AA124" s="233">
        <f t="shared" si="19"/>
        <v>739.646666666667</v>
      </c>
      <c r="AB124" s="254"/>
      <c r="AC124" s="233">
        <f t="shared" si="22"/>
        <v>12573.9933333333</v>
      </c>
      <c r="AD124" s="254"/>
      <c r="AE124" s="233">
        <f t="shared" si="23"/>
        <v>369.823333333333</v>
      </c>
      <c r="AF124" s="320"/>
      <c r="AG124" s="322"/>
      <c r="AH124" s="321"/>
      <c r="AI124" s="321"/>
      <c r="AJ124" s="321"/>
      <c r="AK124" s="323"/>
    </row>
    <row r="125" s="157" customFormat="1" spans="1:37">
      <c r="A125" s="305">
        <v>44146</v>
      </c>
      <c r="B125" s="317" t="s">
        <v>210</v>
      </c>
      <c r="C125" s="314" t="s">
        <v>202</v>
      </c>
      <c r="D125" s="312" t="s">
        <v>211</v>
      </c>
      <c r="E125" s="308"/>
      <c r="F125" s="309">
        <v>20930.4</v>
      </c>
      <c r="G125" s="310"/>
      <c r="H125" s="309">
        <v>0</v>
      </c>
      <c r="I125" s="319">
        <v>15317.92</v>
      </c>
      <c r="J125" s="310"/>
      <c r="K125" s="309">
        <v>15317.92</v>
      </c>
      <c r="L125" s="254"/>
      <c r="M125" s="318"/>
      <c r="N125" s="233"/>
      <c r="O125" s="233"/>
      <c r="P125" s="233"/>
      <c r="Q125" s="233"/>
      <c r="R125" s="233"/>
      <c r="S125" s="233">
        <f t="shared" si="25"/>
        <v>425.497777777778</v>
      </c>
      <c r="T125" s="252">
        <v>425.497777777778</v>
      </c>
      <c r="U125" s="233"/>
      <c r="V125" s="233"/>
      <c r="W125" s="233"/>
      <c r="X125" s="233"/>
      <c r="Y125" s="233"/>
      <c r="Z125" s="233"/>
      <c r="AA125" s="233">
        <f t="shared" si="19"/>
        <v>850.995555555556</v>
      </c>
      <c r="AB125" s="254"/>
      <c r="AC125" s="233">
        <f t="shared" si="22"/>
        <v>14466.9244444444</v>
      </c>
      <c r="AD125" s="254"/>
      <c r="AE125" s="233">
        <f t="shared" si="23"/>
        <v>425.497777777778</v>
      </c>
      <c r="AF125" s="320"/>
      <c r="AG125" s="322"/>
      <c r="AH125" s="321"/>
      <c r="AI125" s="321"/>
      <c r="AJ125" s="321"/>
      <c r="AK125" s="323"/>
    </row>
    <row r="126" s="157" customFormat="1" spans="1:37">
      <c r="A126" s="305">
        <v>44176</v>
      </c>
      <c r="B126" s="317" t="s">
        <v>212</v>
      </c>
      <c r="C126" s="314" t="s">
        <v>202</v>
      </c>
      <c r="D126" s="312" t="s">
        <v>213</v>
      </c>
      <c r="E126" s="308"/>
      <c r="F126" s="309">
        <v>18798.6</v>
      </c>
      <c r="G126" s="310"/>
      <c r="H126" s="309">
        <v>0</v>
      </c>
      <c r="I126" s="319">
        <v>14012.08</v>
      </c>
      <c r="J126" s="310"/>
      <c r="K126" s="309">
        <v>14012.08</v>
      </c>
      <c r="L126" s="254"/>
      <c r="M126" s="318"/>
      <c r="N126" s="233"/>
      <c r="O126" s="233"/>
      <c r="P126" s="233"/>
      <c r="Q126" s="233"/>
      <c r="R126" s="233"/>
      <c r="S126" s="233">
        <f t="shared" si="25"/>
        <v>389.224444444444</v>
      </c>
      <c r="T126" s="252">
        <v>389.224444444444</v>
      </c>
      <c r="U126" s="233"/>
      <c r="V126" s="233"/>
      <c r="W126" s="233"/>
      <c r="X126" s="233"/>
      <c r="Y126" s="233"/>
      <c r="Z126" s="233"/>
      <c r="AA126" s="233">
        <f t="shared" si="19"/>
        <v>778.448888888889</v>
      </c>
      <c r="AB126" s="254"/>
      <c r="AC126" s="233">
        <f t="shared" si="22"/>
        <v>13233.6311111111</v>
      </c>
      <c r="AD126" s="254"/>
      <c r="AE126" s="233">
        <f t="shared" si="23"/>
        <v>389.224444444444</v>
      </c>
      <c r="AF126" s="320"/>
      <c r="AG126" s="322"/>
      <c r="AH126" s="321"/>
      <c r="AI126" s="321"/>
      <c r="AJ126" s="321"/>
      <c r="AK126" s="323"/>
    </row>
    <row r="127" s="157" customFormat="1" spans="1:37">
      <c r="A127" s="305">
        <v>44200</v>
      </c>
      <c r="B127" s="317" t="s">
        <v>214</v>
      </c>
      <c r="C127" s="314" t="s">
        <v>202</v>
      </c>
      <c r="D127" s="312" t="s">
        <v>215</v>
      </c>
      <c r="E127" s="308"/>
      <c r="F127" s="309">
        <v>17442</v>
      </c>
      <c r="G127" s="310"/>
      <c r="H127" s="309">
        <v>0</v>
      </c>
      <c r="I127" s="319">
        <v>13192.65</v>
      </c>
      <c r="J127" s="310"/>
      <c r="K127" s="309">
        <v>13192.65</v>
      </c>
      <c r="L127" s="254"/>
      <c r="M127" s="318"/>
      <c r="N127" s="233"/>
      <c r="O127" s="233"/>
      <c r="P127" s="233"/>
      <c r="Q127" s="233"/>
      <c r="R127" s="233"/>
      <c r="S127" s="233">
        <f t="shared" si="25"/>
        <v>366.4625</v>
      </c>
      <c r="T127" s="252">
        <v>366.4625</v>
      </c>
      <c r="U127" s="233"/>
      <c r="V127" s="233"/>
      <c r="W127" s="233"/>
      <c r="X127" s="233"/>
      <c r="Y127" s="233"/>
      <c r="Z127" s="233"/>
      <c r="AA127" s="233">
        <f t="shared" si="19"/>
        <v>732.925</v>
      </c>
      <c r="AB127" s="254"/>
      <c r="AC127" s="233">
        <f t="shared" si="22"/>
        <v>12459.725</v>
      </c>
      <c r="AD127" s="254"/>
      <c r="AE127" s="233">
        <f t="shared" si="23"/>
        <v>366.4625</v>
      </c>
      <c r="AF127" s="320"/>
      <c r="AG127" s="322"/>
      <c r="AH127" s="321"/>
      <c r="AI127" s="321"/>
      <c r="AJ127" s="321"/>
      <c r="AK127" s="323"/>
    </row>
    <row r="128" s="157" customFormat="1" spans="1:37">
      <c r="A128" s="305">
        <v>44248</v>
      </c>
      <c r="B128" s="317">
        <v>190000043988</v>
      </c>
      <c r="C128" s="314"/>
      <c r="D128" s="312" t="s">
        <v>216</v>
      </c>
      <c r="E128" s="308"/>
      <c r="F128" s="309">
        <v>0</v>
      </c>
      <c r="G128" s="310"/>
      <c r="H128" s="309">
        <v>0</v>
      </c>
      <c r="I128" s="319">
        <v>37347.35</v>
      </c>
      <c r="J128" s="310"/>
      <c r="K128" s="309">
        <v>37347.35</v>
      </c>
      <c r="L128" s="254"/>
      <c r="M128" s="318"/>
      <c r="N128" s="233"/>
      <c r="O128" s="233"/>
      <c r="P128" s="233"/>
      <c r="Q128" s="233"/>
      <c r="R128" s="233"/>
      <c r="S128" s="233">
        <f t="shared" si="25"/>
        <v>1037.42638888889</v>
      </c>
      <c r="T128" s="252">
        <v>1037.42638888889</v>
      </c>
      <c r="U128" s="233"/>
      <c r="V128" s="233"/>
      <c r="W128" s="233"/>
      <c r="X128" s="233"/>
      <c r="Y128" s="233"/>
      <c r="Z128" s="233"/>
      <c r="AA128" s="233">
        <f t="shared" si="19"/>
        <v>2074.85277777778</v>
      </c>
      <c r="AB128" s="254"/>
      <c r="AC128" s="233">
        <f t="shared" si="22"/>
        <v>35272.4972222222</v>
      </c>
      <c r="AD128" s="254"/>
      <c r="AE128" s="233">
        <f t="shared" si="23"/>
        <v>1037.42638888889</v>
      </c>
      <c r="AF128" s="320"/>
      <c r="AG128" s="322"/>
      <c r="AH128" s="321"/>
      <c r="AI128" s="321"/>
      <c r="AJ128" s="321"/>
      <c r="AK128" s="323"/>
    </row>
    <row r="129" s="157" customFormat="1" spans="1:37">
      <c r="A129" s="305"/>
      <c r="B129" s="317"/>
      <c r="C129" s="314"/>
      <c r="D129" s="312"/>
      <c r="E129" s="308"/>
      <c r="F129" s="309"/>
      <c r="G129" s="310"/>
      <c r="H129" s="309"/>
      <c r="I129" s="310"/>
      <c r="J129" s="310"/>
      <c r="K129" s="309"/>
      <c r="L129" s="254"/>
      <c r="M129" s="318"/>
      <c r="N129" s="233"/>
      <c r="O129" s="233"/>
      <c r="P129" s="233"/>
      <c r="Q129" s="233"/>
      <c r="R129" s="233"/>
      <c r="S129" s="233"/>
      <c r="T129" s="252"/>
      <c r="U129" s="233"/>
      <c r="V129" s="233"/>
      <c r="W129" s="233"/>
      <c r="X129" s="233"/>
      <c r="Y129" s="233"/>
      <c r="Z129" s="233"/>
      <c r="AA129" s="233"/>
      <c r="AB129" s="254"/>
      <c r="AC129" s="233"/>
      <c r="AD129" s="254"/>
      <c r="AE129" s="233"/>
      <c r="AF129" s="320"/>
      <c r="AG129" s="322"/>
      <c r="AH129" s="321"/>
      <c r="AI129" s="321"/>
      <c r="AJ129" s="321"/>
      <c r="AK129" s="323"/>
    </row>
    <row r="130" s="157" customFormat="1" spans="1:37">
      <c r="A130" s="305"/>
      <c r="B130" s="306"/>
      <c r="C130" s="314"/>
      <c r="D130" s="312"/>
      <c r="E130" s="308"/>
      <c r="F130" s="325"/>
      <c r="G130" s="310"/>
      <c r="H130" s="325"/>
      <c r="I130" s="310"/>
      <c r="J130" s="310"/>
      <c r="K130" s="325"/>
      <c r="L130" s="254"/>
      <c r="M130" s="318"/>
      <c r="N130" s="233"/>
      <c r="O130" s="233"/>
      <c r="P130" s="233"/>
      <c r="Q130" s="233"/>
      <c r="R130" s="233"/>
      <c r="S130" s="233"/>
      <c r="T130" s="252"/>
      <c r="U130" s="233"/>
      <c r="V130" s="233"/>
      <c r="W130" s="233"/>
      <c r="X130" s="233"/>
      <c r="Y130" s="233"/>
      <c r="Z130" s="233"/>
      <c r="AA130" s="233"/>
      <c r="AB130" s="254"/>
      <c r="AC130" s="233"/>
      <c r="AD130" s="254"/>
      <c r="AE130" s="233"/>
      <c r="AF130" s="320"/>
      <c r="AG130" s="322"/>
      <c r="AH130" s="321"/>
      <c r="AI130" s="321"/>
      <c r="AJ130" s="321"/>
      <c r="AK130" s="323"/>
    </row>
    <row r="131" ht="11.25" spans="1:37">
      <c r="A131" s="190"/>
      <c r="B131" s="326"/>
      <c r="C131" s="327"/>
      <c r="D131" s="328" t="s">
        <v>217</v>
      </c>
      <c r="E131" s="207"/>
      <c r="F131" s="208">
        <f>SUM(F63:F128)</f>
        <v>1280685.77</v>
      </c>
      <c r="G131" s="202"/>
      <c r="H131" s="208">
        <f>SUM(H63:H128)</f>
        <v>1853030.18848101</v>
      </c>
      <c r="I131" s="208">
        <f>SUM(I63:J130)</f>
        <v>224095.13</v>
      </c>
      <c r="J131" s="208">
        <f>SUM(J63:J112)</f>
        <v>0</v>
      </c>
      <c r="K131" s="208">
        <f>SUM(K63:K128)</f>
        <v>2077125.31848101</v>
      </c>
      <c r="L131" s="208"/>
      <c r="M131" s="208">
        <f>SUM(M63:M118)</f>
        <v>420005.141388889</v>
      </c>
      <c r="N131" s="208">
        <f>SUM(N63:N112)</f>
        <v>0</v>
      </c>
      <c r="O131" s="235">
        <f>SUM(O63:O117)</f>
        <v>50874.9536111111</v>
      </c>
      <c r="P131" s="235">
        <f>SUM(P63:P118)</f>
        <v>52248.0536111111</v>
      </c>
      <c r="Q131" s="235">
        <f>SUM(Q63:Q119)</f>
        <v>53568.0536111111</v>
      </c>
      <c r="R131" s="235">
        <f>SUM(R63:R120)</f>
        <v>54629.7202777778</v>
      </c>
      <c r="S131" s="193">
        <f>SUM(S63:S128)</f>
        <v>55886.0136111111</v>
      </c>
      <c r="T131" s="253">
        <f>SUM(T63:T128)</f>
        <v>55886.0136111111</v>
      </c>
      <c r="U131" s="235">
        <f t="shared" ref="U131:Z131" si="26">SUM(U63:U117)</f>
        <v>0</v>
      </c>
      <c r="V131" s="235">
        <f t="shared" si="26"/>
        <v>0</v>
      </c>
      <c r="W131" s="235">
        <f t="shared" si="26"/>
        <v>0</v>
      </c>
      <c r="X131" s="235">
        <f t="shared" si="26"/>
        <v>0</v>
      </c>
      <c r="Y131" s="235">
        <f t="shared" si="26"/>
        <v>0</v>
      </c>
      <c r="Z131" s="235">
        <f t="shared" si="26"/>
        <v>0</v>
      </c>
      <c r="AA131" s="208">
        <f>SUM(AA63:AA129)</f>
        <v>743097.949722222</v>
      </c>
      <c r="AB131" s="208">
        <f>SUM(AB63:AB117)</f>
        <v>0</v>
      </c>
      <c r="AC131" s="208">
        <f>SUM(AC63:AC129)</f>
        <v>1334027.37027778</v>
      </c>
      <c r="AD131" s="208">
        <f>SUM(AD63:AD117)</f>
        <v>0</v>
      </c>
      <c r="AE131" s="208">
        <f>SUM(AE63:AE129)</f>
        <v>17088.3116666667</v>
      </c>
      <c r="AF131" s="297">
        <v>310606.46</v>
      </c>
      <c r="AG131" s="281"/>
      <c r="AH131" s="282"/>
      <c r="AI131" s="282"/>
      <c r="AJ131" s="282"/>
      <c r="AK131" s="297">
        <f>SUM(AK63:AK112)</f>
        <v>0</v>
      </c>
    </row>
    <row r="132" ht="11.25" spans="1:37">
      <c r="A132" s="195"/>
      <c r="B132" s="195"/>
      <c r="C132" s="195"/>
      <c r="D132" s="177"/>
      <c r="E132" s="168"/>
      <c r="F132" s="197"/>
      <c r="G132" s="238"/>
      <c r="H132" s="197"/>
      <c r="I132" s="197">
        <f>SUM(H131:I131)-K131</f>
        <v>0</v>
      </c>
      <c r="J132" s="197"/>
      <c r="K132" s="384">
        <f>K131-[25]FA_Oracle_Jun21!J189</f>
        <v>-0.00151898781768978</v>
      </c>
      <c r="L132" s="197"/>
      <c r="M132" s="197"/>
      <c r="N132" s="197"/>
      <c r="O132" s="232"/>
      <c r="P132" s="232"/>
      <c r="Q132" s="232"/>
      <c r="R132" s="232"/>
      <c r="S132" s="232"/>
      <c r="T132" s="254"/>
      <c r="U132" s="254"/>
      <c r="V132" s="254"/>
      <c r="W132" s="232"/>
      <c r="X132" s="232"/>
      <c r="Y132" s="232"/>
      <c r="Z132" s="232"/>
      <c r="AA132" s="197">
        <f>AA131-[25]FA_Oracle_Jun21!N189</f>
        <v>0.0497222224948928</v>
      </c>
      <c r="AB132" s="197"/>
      <c r="AC132" s="197">
        <f>AC131-[25]FA_Oracle_Jun21!O189</f>
        <v>-0.0497222223784775</v>
      </c>
      <c r="AD132" s="197"/>
      <c r="AE132" s="197"/>
      <c r="AF132" s="270"/>
      <c r="AG132" s="281"/>
      <c r="AH132" s="282"/>
      <c r="AI132" s="282"/>
      <c r="AJ132" s="282"/>
      <c r="AK132" s="287"/>
    </row>
    <row r="133" spans="1:37">
      <c r="A133" s="195"/>
      <c r="B133" s="195"/>
      <c r="C133" s="195"/>
      <c r="D133" s="177"/>
      <c r="E133" s="168"/>
      <c r="F133" s="197"/>
      <c r="G133" s="329"/>
      <c r="H133" s="197"/>
      <c r="I133" s="197"/>
      <c r="J133" s="197"/>
      <c r="K133" s="197"/>
      <c r="L133" s="197"/>
      <c r="M133" s="197"/>
      <c r="N133" s="197"/>
      <c r="O133" s="232"/>
      <c r="P133" s="232"/>
      <c r="Q133" s="232"/>
      <c r="R133" s="232"/>
      <c r="S133" s="232"/>
      <c r="T133" s="254"/>
      <c r="U133" s="254"/>
      <c r="V133" s="254"/>
      <c r="W133" s="232"/>
      <c r="X133" s="232"/>
      <c r="Y133" s="232"/>
      <c r="Z133" s="232"/>
      <c r="AA133" s="197"/>
      <c r="AB133" s="197"/>
      <c r="AC133" s="197"/>
      <c r="AD133" s="197"/>
      <c r="AE133" s="197"/>
      <c r="AF133" s="270"/>
      <c r="AG133" s="281"/>
      <c r="AH133" s="282"/>
      <c r="AI133" s="282"/>
      <c r="AJ133" s="282"/>
      <c r="AK133" s="287"/>
    </row>
    <row r="134" ht="11.25" spans="1:37">
      <c r="A134" s="195"/>
      <c r="B134" s="195"/>
      <c r="C134" s="195"/>
      <c r="D134" s="177"/>
      <c r="E134" s="168"/>
      <c r="F134" s="197"/>
      <c r="G134" s="329"/>
      <c r="H134" s="197"/>
      <c r="I134" s="197"/>
      <c r="J134" s="197"/>
      <c r="K134" s="197"/>
      <c r="L134" s="197"/>
      <c r="M134" s="197"/>
      <c r="N134" s="197"/>
      <c r="O134" s="232"/>
      <c r="P134" s="232"/>
      <c r="Q134" s="232"/>
      <c r="R134" s="232"/>
      <c r="S134" s="232"/>
      <c r="T134" s="254"/>
      <c r="U134" s="254"/>
      <c r="V134" s="254"/>
      <c r="W134" s="232"/>
      <c r="X134" s="232"/>
      <c r="Y134" s="232"/>
      <c r="Z134" s="232"/>
      <c r="AA134" s="197"/>
      <c r="AB134" s="197"/>
      <c r="AC134" s="197"/>
      <c r="AD134" s="197"/>
      <c r="AE134" s="197"/>
      <c r="AF134" s="270"/>
      <c r="AG134" s="281"/>
      <c r="AH134" s="282"/>
      <c r="AI134" s="282"/>
      <c r="AJ134" s="282"/>
      <c r="AK134" s="287"/>
    </row>
    <row r="135" ht="11.25" spans="4:37">
      <c r="D135" s="330" t="s">
        <v>218</v>
      </c>
      <c r="E135" s="16"/>
      <c r="F135" s="331">
        <f>+F22+F60+F131</f>
        <v>2824753.03</v>
      </c>
      <c r="G135" s="329"/>
      <c r="H135" s="331">
        <f>+H22+H60+H131</f>
        <v>2584508.6140897</v>
      </c>
      <c r="I135" s="385">
        <f>+I22+I60+I131</f>
        <v>224095.13</v>
      </c>
      <c r="J135" s="331">
        <f>+J22+J60+J131</f>
        <v>0</v>
      </c>
      <c r="K135" s="331">
        <f>+K22+K60+K131</f>
        <v>2808603.7440897</v>
      </c>
      <c r="L135" s="238"/>
      <c r="M135" s="331">
        <f t="shared" ref="M135:AA135" si="27">+M22+M60+M131</f>
        <v>653727.441388889</v>
      </c>
      <c r="N135" s="331">
        <f t="shared" si="27"/>
        <v>0</v>
      </c>
      <c r="O135" s="193">
        <f t="shared" si="27"/>
        <v>71048.6036111111</v>
      </c>
      <c r="P135" s="193">
        <f t="shared" si="27"/>
        <v>72421.7036111111</v>
      </c>
      <c r="Q135" s="193">
        <f t="shared" si="27"/>
        <v>73741.7036111111</v>
      </c>
      <c r="R135" s="193">
        <f t="shared" si="27"/>
        <v>74803.3702777778</v>
      </c>
      <c r="S135" s="193">
        <f t="shared" si="27"/>
        <v>76059.6636111111</v>
      </c>
      <c r="T135" s="235">
        <f t="shared" si="27"/>
        <v>76059.6636111111</v>
      </c>
      <c r="U135" s="235">
        <f t="shared" si="27"/>
        <v>0</v>
      </c>
      <c r="V135" s="235">
        <f t="shared" si="27"/>
        <v>0</v>
      </c>
      <c r="W135" s="193">
        <f t="shared" si="27"/>
        <v>0</v>
      </c>
      <c r="X135" s="193">
        <f t="shared" si="27"/>
        <v>0</v>
      </c>
      <c r="Y135" s="193">
        <f t="shared" si="27"/>
        <v>0</v>
      </c>
      <c r="Z135" s="193">
        <f t="shared" si="27"/>
        <v>0</v>
      </c>
      <c r="AA135" s="331">
        <f t="shared" si="27"/>
        <v>1097862.14972222</v>
      </c>
      <c r="AB135" s="238"/>
      <c r="AC135" s="403">
        <f>+AC22+AC60+AC131</f>
        <v>1710741.59588646</v>
      </c>
      <c r="AD135" s="238"/>
      <c r="AE135" s="331">
        <f>+AE22+AE60+AE131</f>
        <v>38804.7316666667</v>
      </c>
      <c r="AF135" s="404">
        <v>559568.72</v>
      </c>
      <c r="AG135" s="413">
        <f>SUM(AG8:AG134)</f>
        <v>-65367.6</v>
      </c>
      <c r="AH135" s="282"/>
      <c r="AI135" s="282"/>
      <c r="AJ135" s="282"/>
      <c r="AK135" s="404">
        <f>+AK22+AK60+AK131</f>
        <v>539</v>
      </c>
    </row>
    <row r="136" ht="11.25" spans="4:36">
      <c r="D136" s="330"/>
      <c r="E136" s="16"/>
      <c r="F136" s="238"/>
      <c r="G136" s="329"/>
      <c r="H136" s="238"/>
      <c r="I136" s="238"/>
      <c r="J136" s="238"/>
      <c r="K136" s="238">
        <f>K135-[25]FA_Oracle_Jun21!J196</f>
        <v>-0.00591030111536384</v>
      </c>
      <c r="L136" s="238"/>
      <c r="M136" s="238"/>
      <c r="N136" s="238"/>
      <c r="O136" s="238"/>
      <c r="P136" s="238"/>
      <c r="Q136" s="238"/>
      <c r="R136" s="238"/>
      <c r="S136" s="238"/>
      <c r="T136" s="234"/>
      <c r="U136" s="234"/>
      <c r="V136" s="238"/>
      <c r="W136" s="238"/>
      <c r="X136" s="238"/>
      <c r="Y136" s="238"/>
      <c r="Z136" s="238"/>
      <c r="AA136" s="238"/>
      <c r="AB136" s="238"/>
      <c r="AC136" s="405">
        <f>AC135-[25]FA_Oracle_Jun21!O196</f>
        <v>-0.0341135354246944</v>
      </c>
      <c r="AD136" s="238"/>
      <c r="AE136" s="238"/>
      <c r="AF136" s="406"/>
      <c r="AG136" s="414"/>
      <c r="AH136" s="282"/>
      <c r="AI136" s="282"/>
      <c r="AJ136" s="282"/>
    </row>
    <row r="137" spans="4:36">
      <c r="D137" s="330"/>
      <c r="E137" s="16"/>
      <c r="F137" s="238"/>
      <c r="G137" s="329"/>
      <c r="H137" s="238"/>
      <c r="I137" s="238"/>
      <c r="J137" s="238"/>
      <c r="K137" s="238"/>
      <c r="L137" s="238"/>
      <c r="M137" s="238"/>
      <c r="N137" s="238"/>
      <c r="O137" s="238"/>
      <c r="P137" s="238"/>
      <c r="Q137" s="238"/>
      <c r="R137" s="238"/>
      <c r="S137" s="238"/>
      <c r="T137" s="238"/>
      <c r="U137" s="238"/>
      <c r="V137" s="238"/>
      <c r="W137" s="238"/>
      <c r="X137" s="238"/>
      <c r="Y137" s="238"/>
      <c r="Z137" s="234"/>
      <c r="AA137" s="238"/>
      <c r="AB137" s="238"/>
      <c r="AC137" s="238"/>
      <c r="AD137" s="238"/>
      <c r="AE137" s="238"/>
      <c r="AF137" s="406"/>
      <c r="AG137" s="414"/>
      <c r="AH137" s="282"/>
      <c r="AI137" s="282"/>
      <c r="AJ137" s="282"/>
    </row>
    <row r="138" spans="6:31">
      <c r="F138" s="332"/>
      <c r="G138" s="332"/>
      <c r="H138" s="332"/>
      <c r="I138" s="332"/>
      <c r="J138" s="332"/>
      <c r="K138" s="332"/>
      <c r="L138" s="332"/>
      <c r="M138" s="332"/>
      <c r="N138" s="332"/>
      <c r="O138" s="332"/>
      <c r="P138" s="332"/>
      <c r="Q138" s="332"/>
      <c r="R138" s="332"/>
      <c r="S138" s="332"/>
      <c r="T138" s="332"/>
      <c r="U138" s="332"/>
      <c r="V138" s="332"/>
      <c r="W138" s="332"/>
      <c r="X138" s="332"/>
      <c r="Y138" s="332"/>
      <c r="Z138" s="407"/>
      <c r="AA138" s="332"/>
      <c r="AB138" s="332"/>
      <c r="AC138" s="332"/>
      <c r="AD138" s="332"/>
      <c r="AE138" s="332"/>
    </row>
    <row r="141" spans="1:27">
      <c r="A141" s="333" t="s">
        <v>219</v>
      </c>
      <c r="B141" s="334"/>
      <c r="C141" s="334"/>
      <c r="D141" s="335"/>
      <c r="E141" s="168"/>
      <c r="F141" s="336" t="s">
        <v>220</v>
      </c>
      <c r="G141" s="337"/>
      <c r="H141" s="338" t="s">
        <v>68</v>
      </c>
      <c r="I141" s="386"/>
      <c r="J141" s="386"/>
      <c r="K141" s="387"/>
      <c r="L141" s="388"/>
      <c r="M141" s="338" t="s">
        <v>221</v>
      </c>
      <c r="N141" s="386"/>
      <c r="O141" s="386"/>
      <c r="P141" s="386"/>
      <c r="Q141" s="386"/>
      <c r="R141" s="386"/>
      <c r="S141" s="386"/>
      <c r="T141" s="386"/>
      <c r="U141" s="386"/>
      <c r="V141" s="386"/>
      <c r="W141" s="386"/>
      <c r="X141" s="386"/>
      <c r="Y141" s="386"/>
      <c r="Z141" s="386"/>
      <c r="AA141" s="387"/>
    </row>
    <row r="142" spans="1:27">
      <c r="A142" s="339" t="s">
        <v>75</v>
      </c>
      <c r="B142" s="339"/>
      <c r="C142" s="339" t="s">
        <v>76</v>
      </c>
      <c r="D142" s="340"/>
      <c r="E142" s="341"/>
      <c r="F142" s="336" t="s">
        <v>81</v>
      </c>
      <c r="G142" s="342"/>
      <c r="H142" s="336" t="s">
        <v>222</v>
      </c>
      <c r="I142" s="336" t="s">
        <v>223</v>
      </c>
      <c r="J142" s="336"/>
      <c r="K142" s="336" t="s">
        <v>224</v>
      </c>
      <c r="L142" s="337"/>
      <c r="M142" s="336" t="s">
        <v>77</v>
      </c>
      <c r="N142" s="336" t="s">
        <v>78</v>
      </c>
      <c r="O142" s="225">
        <f>O5</f>
        <v>44197</v>
      </c>
      <c r="P142" s="225">
        <f t="shared" ref="P142:Z142" si="28">P5</f>
        <v>44228</v>
      </c>
      <c r="Q142" s="398">
        <f t="shared" si="28"/>
        <v>80780</v>
      </c>
      <c r="R142" s="225">
        <f t="shared" si="28"/>
        <v>80811</v>
      </c>
      <c r="S142" s="225">
        <f t="shared" si="28"/>
        <v>80841</v>
      </c>
      <c r="T142" s="225">
        <f t="shared" si="28"/>
        <v>80872</v>
      </c>
      <c r="U142" s="225">
        <f t="shared" si="28"/>
        <v>80902</v>
      </c>
      <c r="V142" s="225">
        <f t="shared" si="28"/>
        <v>80933</v>
      </c>
      <c r="W142" s="225">
        <f t="shared" si="28"/>
        <v>80964</v>
      </c>
      <c r="X142" s="246">
        <f t="shared" si="28"/>
        <v>80994</v>
      </c>
      <c r="Y142" s="246">
        <f t="shared" si="28"/>
        <v>81025</v>
      </c>
      <c r="Z142" s="246">
        <f t="shared" si="28"/>
        <v>81055</v>
      </c>
      <c r="AA142" s="336" t="s">
        <v>225</v>
      </c>
    </row>
    <row r="143" spans="1:27">
      <c r="A143" s="343" t="s">
        <v>83</v>
      </c>
      <c r="B143" s="343"/>
      <c r="C143" s="343" t="s">
        <v>85</v>
      </c>
      <c r="D143" s="344" t="s">
        <v>46</v>
      </c>
      <c r="E143" s="345"/>
      <c r="F143" s="346" t="s">
        <v>86</v>
      </c>
      <c r="G143" s="346"/>
      <c r="H143" s="346" t="s">
        <v>226</v>
      </c>
      <c r="I143" s="389" t="s">
        <v>227</v>
      </c>
      <c r="J143" s="389" t="s">
        <v>88</v>
      </c>
      <c r="K143" s="389"/>
      <c r="L143" s="388"/>
      <c r="M143" s="178">
        <v>44197</v>
      </c>
      <c r="N143" s="342" t="s">
        <v>88</v>
      </c>
      <c r="O143" s="390"/>
      <c r="P143" s="390"/>
      <c r="Q143" s="342"/>
      <c r="R143" s="390"/>
      <c r="S143" s="390"/>
      <c r="T143" s="390"/>
      <c r="U143" s="390"/>
      <c r="V143" s="390"/>
      <c r="W143" s="390"/>
      <c r="X143" s="399"/>
      <c r="Y143" s="399"/>
      <c r="Z143" s="399"/>
      <c r="AA143" s="226" t="s">
        <v>228</v>
      </c>
    </row>
    <row r="144" outlineLevel="1" spans="1:31">
      <c r="A144" s="347">
        <v>44021</v>
      </c>
      <c r="B144" s="348" t="s">
        <v>201</v>
      </c>
      <c r="C144" s="349" t="s">
        <v>202</v>
      </c>
      <c r="D144" s="350" t="s">
        <v>229</v>
      </c>
      <c r="E144" s="350"/>
      <c r="F144" s="351">
        <v>18507.9</v>
      </c>
      <c r="G144" s="352"/>
      <c r="H144" s="353">
        <v>13280.64</v>
      </c>
      <c r="I144" s="351">
        <f>-H144</f>
        <v>-13280.64</v>
      </c>
      <c r="J144" s="351"/>
      <c r="K144" s="352">
        <f t="shared" ref="K144:K158" si="29">SUM(H144:I144)</f>
        <v>0</v>
      </c>
      <c r="L144" s="382"/>
      <c r="M144" s="391">
        <v>13280.64</v>
      </c>
      <c r="N144" s="391"/>
      <c r="O144" s="391"/>
      <c r="P144" s="392"/>
      <c r="Q144" s="392"/>
      <c r="R144" s="392"/>
      <c r="S144" s="392">
        <f>-M144</f>
        <v>-13280.64</v>
      </c>
      <c r="T144" s="400"/>
      <c r="U144" s="382"/>
      <c r="V144" s="401"/>
      <c r="W144" s="401"/>
      <c r="X144" s="402"/>
      <c r="Y144" s="402"/>
      <c r="Z144" s="402"/>
      <c r="AA144" s="408">
        <f t="shared" ref="AA144:AA158" si="30">SUM(M144:Z144)</f>
        <v>0</v>
      </c>
      <c r="AB144" s="383"/>
      <c r="AC144" s="383"/>
      <c r="AD144" s="383"/>
      <c r="AE144" s="383"/>
    </row>
    <row r="145" outlineLevel="1" spans="1:31">
      <c r="A145" s="354">
        <v>44056</v>
      </c>
      <c r="B145" s="354" t="s">
        <v>204</v>
      </c>
      <c r="C145" s="354" t="s">
        <v>202</v>
      </c>
      <c r="D145" s="350" t="s">
        <v>230</v>
      </c>
      <c r="E145" s="350"/>
      <c r="F145" s="351">
        <v>18023.4</v>
      </c>
      <c r="G145" s="351"/>
      <c r="H145" s="351">
        <v>13112.7</v>
      </c>
      <c r="I145" s="351">
        <f t="shared" ref="I145:I150" si="31">-H145</f>
        <v>-13112.7</v>
      </c>
      <c r="J145" s="351"/>
      <c r="K145" s="352">
        <f t="shared" si="29"/>
        <v>0</v>
      </c>
      <c r="L145" s="382"/>
      <c r="M145" s="391">
        <v>13112.7</v>
      </c>
      <c r="N145" s="391"/>
      <c r="O145" s="391"/>
      <c r="P145" s="392"/>
      <c r="Q145" s="392"/>
      <c r="R145" s="392"/>
      <c r="S145" s="392">
        <f t="shared" ref="S145:S150" si="32">-M145</f>
        <v>-13112.7</v>
      </c>
      <c r="T145" s="400"/>
      <c r="U145" s="382"/>
      <c r="V145" s="401"/>
      <c r="W145" s="401"/>
      <c r="X145" s="402"/>
      <c r="Y145" s="402"/>
      <c r="Z145" s="402"/>
      <c r="AA145" s="408">
        <f t="shared" si="30"/>
        <v>0</v>
      </c>
      <c r="AB145" s="383"/>
      <c r="AC145" s="383"/>
      <c r="AD145" s="383"/>
      <c r="AE145" s="383"/>
    </row>
    <row r="146" outlineLevel="1" spans="1:31">
      <c r="A146" s="355">
        <v>44085</v>
      </c>
      <c r="B146" s="356" t="s">
        <v>206</v>
      </c>
      <c r="C146" s="357" t="s">
        <v>202</v>
      </c>
      <c r="D146" s="358" t="s">
        <v>207</v>
      </c>
      <c r="E146" s="359"/>
      <c r="F146" s="360">
        <v>18023.4</v>
      </c>
      <c r="G146" s="361"/>
      <c r="H146" s="360">
        <v>13249.58</v>
      </c>
      <c r="I146" s="393">
        <f t="shared" si="31"/>
        <v>-13249.58</v>
      </c>
      <c r="J146" s="394"/>
      <c r="K146" s="361">
        <f t="shared" si="29"/>
        <v>0</v>
      </c>
      <c r="L146" s="382"/>
      <c r="M146" s="391">
        <v>13249.58</v>
      </c>
      <c r="N146" s="391"/>
      <c r="O146" s="391"/>
      <c r="P146" s="392"/>
      <c r="Q146" s="392"/>
      <c r="R146" s="392"/>
      <c r="S146" s="392">
        <f t="shared" si="32"/>
        <v>-13249.58</v>
      </c>
      <c r="T146" s="400"/>
      <c r="U146" s="382"/>
      <c r="V146" s="401"/>
      <c r="W146" s="401"/>
      <c r="X146" s="402"/>
      <c r="Y146" s="402"/>
      <c r="Z146" s="402"/>
      <c r="AA146" s="408">
        <f t="shared" si="30"/>
        <v>0</v>
      </c>
      <c r="AB146" s="383"/>
      <c r="AC146" s="383"/>
      <c r="AD146" s="383"/>
      <c r="AE146" s="383"/>
    </row>
    <row r="147" outlineLevel="1" spans="1:31">
      <c r="A147" s="355">
        <v>44118</v>
      </c>
      <c r="B147" s="356" t="s">
        <v>208</v>
      </c>
      <c r="C147" s="357" t="s">
        <v>202</v>
      </c>
      <c r="D147" s="362" t="s">
        <v>209</v>
      </c>
      <c r="E147" s="363"/>
      <c r="F147" s="360">
        <v>18178.44</v>
      </c>
      <c r="G147" s="361"/>
      <c r="H147" s="360">
        <v>13313.64</v>
      </c>
      <c r="I147" s="360">
        <f t="shared" si="31"/>
        <v>-13313.64</v>
      </c>
      <c r="J147" s="395"/>
      <c r="K147" s="361">
        <f t="shared" si="29"/>
        <v>0</v>
      </c>
      <c r="L147" s="382"/>
      <c r="M147" s="391">
        <v>13313.64</v>
      </c>
      <c r="N147" s="391"/>
      <c r="O147" s="391"/>
      <c r="P147" s="392"/>
      <c r="Q147" s="392"/>
      <c r="R147" s="392"/>
      <c r="S147" s="392">
        <f t="shared" si="32"/>
        <v>-13313.64</v>
      </c>
      <c r="T147" s="400"/>
      <c r="U147" s="382"/>
      <c r="V147" s="401"/>
      <c r="W147" s="401"/>
      <c r="X147" s="402"/>
      <c r="Y147" s="402"/>
      <c r="Z147" s="402"/>
      <c r="AA147" s="408">
        <f t="shared" si="30"/>
        <v>0</v>
      </c>
      <c r="AB147" s="383"/>
      <c r="AC147" s="383"/>
      <c r="AD147" s="383"/>
      <c r="AE147" s="383"/>
    </row>
    <row r="148" outlineLevel="1" spans="1:31">
      <c r="A148" s="355">
        <v>44146</v>
      </c>
      <c r="B148" s="356" t="s">
        <v>210</v>
      </c>
      <c r="C148" s="357" t="s">
        <v>202</v>
      </c>
      <c r="D148" s="362" t="s">
        <v>211</v>
      </c>
      <c r="E148" s="363"/>
      <c r="F148" s="360">
        <v>20930.4</v>
      </c>
      <c r="G148" s="361"/>
      <c r="H148" s="360">
        <v>15317.92</v>
      </c>
      <c r="I148" s="360">
        <f t="shared" si="31"/>
        <v>-15317.92</v>
      </c>
      <c r="J148" s="395"/>
      <c r="K148" s="361">
        <f t="shared" si="29"/>
        <v>0</v>
      </c>
      <c r="L148" s="382"/>
      <c r="M148" s="391">
        <v>15317.92</v>
      </c>
      <c r="N148" s="391"/>
      <c r="O148" s="391"/>
      <c r="P148" s="392"/>
      <c r="Q148" s="392"/>
      <c r="R148" s="392"/>
      <c r="S148" s="392">
        <f t="shared" si="32"/>
        <v>-15317.92</v>
      </c>
      <c r="T148" s="400"/>
      <c r="U148" s="382"/>
      <c r="V148" s="401"/>
      <c r="W148" s="401"/>
      <c r="X148" s="402"/>
      <c r="Y148" s="402"/>
      <c r="Z148" s="402"/>
      <c r="AA148" s="408">
        <f t="shared" si="30"/>
        <v>0</v>
      </c>
      <c r="AB148" s="383"/>
      <c r="AC148" s="383"/>
      <c r="AD148" s="383"/>
      <c r="AE148" s="383"/>
    </row>
    <row r="149" outlineLevel="1" spans="1:31">
      <c r="A149" s="355">
        <v>44176</v>
      </c>
      <c r="B149" s="356" t="s">
        <v>212</v>
      </c>
      <c r="C149" s="357" t="s">
        <v>202</v>
      </c>
      <c r="D149" s="362" t="s">
        <v>213</v>
      </c>
      <c r="E149" s="363"/>
      <c r="F149" s="360">
        <v>18798.6</v>
      </c>
      <c r="G149" s="361"/>
      <c r="H149" s="360">
        <v>14012.08</v>
      </c>
      <c r="I149" s="360">
        <f t="shared" si="31"/>
        <v>-14012.08</v>
      </c>
      <c r="J149" s="395"/>
      <c r="K149" s="361">
        <f t="shared" si="29"/>
        <v>0</v>
      </c>
      <c r="L149" s="382"/>
      <c r="M149" s="391">
        <v>14012.08</v>
      </c>
      <c r="N149" s="391"/>
      <c r="O149" s="391"/>
      <c r="P149" s="392"/>
      <c r="Q149" s="392"/>
      <c r="R149" s="392"/>
      <c r="S149" s="392">
        <f t="shared" si="32"/>
        <v>-14012.08</v>
      </c>
      <c r="T149" s="400"/>
      <c r="U149" s="382"/>
      <c r="V149" s="401"/>
      <c r="W149" s="401"/>
      <c r="X149" s="402"/>
      <c r="Y149" s="402"/>
      <c r="Z149" s="402"/>
      <c r="AA149" s="408">
        <f t="shared" si="30"/>
        <v>0</v>
      </c>
      <c r="AB149" s="383"/>
      <c r="AC149" s="383"/>
      <c r="AD149" s="383"/>
      <c r="AE149" s="383"/>
    </row>
    <row r="150" outlineLevel="1" spans="1:31">
      <c r="A150" s="355">
        <v>44200</v>
      </c>
      <c r="B150" s="356" t="s">
        <v>214</v>
      </c>
      <c r="C150" s="357" t="s">
        <v>202</v>
      </c>
      <c r="D150" s="362" t="s">
        <v>215</v>
      </c>
      <c r="E150" s="363"/>
      <c r="F150" s="360">
        <v>17442</v>
      </c>
      <c r="G150" s="361"/>
      <c r="H150" s="360">
        <v>13192.65</v>
      </c>
      <c r="I150" s="360">
        <f t="shared" si="31"/>
        <v>-13192.65</v>
      </c>
      <c r="J150" s="395"/>
      <c r="K150" s="361">
        <f t="shared" si="29"/>
        <v>0</v>
      </c>
      <c r="L150" s="382"/>
      <c r="M150" s="391">
        <v>0</v>
      </c>
      <c r="N150" s="391"/>
      <c r="O150" s="391">
        <f>K150</f>
        <v>0</v>
      </c>
      <c r="P150" s="392"/>
      <c r="Q150" s="392"/>
      <c r="R150" s="392"/>
      <c r="S150" s="392">
        <f t="shared" si="32"/>
        <v>0</v>
      </c>
      <c r="T150" s="400"/>
      <c r="U150" s="382"/>
      <c r="V150" s="401"/>
      <c r="W150" s="401"/>
      <c r="X150" s="402"/>
      <c r="Y150" s="402"/>
      <c r="Z150" s="402"/>
      <c r="AA150" s="408">
        <f t="shared" si="30"/>
        <v>0</v>
      </c>
      <c r="AB150" s="383"/>
      <c r="AC150" s="383"/>
      <c r="AD150" s="383"/>
      <c r="AE150" s="383"/>
    </row>
    <row r="151" s="157" customFormat="1" outlineLevel="1" spans="1:33">
      <c r="A151" s="305"/>
      <c r="B151" s="364"/>
      <c r="C151" s="365"/>
      <c r="D151" s="366" t="s">
        <v>231</v>
      </c>
      <c r="E151" s="315"/>
      <c r="F151" s="311"/>
      <c r="G151" s="309"/>
      <c r="H151" s="311">
        <v>21900</v>
      </c>
      <c r="I151" s="311">
        <v>-21900</v>
      </c>
      <c r="J151" s="310"/>
      <c r="K151" s="309">
        <f t="shared" si="29"/>
        <v>0</v>
      </c>
      <c r="L151" s="392"/>
      <c r="M151" s="396">
        <v>21900</v>
      </c>
      <c r="N151" s="396"/>
      <c r="O151" s="396"/>
      <c r="P151" s="392"/>
      <c r="Q151" s="392">
        <f>-M151</f>
        <v>-21900</v>
      </c>
      <c r="R151" s="392"/>
      <c r="S151" s="392"/>
      <c r="T151" s="400"/>
      <c r="U151" s="392"/>
      <c r="V151" s="402"/>
      <c r="W151" s="402"/>
      <c r="X151" s="402"/>
      <c r="Y151" s="402"/>
      <c r="Z151" s="402"/>
      <c r="AA151" s="408">
        <f t="shared" si="30"/>
        <v>0</v>
      </c>
      <c r="AB151" s="409"/>
      <c r="AC151" s="409"/>
      <c r="AD151" s="409"/>
      <c r="AE151" s="409"/>
      <c r="AF151" s="410"/>
      <c r="AG151" s="410"/>
    </row>
    <row r="152" s="157" customFormat="1" spans="1:33">
      <c r="A152" s="305"/>
      <c r="B152" s="367"/>
      <c r="C152" s="365"/>
      <c r="D152" s="304" t="s">
        <v>32</v>
      </c>
      <c r="E152" s="315"/>
      <c r="F152" s="311"/>
      <c r="G152" s="309"/>
      <c r="H152" s="311">
        <v>79500</v>
      </c>
      <c r="I152" s="311"/>
      <c r="J152" s="310"/>
      <c r="K152" s="309">
        <f t="shared" si="29"/>
        <v>79500</v>
      </c>
      <c r="L152" s="392"/>
      <c r="M152" s="396">
        <v>79500</v>
      </c>
      <c r="N152" s="392"/>
      <c r="O152" s="392"/>
      <c r="P152" s="392"/>
      <c r="Q152" s="392"/>
      <c r="R152" s="392"/>
      <c r="S152" s="392"/>
      <c r="T152" s="400"/>
      <c r="U152" s="392"/>
      <c r="V152" s="392"/>
      <c r="W152" s="392"/>
      <c r="X152" s="392"/>
      <c r="Y152" s="392"/>
      <c r="Z152" s="392"/>
      <c r="AA152" s="391">
        <f t="shared" si="30"/>
        <v>79500</v>
      </c>
      <c r="AB152" s="409"/>
      <c r="AC152" s="409"/>
      <c r="AD152" s="409"/>
      <c r="AE152" s="409"/>
      <c r="AF152" s="410"/>
      <c r="AG152" s="410"/>
    </row>
    <row r="153" s="157" customFormat="1" outlineLevel="1" spans="1:33">
      <c r="A153" s="305">
        <v>44264</v>
      </c>
      <c r="B153" s="368">
        <v>190000045040</v>
      </c>
      <c r="C153" s="364"/>
      <c r="D153" s="308" t="s">
        <v>232</v>
      </c>
      <c r="E153" s="315"/>
      <c r="F153" s="311"/>
      <c r="G153" s="309"/>
      <c r="H153" s="311">
        <v>21900</v>
      </c>
      <c r="I153" s="311">
        <v>-21900</v>
      </c>
      <c r="J153" s="310"/>
      <c r="K153" s="309">
        <f t="shared" si="29"/>
        <v>0</v>
      </c>
      <c r="L153" s="392"/>
      <c r="M153" s="396"/>
      <c r="N153" s="392"/>
      <c r="O153" s="392"/>
      <c r="P153" s="392"/>
      <c r="Q153" s="392">
        <v>21900</v>
      </c>
      <c r="R153" s="392">
        <f>-Q153</f>
        <v>-21900</v>
      </c>
      <c r="S153" s="392"/>
      <c r="T153" s="400"/>
      <c r="U153" s="392"/>
      <c r="V153" s="392"/>
      <c r="W153" s="392"/>
      <c r="X153" s="392"/>
      <c r="Y153" s="392"/>
      <c r="Z153" s="392"/>
      <c r="AA153" s="391">
        <f t="shared" si="30"/>
        <v>0</v>
      </c>
      <c r="AB153" s="409"/>
      <c r="AC153" s="409"/>
      <c r="AD153" s="409"/>
      <c r="AE153" s="409"/>
      <c r="AF153" s="410"/>
      <c r="AG153" s="410"/>
    </row>
    <row r="154" spans="1:31">
      <c r="A154" s="305"/>
      <c r="B154" s="364"/>
      <c r="C154" s="364"/>
      <c r="D154" s="308" t="s">
        <v>33</v>
      </c>
      <c r="E154" s="315"/>
      <c r="F154" s="311"/>
      <c r="G154" s="309"/>
      <c r="H154" s="311">
        <v>213413</v>
      </c>
      <c r="I154" s="311"/>
      <c r="J154" s="310"/>
      <c r="K154" s="309">
        <f t="shared" si="29"/>
        <v>213413</v>
      </c>
      <c r="L154" s="382"/>
      <c r="M154" s="391">
        <v>213413</v>
      </c>
      <c r="N154" s="382"/>
      <c r="O154" s="382"/>
      <c r="P154" s="392">
        <f>-P155</f>
        <v>-37347.35</v>
      </c>
      <c r="Q154" s="392"/>
      <c r="R154" s="392"/>
      <c r="S154" s="392"/>
      <c r="T154" s="400"/>
      <c r="U154" s="382"/>
      <c r="V154" s="382"/>
      <c r="W154" s="382"/>
      <c r="X154" s="392"/>
      <c r="Y154" s="392"/>
      <c r="Z154" s="392"/>
      <c r="AA154" s="391">
        <f t="shared" si="30"/>
        <v>176065.65</v>
      </c>
      <c r="AB154" s="383"/>
      <c r="AC154" s="383"/>
      <c r="AD154" s="383"/>
      <c r="AE154" s="383"/>
    </row>
    <row r="155" spans="1:31">
      <c r="A155" s="369">
        <v>44248</v>
      </c>
      <c r="B155" s="370">
        <v>190000043988</v>
      </c>
      <c r="C155" s="371"/>
      <c r="D155" s="372" t="s">
        <v>216</v>
      </c>
      <c r="E155" s="373"/>
      <c r="F155" s="374"/>
      <c r="G155" s="375"/>
      <c r="H155" s="374">
        <v>37347.35</v>
      </c>
      <c r="I155" s="374">
        <f>-H155</f>
        <v>-37347.35</v>
      </c>
      <c r="J155" s="397"/>
      <c r="K155" s="375">
        <f t="shared" si="29"/>
        <v>0</v>
      </c>
      <c r="L155" s="382"/>
      <c r="M155" s="391"/>
      <c r="N155" s="382"/>
      <c r="O155" s="382"/>
      <c r="P155" s="392">
        <v>37347.35</v>
      </c>
      <c r="Q155" s="392"/>
      <c r="R155" s="392"/>
      <c r="S155" s="392">
        <f>-P155</f>
        <v>-37347.35</v>
      </c>
      <c r="T155" s="400"/>
      <c r="U155" s="382"/>
      <c r="V155" s="382"/>
      <c r="W155" s="382"/>
      <c r="X155" s="392"/>
      <c r="Y155" s="392"/>
      <c r="Z155" s="392"/>
      <c r="AA155" s="391">
        <f t="shared" si="30"/>
        <v>0</v>
      </c>
      <c r="AB155" s="383"/>
      <c r="AC155" s="383"/>
      <c r="AD155" s="383"/>
      <c r="AE155" s="383"/>
    </row>
    <row r="156" outlineLevel="1" spans="1:31">
      <c r="A156" s="305"/>
      <c r="B156" s="364"/>
      <c r="C156" s="364"/>
      <c r="D156" s="308" t="s">
        <v>233</v>
      </c>
      <c r="E156" s="315"/>
      <c r="F156" s="311">
        <v>31000</v>
      </c>
      <c r="G156" s="309"/>
      <c r="H156" s="311">
        <v>23106.74</v>
      </c>
      <c r="I156" s="311">
        <f>-H156</f>
        <v>-23106.74</v>
      </c>
      <c r="J156" s="310"/>
      <c r="K156" s="309">
        <f t="shared" si="29"/>
        <v>0</v>
      </c>
      <c r="L156" s="382"/>
      <c r="M156" s="391">
        <v>23106.74</v>
      </c>
      <c r="N156" s="382"/>
      <c r="O156" s="382">
        <f>I156</f>
        <v>-23106.74</v>
      </c>
      <c r="P156" s="392"/>
      <c r="Q156" s="392"/>
      <c r="R156" s="392"/>
      <c r="S156" s="392"/>
      <c r="T156" s="400"/>
      <c r="U156" s="382"/>
      <c r="V156" s="382"/>
      <c r="W156" s="382"/>
      <c r="X156" s="392"/>
      <c r="Y156" s="392"/>
      <c r="Z156" s="392"/>
      <c r="AA156" s="391">
        <f t="shared" si="30"/>
        <v>0</v>
      </c>
      <c r="AB156" s="383"/>
      <c r="AC156" s="383"/>
      <c r="AD156" s="383"/>
      <c r="AE156" s="383"/>
    </row>
    <row r="157" outlineLevel="1" spans="1:31">
      <c r="A157" s="305"/>
      <c r="B157" s="364"/>
      <c r="C157" s="364"/>
      <c r="D157" s="366" t="s">
        <v>234</v>
      </c>
      <c r="E157" s="315"/>
      <c r="F157" s="311">
        <v>17442</v>
      </c>
      <c r="G157" s="309"/>
      <c r="H157" s="311">
        <v>13000.89</v>
      </c>
      <c r="I157" s="311">
        <v>-13000.89</v>
      </c>
      <c r="J157" s="310"/>
      <c r="K157" s="309">
        <f t="shared" si="29"/>
        <v>0</v>
      </c>
      <c r="L157" s="382"/>
      <c r="M157" s="391">
        <v>13000.89</v>
      </c>
      <c r="N157" s="382"/>
      <c r="O157" s="382">
        <f>I157</f>
        <v>-13000.89</v>
      </c>
      <c r="P157" s="392"/>
      <c r="Q157" s="392"/>
      <c r="R157" s="392"/>
      <c r="S157" s="392"/>
      <c r="T157" s="400"/>
      <c r="U157" s="382"/>
      <c r="V157" s="382"/>
      <c r="W157" s="382"/>
      <c r="X157" s="392"/>
      <c r="Y157" s="392"/>
      <c r="Z157" s="392"/>
      <c r="AA157" s="391">
        <f t="shared" si="30"/>
        <v>0</v>
      </c>
      <c r="AB157" s="383"/>
      <c r="AC157" s="383"/>
      <c r="AD157" s="383"/>
      <c r="AE157" s="383"/>
    </row>
    <row r="158" spans="1:31">
      <c r="A158" s="305">
        <v>44364</v>
      </c>
      <c r="B158" s="376">
        <v>5900266874</v>
      </c>
      <c r="C158" s="364"/>
      <c r="D158" s="308" t="s">
        <v>235</v>
      </c>
      <c r="E158" s="315"/>
      <c r="F158" s="311"/>
      <c r="G158" s="309"/>
      <c r="H158" s="311">
        <v>30000</v>
      </c>
      <c r="I158" s="311"/>
      <c r="J158" s="310"/>
      <c r="K158" s="309">
        <f t="shared" si="29"/>
        <v>30000</v>
      </c>
      <c r="L158" s="382"/>
      <c r="M158" s="391"/>
      <c r="N158" s="382"/>
      <c r="O158" s="382"/>
      <c r="P158" s="392"/>
      <c r="Q158" s="392"/>
      <c r="R158" s="392"/>
      <c r="S158" s="392"/>
      <c r="T158" s="400">
        <f>K158</f>
        <v>30000</v>
      </c>
      <c r="U158" s="382"/>
      <c r="V158" s="382"/>
      <c r="W158" s="382"/>
      <c r="X158" s="392"/>
      <c r="Y158" s="392"/>
      <c r="Z158" s="392"/>
      <c r="AA158" s="391">
        <f t="shared" si="30"/>
        <v>30000</v>
      </c>
      <c r="AB158" s="383"/>
      <c r="AC158" s="383"/>
      <c r="AD158" s="383"/>
      <c r="AE158" s="383"/>
    </row>
    <row r="159" spans="1:31">
      <c r="A159" s="305"/>
      <c r="B159" s="364"/>
      <c r="C159" s="364"/>
      <c r="D159" s="308"/>
      <c r="E159" s="315"/>
      <c r="F159" s="311"/>
      <c r="G159" s="309"/>
      <c r="H159" s="311"/>
      <c r="I159" s="311"/>
      <c r="J159" s="310"/>
      <c r="K159" s="309"/>
      <c r="L159" s="382"/>
      <c r="M159" s="391"/>
      <c r="N159" s="382"/>
      <c r="O159" s="382"/>
      <c r="P159" s="392"/>
      <c r="Q159" s="392"/>
      <c r="R159" s="392"/>
      <c r="S159" s="392"/>
      <c r="T159" s="400"/>
      <c r="U159" s="382"/>
      <c r="V159" s="382"/>
      <c r="W159" s="382"/>
      <c r="X159" s="392"/>
      <c r="Y159" s="392"/>
      <c r="Z159" s="392"/>
      <c r="AA159" s="391"/>
      <c r="AB159" s="383"/>
      <c r="AC159" s="383"/>
      <c r="AD159" s="383"/>
      <c r="AE159" s="383"/>
    </row>
    <row r="160" spans="1:31">
      <c r="A160" s="305"/>
      <c r="B160" s="364"/>
      <c r="C160" s="364"/>
      <c r="D160" s="308"/>
      <c r="E160" s="315"/>
      <c r="F160" s="311"/>
      <c r="G160" s="309"/>
      <c r="H160" s="311"/>
      <c r="I160" s="311"/>
      <c r="J160" s="310"/>
      <c r="K160" s="309"/>
      <c r="L160" s="382"/>
      <c r="M160" s="382"/>
      <c r="N160" s="382"/>
      <c r="O160" s="382"/>
      <c r="P160" s="392"/>
      <c r="Q160" s="392"/>
      <c r="R160" s="392"/>
      <c r="S160" s="392"/>
      <c r="T160" s="400"/>
      <c r="U160" s="382"/>
      <c r="V160" s="382"/>
      <c r="W160" s="382"/>
      <c r="X160" s="392"/>
      <c r="Y160" s="392"/>
      <c r="Z160" s="392"/>
      <c r="AA160" s="391"/>
      <c r="AB160" s="383"/>
      <c r="AC160" s="383"/>
      <c r="AD160" s="383"/>
      <c r="AE160" s="383"/>
    </row>
    <row r="161" spans="1:31">
      <c r="A161" s="377"/>
      <c r="B161" s="377"/>
      <c r="C161" s="378"/>
      <c r="D161" s="379"/>
      <c r="E161" s="380"/>
      <c r="F161" s="381"/>
      <c r="G161" s="382"/>
      <c r="H161" s="381"/>
      <c r="I161" s="382"/>
      <c r="J161" s="381"/>
      <c r="K161" s="382"/>
      <c r="L161" s="382"/>
      <c r="M161" s="382">
        <f>SUM(M144:M159)</f>
        <v>433207.19</v>
      </c>
      <c r="N161" s="382"/>
      <c r="O161" s="382">
        <f t="shared" ref="O161:T161" si="33">SUM(O144:O159)</f>
        <v>-36107.63</v>
      </c>
      <c r="P161" s="382">
        <f t="shared" si="33"/>
        <v>0</v>
      </c>
      <c r="Q161" s="382">
        <f t="shared" si="33"/>
        <v>0</v>
      </c>
      <c r="R161" s="382">
        <f t="shared" si="33"/>
        <v>-21900</v>
      </c>
      <c r="S161" s="392">
        <f t="shared" si="33"/>
        <v>-119633.91</v>
      </c>
      <c r="T161" s="400">
        <f t="shared" si="33"/>
        <v>30000</v>
      </c>
      <c r="U161" s="382">
        <f t="shared" ref="U161:Z161" si="34">SUM(U144:U157)</f>
        <v>0</v>
      </c>
      <c r="V161" s="382">
        <f t="shared" si="34"/>
        <v>0</v>
      </c>
      <c r="W161" s="382">
        <f t="shared" si="34"/>
        <v>0</v>
      </c>
      <c r="X161" s="392">
        <f t="shared" si="34"/>
        <v>0</v>
      </c>
      <c r="Y161" s="392">
        <f t="shared" si="34"/>
        <v>0</v>
      </c>
      <c r="Z161" s="392">
        <f t="shared" si="34"/>
        <v>0</v>
      </c>
      <c r="AA161" s="382">
        <f>SUM(AA144:AA159)</f>
        <v>285565.65</v>
      </c>
      <c r="AB161" s="383"/>
      <c r="AC161" s="383"/>
      <c r="AD161" s="383"/>
      <c r="AE161" s="383"/>
    </row>
    <row r="162" spans="6:31">
      <c r="F162" s="383"/>
      <c r="G162" s="383"/>
      <c r="H162" s="383"/>
      <c r="I162" s="383"/>
      <c r="J162" s="383"/>
      <c r="K162" s="383"/>
      <c r="L162" s="383"/>
      <c r="M162" s="383"/>
      <c r="N162" s="383"/>
      <c r="O162" s="383"/>
      <c r="P162" s="383"/>
      <c r="Q162" s="383"/>
      <c r="R162" s="383"/>
      <c r="S162" s="383"/>
      <c r="T162" s="383"/>
      <c r="U162" s="383"/>
      <c r="V162" s="383"/>
      <c r="W162" s="383"/>
      <c r="X162" s="383"/>
      <c r="Y162" s="383"/>
      <c r="Z162" s="411"/>
      <c r="AA162" s="383"/>
      <c r="AB162" s="383"/>
      <c r="AC162" s="383"/>
      <c r="AD162" s="383"/>
      <c r="AE162" s="383"/>
    </row>
    <row r="163" ht="11.25" spans="6:31">
      <c r="F163" s="383"/>
      <c r="G163" s="383"/>
      <c r="H163" s="383"/>
      <c r="I163" s="383"/>
      <c r="J163" s="383"/>
      <c r="K163" s="383"/>
      <c r="L163" s="383"/>
      <c r="M163" s="383"/>
      <c r="N163" s="383"/>
      <c r="O163" s="383"/>
      <c r="P163" s="383"/>
      <c r="Q163" s="383"/>
      <c r="R163" s="383"/>
      <c r="S163" s="383"/>
      <c r="T163" s="383"/>
      <c r="U163" s="383"/>
      <c r="V163" s="383"/>
      <c r="W163" s="383"/>
      <c r="X163" s="383"/>
      <c r="Y163" s="383"/>
      <c r="Z163" s="411"/>
      <c r="AA163" s="383"/>
      <c r="AB163" s="383"/>
      <c r="AC163" s="383"/>
      <c r="AD163" s="383"/>
      <c r="AE163" s="383"/>
    </row>
    <row r="164" ht="11.25" spans="6:31">
      <c r="F164" s="383"/>
      <c r="G164" s="383"/>
      <c r="H164" s="383"/>
      <c r="I164" s="383"/>
      <c r="J164" s="383"/>
      <c r="K164" s="383"/>
      <c r="L164" s="383"/>
      <c r="M164" s="383"/>
      <c r="N164" s="383"/>
      <c r="O164" s="383"/>
      <c r="P164" s="383"/>
      <c r="Q164" s="383"/>
      <c r="R164" s="383"/>
      <c r="S164" s="383"/>
      <c r="T164" s="383"/>
      <c r="U164" s="383"/>
      <c r="V164" s="383"/>
      <c r="W164" s="383"/>
      <c r="X164" s="383"/>
      <c r="Y164" s="383"/>
      <c r="Z164" s="411" t="s">
        <v>236</v>
      </c>
      <c r="AA164" s="383"/>
      <c r="AB164" s="383"/>
      <c r="AC164" s="412">
        <f>AA161+AC135+'[25]4.1 ORQ Lease - Recalc'!R49+'[25]4.2 Canon Orix Lease'!K48</f>
        <v>2911819.68456513</v>
      </c>
      <c r="AD164" s="383"/>
      <c r="AE164" s="383"/>
    </row>
    <row r="196" s="158" customFormat="1" spans="3:4">
      <c r="C196" s="159"/>
      <c r="D196" s="160"/>
    </row>
    <row r="199" s="158" customFormat="1" spans="3:12">
      <c r="C199" s="159"/>
      <c r="D199" s="160"/>
      <c r="K199" s="161"/>
      <c r="L199" s="161"/>
    </row>
    <row r="203" s="158" customFormat="1" spans="3:4">
      <c r="C203" s="159"/>
      <c r="D203" s="160"/>
    </row>
    <row r="204" s="158" customFormat="1" spans="3:4">
      <c r="C204" s="159"/>
      <c r="D204" s="160"/>
    </row>
    <row r="207" s="158" customFormat="1" spans="3:12">
      <c r="C207" s="159"/>
      <c r="D207" s="160"/>
      <c r="K207" s="161"/>
      <c r="L207" s="161"/>
    </row>
    <row r="208" s="158" customFormat="1" spans="3:12">
      <c r="C208" s="159"/>
      <c r="D208" s="160"/>
      <c r="K208" s="161"/>
      <c r="L208" s="161"/>
    </row>
    <row r="209" s="158" customFormat="1" spans="3:12">
      <c r="C209" s="415"/>
      <c r="D209" s="160"/>
      <c r="K209" s="161"/>
      <c r="L209" s="161"/>
    </row>
    <row r="236" s="158" customFormat="1" spans="10:10">
      <c r="J236" s="158">
        <f>+J224+J234</f>
        <v>0</v>
      </c>
    </row>
  </sheetData>
  <mergeCells count="7">
    <mergeCell ref="H4:K4"/>
    <mergeCell ref="M4:AA4"/>
    <mergeCell ref="A141:D141"/>
    <mergeCell ref="H141:K141"/>
    <mergeCell ref="M141:AA141"/>
    <mergeCell ref="K142:K143"/>
    <mergeCell ref="AG4:AG6"/>
  </mergeCells>
  <pageMargins left="0.15748031496063" right="0.15748031496063" top="0.511811023622047" bottom="0.433070866141732" header="0.31496062992126" footer="0.196850393700787"/>
  <pageSetup paperSize="8" scale="26" orientation="landscape"/>
  <headerFooter alignWithMargins="0">
    <oddFooter>&amp;CPage &amp;P of &amp;N&amp;R&amp;D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9"/>
  <sheetViews>
    <sheetView tabSelected="1" workbookViewId="0">
      <selection activeCell="A3" sqref="A3:G3"/>
    </sheetView>
  </sheetViews>
  <sheetFormatPr defaultColWidth="16.5454545454545" defaultRowHeight="14.5"/>
  <cols>
    <col min="1" max="16384" width="16.5454545454545" customWidth="1"/>
  </cols>
  <sheetData>
    <row r="1" spans="3:15">
      <c r="C1" s="148"/>
      <c r="O1" s="154"/>
    </row>
    <row r="2" spans="1:22">
      <c r="A2" t="s">
        <v>237</v>
      </c>
      <c r="C2" s="148">
        <v>44348</v>
      </c>
      <c r="F2" t="s">
        <v>238</v>
      </c>
      <c r="G2" t="s">
        <v>239</v>
      </c>
      <c r="K2" s="6" t="s">
        <v>240</v>
      </c>
      <c r="L2" s="6"/>
      <c r="M2" s="6"/>
      <c r="N2" s="6"/>
      <c r="O2" s="6"/>
      <c r="P2" s="6"/>
      <c r="Q2" s="6"/>
      <c r="R2" s="6"/>
      <c r="S2" s="6"/>
      <c r="T2" s="6"/>
      <c r="U2" s="6"/>
      <c r="V2" s="6"/>
    </row>
    <row r="3" ht="15.5" spans="1:23">
      <c r="A3" s="149" t="s">
        <v>241</v>
      </c>
      <c r="B3" s="149" t="s">
        <v>242</v>
      </c>
      <c r="C3" s="150" t="s">
        <v>243</v>
      </c>
      <c r="D3" s="149" t="s">
        <v>46</v>
      </c>
      <c r="E3" s="149" t="s">
        <v>244</v>
      </c>
      <c r="F3" s="149" t="s">
        <v>245</v>
      </c>
      <c r="G3" s="149" t="s">
        <v>246</v>
      </c>
      <c r="H3" s="149" t="s">
        <v>247</v>
      </c>
      <c r="I3" s="149" t="s">
        <v>224</v>
      </c>
      <c r="J3" s="149" t="s">
        <v>248</v>
      </c>
      <c r="K3" s="155">
        <v>44197</v>
      </c>
      <c r="L3" s="155">
        <v>44228</v>
      </c>
      <c r="M3" s="155">
        <v>44256</v>
      </c>
      <c r="N3" s="155">
        <v>44287</v>
      </c>
      <c r="O3" s="155">
        <v>44317</v>
      </c>
      <c r="P3" s="155">
        <v>44348</v>
      </c>
      <c r="Q3" s="155">
        <v>44378</v>
      </c>
      <c r="R3" s="155">
        <v>44409</v>
      </c>
      <c r="S3" s="155">
        <v>44440</v>
      </c>
      <c r="T3" s="155">
        <v>44470</v>
      </c>
      <c r="U3" s="155">
        <v>44501</v>
      </c>
      <c r="V3" s="155">
        <v>44531</v>
      </c>
      <c r="W3" s="149" t="s">
        <v>249</v>
      </c>
    </row>
    <row r="4" spans="3:15">
      <c r="C4" s="148"/>
      <c r="O4" s="154"/>
    </row>
    <row r="5" spans="1:23">
      <c r="A5">
        <v>607</v>
      </c>
      <c r="B5" s="151" t="s">
        <v>250</v>
      </c>
      <c r="C5" s="148">
        <v>5900266874</v>
      </c>
      <c r="D5" s="152" t="s">
        <v>235</v>
      </c>
      <c r="E5" s="152"/>
      <c r="F5" s="153">
        <v>30000</v>
      </c>
      <c r="G5">
        <v>0</v>
      </c>
      <c r="H5">
        <v>0</v>
      </c>
      <c r="I5" s="153">
        <v>30000</v>
      </c>
      <c r="O5" s="154"/>
      <c r="P5">
        <v>3000</v>
      </c>
      <c r="W5">
        <v>3000</v>
      </c>
    </row>
    <row r="6" spans="1:23">
      <c r="A6">
        <v>606</v>
      </c>
      <c r="B6" s="151">
        <v>44442</v>
      </c>
      <c r="C6" s="148">
        <v>190000045040</v>
      </c>
      <c r="D6" s="152" t="s">
        <v>232</v>
      </c>
      <c r="E6" s="152"/>
      <c r="F6">
        <v>21900</v>
      </c>
      <c r="G6">
        <v>21900</v>
      </c>
      <c r="H6">
        <v>0</v>
      </c>
      <c r="I6">
        <v>0</v>
      </c>
      <c r="M6">
        <v>21900</v>
      </c>
      <c r="N6">
        <v>-21900</v>
      </c>
      <c r="O6" s="154"/>
      <c r="W6">
        <v>0</v>
      </c>
    </row>
    <row r="7" spans="1:23">
      <c r="A7">
        <v>600</v>
      </c>
      <c r="B7" s="151">
        <v>44287</v>
      </c>
      <c r="C7" s="148" t="s">
        <v>214</v>
      </c>
      <c r="D7" s="152" t="s">
        <v>251</v>
      </c>
      <c r="E7" s="152"/>
      <c r="F7">
        <v>13192.65</v>
      </c>
      <c r="G7">
        <v>13192.65</v>
      </c>
      <c r="H7">
        <v>0</v>
      </c>
      <c r="I7">
        <v>0</v>
      </c>
      <c r="K7">
        <v>13192.65</v>
      </c>
      <c r="O7" s="154">
        <v>-13192.65</v>
      </c>
      <c r="W7">
        <v>0</v>
      </c>
    </row>
    <row r="8" spans="1:23">
      <c r="A8">
        <v>594</v>
      </c>
      <c r="B8" s="151">
        <v>44147</v>
      </c>
      <c r="C8" s="148" t="s">
        <v>212</v>
      </c>
      <c r="D8" s="152" t="s">
        <v>252</v>
      </c>
      <c r="E8" s="152"/>
      <c r="F8">
        <v>14012.08</v>
      </c>
      <c r="G8">
        <v>14012.08</v>
      </c>
      <c r="H8">
        <v>0</v>
      </c>
      <c r="I8">
        <v>0</v>
      </c>
      <c r="J8">
        <v>14012.08</v>
      </c>
      <c r="O8" s="154">
        <v>-14012.08</v>
      </c>
      <c r="W8">
        <v>0</v>
      </c>
    </row>
    <row r="9" spans="1:23">
      <c r="A9">
        <v>592</v>
      </c>
      <c r="B9" s="151">
        <v>44146</v>
      </c>
      <c r="C9" s="148" t="s">
        <v>210</v>
      </c>
      <c r="D9" s="152" t="s">
        <v>253</v>
      </c>
      <c r="E9">
        <v>20930.4</v>
      </c>
      <c r="F9">
        <v>15317.92</v>
      </c>
      <c r="G9">
        <v>15317.92</v>
      </c>
      <c r="I9">
        <v>0</v>
      </c>
      <c r="J9">
        <v>15317.92</v>
      </c>
      <c r="O9">
        <v>-15317.92</v>
      </c>
      <c r="W9">
        <v>0</v>
      </c>
    </row>
  </sheetData>
  <mergeCells count="1">
    <mergeCell ref="K2:V2"/>
  </mergeCells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BC101"/>
  <sheetViews>
    <sheetView zoomScaleSheetLayoutView="85" workbookViewId="0">
      <pane xSplit="6" ySplit="4" topLeftCell="AE7" activePane="bottomRight" state="frozen"/>
      <selection/>
      <selection pane="topRight"/>
      <selection pane="bottomLeft"/>
      <selection pane="bottomRight" activeCell="D11" sqref="D11"/>
    </sheetView>
  </sheetViews>
  <sheetFormatPr defaultColWidth="9.13636363636364" defaultRowHeight="10.5"/>
  <cols>
    <col min="1" max="1" width="26.4272727272727" style="12" customWidth="1"/>
    <col min="2" max="2" width="20.4272727272727" style="10" customWidth="1"/>
    <col min="3" max="3" width="73.4272727272727" style="10" customWidth="1"/>
    <col min="4" max="4" width="10.4272727272727" style="10" customWidth="1"/>
    <col min="5" max="5" width="13.2818181818182" style="10" customWidth="1"/>
    <col min="6" max="6" width="10.4272727272727" style="13" customWidth="1"/>
    <col min="7" max="18" width="10.4272727272727" style="12" hidden="1" customWidth="1" outlineLevel="1"/>
    <col min="19" max="19" width="32.8545454545455" style="14" customWidth="1" collapsed="1"/>
    <col min="20" max="31" width="10.4272727272727" style="14" customWidth="1"/>
    <col min="32" max="32" width="13" style="14" customWidth="1"/>
    <col min="33" max="33" width="1.70909090909091" style="14" customWidth="1"/>
    <col min="34" max="34" width="6.85454545454545" style="10" customWidth="1"/>
    <col min="35" max="35" width="21.7090909090909" style="15" customWidth="1"/>
    <col min="36" max="36" width="5.42727272727273" style="10" hidden="1" customWidth="1" outlineLevel="1"/>
    <col min="37" max="37" width="6.28181818181818" style="10" hidden="1" customWidth="1" outlineLevel="1"/>
    <col min="38" max="38" width="5.42727272727273" style="10" hidden="1" customWidth="1" outlineLevel="1"/>
    <col min="39" max="39" width="6.28181818181818" style="10" hidden="1" customWidth="1" outlineLevel="1"/>
    <col min="40" max="40" width="6.42727272727273" style="10" hidden="1" customWidth="1" outlineLevel="1"/>
    <col min="41" max="41" width="6" style="10" hidden="1" customWidth="1" outlineLevel="1"/>
    <col min="42" max="42" width="6.70909090909091" style="10" hidden="1" customWidth="1" outlineLevel="1"/>
    <col min="43" max="43" width="5.28181818181818" style="10" hidden="1" customWidth="1" outlineLevel="1"/>
    <col min="44" max="44" width="7.70909090909091" style="10" hidden="1" customWidth="1" outlineLevel="1"/>
    <col min="45" max="45" width="12" style="10" customWidth="1" collapsed="1"/>
    <col min="46" max="46" width="14.4272727272727" style="10" hidden="1" customWidth="1"/>
    <col min="47" max="47" width="43.4272727272727" style="12" customWidth="1"/>
    <col min="48" max="48" width="5.85454545454545" style="10" customWidth="1"/>
    <col min="49" max="49" width="11.4272727272727" style="10" hidden="1" customWidth="1" outlineLevel="1"/>
    <col min="50" max="53" width="9.13636363636364" style="10" hidden="1" customWidth="1" outlineLevel="1"/>
    <col min="54" max="54" width="10.4272727272727" style="10" hidden="1" customWidth="1" outlineLevel="1"/>
    <col min="55" max="55" width="38.1363636363636" style="15" customWidth="1" collapsed="1"/>
    <col min="56" max="16384" width="9.13636363636364" style="12"/>
  </cols>
  <sheetData>
    <row r="1" spans="1:19">
      <c r="A1" s="16" t="s">
        <v>254</v>
      </c>
      <c r="S1" s="14" t="s">
        <v>255</v>
      </c>
    </row>
    <row r="2" spans="1:19">
      <c r="A2" s="16" t="s">
        <v>256</v>
      </c>
      <c r="B2" s="17">
        <f>'[25]1. Cash Balances_Jun21'!D5</f>
        <v>44377</v>
      </c>
      <c r="S2" s="14" t="s">
        <v>257</v>
      </c>
    </row>
    <row r="3" ht="21" spans="1:33">
      <c r="A3" s="18"/>
      <c r="F3" s="19"/>
      <c r="G3" s="20">
        <v>43831</v>
      </c>
      <c r="H3" s="21">
        <v>43862</v>
      </c>
      <c r="I3" s="21">
        <v>43891</v>
      </c>
      <c r="J3" s="21">
        <v>43922</v>
      </c>
      <c r="K3" s="21">
        <v>43952</v>
      </c>
      <c r="L3" s="21">
        <v>43983</v>
      </c>
      <c r="M3" s="21">
        <v>44013</v>
      </c>
      <c r="N3" s="21">
        <v>44044</v>
      </c>
      <c r="O3" s="21">
        <v>44075</v>
      </c>
      <c r="P3" s="21">
        <v>44105</v>
      </c>
      <c r="Q3" s="21">
        <v>44136</v>
      </c>
      <c r="R3" s="21">
        <v>44166</v>
      </c>
      <c r="S3" s="53" t="s">
        <v>258</v>
      </c>
      <c r="T3" s="20">
        <v>44197</v>
      </c>
      <c r="U3" s="21">
        <v>44228</v>
      </c>
      <c r="V3" s="21">
        <v>44256</v>
      </c>
      <c r="W3" s="21">
        <v>44287</v>
      </c>
      <c r="X3" s="21">
        <v>44317</v>
      </c>
      <c r="Y3" s="21">
        <v>44348</v>
      </c>
      <c r="Z3" s="21">
        <v>44378</v>
      </c>
      <c r="AA3" s="21">
        <v>44409</v>
      </c>
      <c r="AB3" s="21">
        <v>44440</v>
      </c>
      <c r="AC3" s="21">
        <v>44470</v>
      </c>
      <c r="AD3" s="21">
        <v>44501</v>
      </c>
      <c r="AE3" s="21">
        <v>44531</v>
      </c>
      <c r="AF3" s="81" t="s">
        <v>259</v>
      </c>
      <c r="AG3" s="95"/>
    </row>
    <row r="4" s="10" customFormat="1" ht="11.1" customHeight="1" spans="1:55">
      <c r="A4" s="22" t="s">
        <v>260</v>
      </c>
      <c r="B4" s="22" t="s">
        <v>261</v>
      </c>
      <c r="C4" s="22" t="s">
        <v>46</v>
      </c>
      <c r="D4" s="23" t="s">
        <v>262</v>
      </c>
      <c r="E4" s="24" t="s">
        <v>263</v>
      </c>
      <c r="F4" s="25" t="s">
        <v>6</v>
      </c>
      <c r="G4" s="26" t="s">
        <v>6</v>
      </c>
      <c r="H4" s="27" t="s">
        <v>6</v>
      </c>
      <c r="I4" s="27" t="s">
        <v>6</v>
      </c>
      <c r="J4" s="27" t="s">
        <v>6</v>
      </c>
      <c r="K4" s="27" t="s">
        <v>6</v>
      </c>
      <c r="L4" s="27" t="s">
        <v>6</v>
      </c>
      <c r="M4" s="27" t="s">
        <v>6</v>
      </c>
      <c r="N4" s="27" t="s">
        <v>6</v>
      </c>
      <c r="O4" s="27" t="s">
        <v>6</v>
      </c>
      <c r="P4" s="27" t="s">
        <v>6</v>
      </c>
      <c r="Q4" s="27" t="s">
        <v>6</v>
      </c>
      <c r="R4" s="27" t="s">
        <v>6</v>
      </c>
      <c r="S4" s="54"/>
      <c r="T4" s="55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81"/>
      <c r="AG4" s="96"/>
      <c r="AI4" s="15"/>
      <c r="AJ4" s="97" t="s">
        <v>264</v>
      </c>
      <c r="AK4" s="97" t="s">
        <v>265</v>
      </c>
      <c r="AL4" s="97" t="s">
        <v>266</v>
      </c>
      <c r="AM4" s="97" t="s">
        <v>267</v>
      </c>
      <c r="AN4" s="97" t="s">
        <v>268</v>
      </c>
      <c r="AO4" s="97" t="s">
        <v>269</v>
      </c>
      <c r="AP4" s="97" t="s">
        <v>270</v>
      </c>
      <c r="AQ4" s="97" t="s">
        <v>271</v>
      </c>
      <c r="AR4" s="97" t="s">
        <v>272</v>
      </c>
      <c r="AS4" s="98" t="s">
        <v>273</v>
      </c>
      <c r="AT4" s="98" t="s">
        <v>274</v>
      </c>
      <c r="AU4" s="99" t="s">
        <v>275</v>
      </c>
      <c r="AV4" s="100" t="s">
        <v>82</v>
      </c>
      <c r="AW4" s="106" t="s">
        <v>274</v>
      </c>
      <c r="AX4" s="107" t="s">
        <v>276</v>
      </c>
      <c r="AY4" s="107" t="s">
        <v>277</v>
      </c>
      <c r="AZ4" s="97" t="s">
        <v>278</v>
      </c>
      <c r="BA4" s="97" t="s">
        <v>279</v>
      </c>
      <c r="BB4" s="97" t="s">
        <v>280</v>
      </c>
      <c r="BC4" s="108" t="s">
        <v>46</v>
      </c>
    </row>
    <row r="5" spans="1:49">
      <c r="A5" s="28" t="s">
        <v>281</v>
      </c>
      <c r="B5" s="10" t="s">
        <v>282</v>
      </c>
      <c r="C5" s="15" t="s">
        <v>283</v>
      </c>
      <c r="D5" s="29">
        <v>43983</v>
      </c>
      <c r="E5" s="30" t="s">
        <v>284</v>
      </c>
      <c r="F5" s="31">
        <v>10542.16</v>
      </c>
      <c r="G5" s="32"/>
      <c r="H5" s="33"/>
      <c r="I5" s="33"/>
      <c r="J5" s="33"/>
      <c r="K5" s="48"/>
      <c r="L5" s="48"/>
      <c r="M5" s="48">
        <f t="shared" ref="M5:R5" si="0">-$F$5/8</f>
        <v>-1317.77</v>
      </c>
      <c r="N5" s="49">
        <f t="shared" si="0"/>
        <v>-1317.77</v>
      </c>
      <c r="O5" s="48">
        <f t="shared" si="0"/>
        <v>-1317.77</v>
      </c>
      <c r="P5" s="48">
        <f t="shared" si="0"/>
        <v>-1317.77</v>
      </c>
      <c r="Q5" s="49">
        <f t="shared" si="0"/>
        <v>-1317.77</v>
      </c>
      <c r="R5" s="57">
        <f t="shared" si="0"/>
        <v>-1317.77</v>
      </c>
      <c r="S5" s="58">
        <f t="shared" ref="S5:S20" si="1">SUM(F5:R5)</f>
        <v>2635.54</v>
      </c>
      <c r="T5" s="59">
        <f>-$F$5/8</f>
        <v>-1317.77</v>
      </c>
      <c r="U5" s="60">
        <f>-$F$5/8</f>
        <v>-1317.77</v>
      </c>
      <c r="V5" s="60"/>
      <c r="W5" s="60"/>
      <c r="X5" s="60"/>
      <c r="Y5" s="82"/>
      <c r="Z5" s="83"/>
      <c r="AA5" s="83"/>
      <c r="AB5" s="83"/>
      <c r="AC5" s="83"/>
      <c r="AD5" s="83"/>
      <c r="AE5" s="83"/>
      <c r="AF5" s="84">
        <f>SUM(S5:AE5)</f>
        <v>-1.81898940354586e-12</v>
      </c>
      <c r="AH5" s="10" t="s">
        <v>285</v>
      </c>
      <c r="AI5" s="15" t="s">
        <v>286</v>
      </c>
      <c r="AS5" s="101"/>
      <c r="AV5" s="102"/>
      <c r="AW5" s="109"/>
    </row>
    <row r="6" spans="1:49">
      <c r="A6" s="28" t="s">
        <v>287</v>
      </c>
      <c r="B6" s="10" t="s">
        <v>288</v>
      </c>
      <c r="C6" s="15" t="s">
        <v>289</v>
      </c>
      <c r="D6" s="29">
        <v>44044</v>
      </c>
      <c r="E6" s="30">
        <v>8096192</v>
      </c>
      <c r="F6" s="31">
        <v>23788.73</v>
      </c>
      <c r="G6" s="32"/>
      <c r="H6" s="33"/>
      <c r="I6" s="33"/>
      <c r="J6" s="33"/>
      <c r="K6" s="48"/>
      <c r="L6" s="48"/>
      <c r="M6" s="48"/>
      <c r="N6" s="49"/>
      <c r="O6" s="48">
        <f>-$F$6/8</f>
        <v>-2973.59125</v>
      </c>
      <c r="P6" s="48">
        <f>-$F$6/8</f>
        <v>-2973.59125</v>
      </c>
      <c r="Q6" s="48">
        <f>-$F$6/8</f>
        <v>-2973.59125</v>
      </c>
      <c r="R6" s="57">
        <f>-$F$6/8</f>
        <v>-2973.59125</v>
      </c>
      <c r="S6" s="58">
        <f t="shared" si="1"/>
        <v>11894.365</v>
      </c>
      <c r="T6" s="59">
        <f>-$F$6/8</f>
        <v>-2973.59125</v>
      </c>
      <c r="U6" s="60">
        <f>-$F$6/8</f>
        <v>-2973.59125</v>
      </c>
      <c r="V6" s="60">
        <f>-$F$6/8</f>
        <v>-2973.59125</v>
      </c>
      <c r="W6" s="60">
        <f>-$F$6/8</f>
        <v>-2973.59125</v>
      </c>
      <c r="X6" s="60"/>
      <c r="Y6" s="82"/>
      <c r="Z6" s="83"/>
      <c r="AA6" s="83"/>
      <c r="AB6" s="83"/>
      <c r="AC6" s="83"/>
      <c r="AD6" s="83"/>
      <c r="AE6" s="83"/>
      <c r="AF6" s="84">
        <f t="shared" ref="AF6:AF20" si="2">SUM(S6:AE6)</f>
        <v>0</v>
      </c>
      <c r="AH6" s="10" t="s">
        <v>290</v>
      </c>
      <c r="AI6" s="15" t="s">
        <v>286</v>
      </c>
      <c r="AS6" s="101"/>
      <c r="AV6" s="102"/>
      <c r="AW6" s="109"/>
    </row>
    <row r="7" spans="1:49">
      <c r="A7" s="28" t="s">
        <v>291</v>
      </c>
      <c r="B7" s="10" t="s">
        <v>292</v>
      </c>
      <c r="C7" s="15" t="s">
        <v>293</v>
      </c>
      <c r="D7" s="29">
        <v>44075</v>
      </c>
      <c r="E7" s="34" t="s">
        <v>294</v>
      </c>
      <c r="F7" s="31">
        <v>31163.55</v>
      </c>
      <c r="G7" s="32"/>
      <c r="H7" s="33"/>
      <c r="I7" s="33"/>
      <c r="J7" s="33"/>
      <c r="K7" s="48"/>
      <c r="L7" s="48"/>
      <c r="M7" s="48"/>
      <c r="N7" s="48"/>
      <c r="O7" s="48"/>
      <c r="P7" s="48">
        <f>-$F$7/12</f>
        <v>-2596.9625</v>
      </c>
      <c r="Q7" s="48">
        <f t="shared" ref="Q7:AB7" si="3">-$F$7/12</f>
        <v>-2596.9625</v>
      </c>
      <c r="R7" s="57">
        <f t="shared" si="3"/>
        <v>-2596.9625</v>
      </c>
      <c r="S7" s="31">
        <f t="shared" si="1"/>
        <v>23372.6625</v>
      </c>
      <c r="T7" s="61">
        <f t="shared" si="3"/>
        <v>-2596.9625</v>
      </c>
      <c r="U7" s="62">
        <f t="shared" si="3"/>
        <v>-2596.9625</v>
      </c>
      <c r="V7" s="62">
        <f t="shared" si="3"/>
        <v>-2596.9625</v>
      </c>
      <c r="W7" s="63">
        <f t="shared" si="3"/>
        <v>-2596.9625</v>
      </c>
      <c r="X7" s="64">
        <f t="shared" si="3"/>
        <v>-2596.9625</v>
      </c>
      <c r="Y7" s="85">
        <f t="shared" si="3"/>
        <v>-2596.9625</v>
      </c>
      <c r="Z7" s="62">
        <f t="shared" si="3"/>
        <v>-2596.9625</v>
      </c>
      <c r="AA7" s="62">
        <f t="shared" si="3"/>
        <v>-2596.9625</v>
      </c>
      <c r="AB7" s="62">
        <f t="shared" si="3"/>
        <v>-2596.9625</v>
      </c>
      <c r="AC7" s="62"/>
      <c r="AD7" s="62"/>
      <c r="AE7" s="62"/>
      <c r="AF7" s="84">
        <f t="shared" si="2"/>
        <v>-6.3664629124105e-12</v>
      </c>
      <c r="AS7" s="101"/>
      <c r="AV7" s="102"/>
      <c r="AW7" s="109"/>
    </row>
    <row r="8" spans="1:49">
      <c r="A8" s="28" t="s">
        <v>295</v>
      </c>
      <c r="B8" s="10" t="s">
        <v>296</v>
      </c>
      <c r="C8" s="15" t="s">
        <v>297</v>
      </c>
      <c r="D8" s="29">
        <v>44105</v>
      </c>
      <c r="E8" s="30" t="s">
        <v>298</v>
      </c>
      <c r="F8" s="31">
        <v>11662.52</v>
      </c>
      <c r="G8" s="32"/>
      <c r="H8" s="33"/>
      <c r="I8" s="33"/>
      <c r="J8" s="33"/>
      <c r="K8" s="48"/>
      <c r="L8" s="48"/>
      <c r="M8" s="48"/>
      <c r="N8" s="48"/>
      <c r="O8" s="48"/>
      <c r="P8" s="48"/>
      <c r="Q8" s="48">
        <f>-$F$8/12</f>
        <v>-971.876666666667</v>
      </c>
      <c r="R8" s="57">
        <f>-$F$8/12</f>
        <v>-971.876666666667</v>
      </c>
      <c r="S8" s="31">
        <f t="shared" si="1"/>
        <v>9718.76666666667</v>
      </c>
      <c r="T8" s="61">
        <f t="shared" ref="T8:AC8" si="4">-$F$8/12</f>
        <v>-971.876666666667</v>
      </c>
      <c r="U8" s="62">
        <f t="shared" si="4"/>
        <v>-971.876666666667</v>
      </c>
      <c r="V8" s="62">
        <f t="shared" si="4"/>
        <v>-971.876666666667</v>
      </c>
      <c r="W8" s="63">
        <f t="shared" si="4"/>
        <v>-971.876666666667</v>
      </c>
      <c r="X8" s="64">
        <f t="shared" si="4"/>
        <v>-971.876666666667</v>
      </c>
      <c r="Y8" s="85">
        <f t="shared" si="4"/>
        <v>-971.876666666667</v>
      </c>
      <c r="Z8" s="62">
        <f t="shared" si="4"/>
        <v>-971.876666666667</v>
      </c>
      <c r="AA8" s="62">
        <f t="shared" si="4"/>
        <v>-971.876666666667</v>
      </c>
      <c r="AB8" s="62">
        <f t="shared" si="4"/>
        <v>-971.876666666667</v>
      </c>
      <c r="AC8" s="62">
        <f t="shared" si="4"/>
        <v>-971.876666666667</v>
      </c>
      <c r="AD8" s="62"/>
      <c r="AE8" s="62"/>
      <c r="AF8" s="84">
        <f t="shared" si="2"/>
        <v>-1.59161572810262e-12</v>
      </c>
      <c r="AS8" s="101"/>
      <c r="AV8" s="102"/>
      <c r="AW8" s="109"/>
    </row>
    <row r="9" spans="1:49">
      <c r="A9" s="28" t="s">
        <v>299</v>
      </c>
      <c r="B9" s="10" t="s">
        <v>300</v>
      </c>
      <c r="C9" s="15" t="s">
        <v>301</v>
      </c>
      <c r="D9" s="29">
        <v>44105</v>
      </c>
      <c r="E9" s="30" t="s">
        <v>302</v>
      </c>
      <c r="F9" s="31">
        <v>5500</v>
      </c>
      <c r="G9" s="32"/>
      <c r="H9" s="33"/>
      <c r="I9" s="33"/>
      <c r="J9" s="33"/>
      <c r="K9" s="48"/>
      <c r="L9" s="48"/>
      <c r="M9" s="48"/>
      <c r="N9" s="48"/>
      <c r="O9" s="48"/>
      <c r="P9" s="48"/>
      <c r="Q9" s="48"/>
      <c r="R9" s="65"/>
      <c r="S9" s="31">
        <f t="shared" si="1"/>
        <v>5500</v>
      </c>
      <c r="T9" s="61">
        <f>-$S$9/12</f>
        <v>-458.333333333333</v>
      </c>
      <c r="U9" s="62">
        <f t="shared" ref="U9:AE9" si="5">-$S$9/12</f>
        <v>-458.333333333333</v>
      </c>
      <c r="V9" s="62">
        <f t="shared" si="5"/>
        <v>-458.333333333333</v>
      </c>
      <c r="W9" s="63">
        <f t="shared" si="5"/>
        <v>-458.333333333333</v>
      </c>
      <c r="X9" s="64">
        <f t="shared" si="5"/>
        <v>-458.333333333333</v>
      </c>
      <c r="Y9" s="85">
        <f t="shared" si="5"/>
        <v>-458.333333333333</v>
      </c>
      <c r="Z9" s="62">
        <f t="shared" si="5"/>
        <v>-458.333333333333</v>
      </c>
      <c r="AA9" s="62">
        <f t="shared" si="5"/>
        <v>-458.333333333333</v>
      </c>
      <c r="AB9" s="62">
        <f t="shared" si="5"/>
        <v>-458.333333333333</v>
      </c>
      <c r="AC9" s="62">
        <f t="shared" si="5"/>
        <v>-458.333333333333</v>
      </c>
      <c r="AD9" s="62">
        <f t="shared" si="5"/>
        <v>-458.333333333333</v>
      </c>
      <c r="AE9" s="62">
        <f t="shared" si="5"/>
        <v>-458.333333333333</v>
      </c>
      <c r="AF9" s="84">
        <f t="shared" si="2"/>
        <v>5.6843418860808e-13</v>
      </c>
      <c r="AS9" s="101"/>
      <c r="AV9" s="102"/>
      <c r="AW9" s="109"/>
    </row>
    <row r="10" ht="11.1" customHeight="1" spans="1:49">
      <c r="A10" s="28" t="s">
        <v>303</v>
      </c>
      <c r="B10" s="10" t="s">
        <v>304</v>
      </c>
      <c r="C10" s="15" t="s">
        <v>305</v>
      </c>
      <c r="D10" s="29">
        <v>44166</v>
      </c>
      <c r="E10" s="523" t="s">
        <v>306</v>
      </c>
      <c r="F10" s="31">
        <v>7883.33</v>
      </c>
      <c r="G10" s="32"/>
      <c r="H10" s="33"/>
      <c r="I10" s="33"/>
      <c r="J10" s="33"/>
      <c r="K10" s="48"/>
      <c r="L10" s="48"/>
      <c r="M10" s="48"/>
      <c r="N10" s="48"/>
      <c r="O10" s="48"/>
      <c r="P10" s="48"/>
      <c r="Q10" s="48"/>
      <c r="R10" s="57"/>
      <c r="S10" s="31">
        <f t="shared" si="1"/>
        <v>7883.33</v>
      </c>
      <c r="T10" s="61">
        <f>-$S$10/11</f>
        <v>-716.666363636364</v>
      </c>
      <c r="U10" s="61">
        <f t="shared" ref="U10:AD10" si="6">-$S$10/11</f>
        <v>-716.666363636364</v>
      </c>
      <c r="V10" s="61">
        <f t="shared" si="6"/>
        <v>-716.666363636364</v>
      </c>
      <c r="W10" s="66">
        <f t="shared" si="6"/>
        <v>-716.666363636364</v>
      </c>
      <c r="X10" s="64">
        <f t="shared" si="6"/>
        <v>-716.666363636364</v>
      </c>
      <c r="Y10" s="85">
        <f t="shared" si="6"/>
        <v>-716.666363636364</v>
      </c>
      <c r="Z10" s="61">
        <f t="shared" si="6"/>
        <v>-716.666363636364</v>
      </c>
      <c r="AA10" s="61">
        <f t="shared" si="6"/>
        <v>-716.666363636364</v>
      </c>
      <c r="AB10" s="61">
        <f t="shared" si="6"/>
        <v>-716.666363636364</v>
      </c>
      <c r="AC10" s="61">
        <f t="shared" si="6"/>
        <v>-716.666363636364</v>
      </c>
      <c r="AD10" s="61">
        <f t="shared" si="6"/>
        <v>-716.666363636364</v>
      </c>
      <c r="AE10" s="62"/>
      <c r="AF10" s="84">
        <f t="shared" si="2"/>
        <v>0</v>
      </c>
      <c r="AS10" s="101"/>
      <c r="AV10" s="102"/>
      <c r="AW10" s="109"/>
    </row>
    <row r="11" spans="1:49">
      <c r="A11" s="28" t="s">
        <v>303</v>
      </c>
      <c r="B11" s="10" t="s">
        <v>300</v>
      </c>
      <c r="C11" s="15" t="s">
        <v>307</v>
      </c>
      <c r="D11" s="29">
        <v>44166</v>
      </c>
      <c r="E11" s="523" t="s">
        <v>308</v>
      </c>
      <c r="F11" s="31">
        <v>3205.13</v>
      </c>
      <c r="G11" s="32"/>
      <c r="H11" s="33"/>
      <c r="I11" s="33"/>
      <c r="J11" s="33"/>
      <c r="K11" s="48"/>
      <c r="L11" s="48"/>
      <c r="M11" s="48"/>
      <c r="N11" s="48"/>
      <c r="O11" s="48"/>
      <c r="P11" s="48"/>
      <c r="Q11" s="48"/>
      <c r="R11" s="65"/>
      <c r="S11" s="31">
        <f t="shared" si="1"/>
        <v>3205.13</v>
      </c>
      <c r="T11" s="61">
        <v>-267.09</v>
      </c>
      <c r="U11" s="62">
        <f t="shared" ref="U11:AE11" si="7">-$S$11/12</f>
        <v>-267.094166666667</v>
      </c>
      <c r="V11" s="62">
        <f t="shared" si="7"/>
        <v>-267.094166666667</v>
      </c>
      <c r="W11" s="63">
        <f t="shared" si="7"/>
        <v>-267.094166666667</v>
      </c>
      <c r="X11" s="64">
        <f t="shared" si="7"/>
        <v>-267.094166666667</v>
      </c>
      <c r="Y11" s="85">
        <f t="shared" si="7"/>
        <v>-267.094166666667</v>
      </c>
      <c r="Z11" s="62">
        <f t="shared" si="7"/>
        <v>-267.094166666667</v>
      </c>
      <c r="AA11" s="62">
        <f t="shared" si="7"/>
        <v>-267.094166666667</v>
      </c>
      <c r="AB11" s="62">
        <f t="shared" si="7"/>
        <v>-267.094166666667</v>
      </c>
      <c r="AC11" s="62">
        <f t="shared" si="7"/>
        <v>-267.094166666667</v>
      </c>
      <c r="AD11" s="62">
        <f t="shared" si="7"/>
        <v>-267.094166666667</v>
      </c>
      <c r="AE11" s="62">
        <f t="shared" si="7"/>
        <v>-267.094166666667</v>
      </c>
      <c r="AF11" s="86">
        <f t="shared" si="2"/>
        <v>0.00416666666581023</v>
      </c>
      <c r="AS11" s="101"/>
      <c r="AV11" s="102"/>
      <c r="AW11" s="109"/>
    </row>
    <row r="12" spans="1:49">
      <c r="A12" s="28" t="s">
        <v>303</v>
      </c>
      <c r="B12" s="10" t="s">
        <v>300</v>
      </c>
      <c r="C12" s="15" t="s">
        <v>309</v>
      </c>
      <c r="D12" s="29">
        <v>44166</v>
      </c>
      <c r="E12" s="523" t="s">
        <v>308</v>
      </c>
      <c r="F12" s="31">
        <v>335.42</v>
      </c>
      <c r="G12" s="32"/>
      <c r="H12" s="33"/>
      <c r="I12" s="33"/>
      <c r="J12" s="33"/>
      <c r="K12" s="48"/>
      <c r="L12" s="48"/>
      <c r="M12" s="48"/>
      <c r="N12" s="48"/>
      <c r="O12" s="48"/>
      <c r="P12" s="48"/>
      <c r="Q12" s="48"/>
      <c r="R12" s="65"/>
      <c r="S12" s="31">
        <f t="shared" si="1"/>
        <v>335.42</v>
      </c>
      <c r="T12" s="61">
        <v>-27.95</v>
      </c>
      <c r="U12" s="62">
        <f t="shared" ref="U12:AE12" si="8">-$S$12/12</f>
        <v>-27.9516666666667</v>
      </c>
      <c r="V12" s="62">
        <f t="shared" si="8"/>
        <v>-27.9516666666667</v>
      </c>
      <c r="W12" s="63">
        <f t="shared" si="8"/>
        <v>-27.9516666666667</v>
      </c>
      <c r="X12" s="64">
        <f t="shared" si="8"/>
        <v>-27.9516666666667</v>
      </c>
      <c r="Y12" s="85">
        <f t="shared" si="8"/>
        <v>-27.9516666666667</v>
      </c>
      <c r="Z12" s="62">
        <f t="shared" si="8"/>
        <v>-27.9516666666667</v>
      </c>
      <c r="AA12" s="62">
        <f t="shared" si="8"/>
        <v>-27.9516666666667</v>
      </c>
      <c r="AB12" s="62">
        <f t="shared" si="8"/>
        <v>-27.9516666666667</v>
      </c>
      <c r="AC12" s="62">
        <f t="shared" si="8"/>
        <v>-27.9516666666667</v>
      </c>
      <c r="AD12" s="62">
        <f t="shared" si="8"/>
        <v>-27.9516666666667</v>
      </c>
      <c r="AE12" s="62">
        <f t="shared" si="8"/>
        <v>-27.9516666666667</v>
      </c>
      <c r="AF12" s="86">
        <f t="shared" si="2"/>
        <v>0.00166666666676463</v>
      </c>
      <c r="AS12" s="101"/>
      <c r="AV12" s="102"/>
      <c r="AW12" s="109"/>
    </row>
    <row r="13" spans="1:49">
      <c r="A13" s="28" t="s">
        <v>310</v>
      </c>
      <c r="B13" s="10" t="s">
        <v>311</v>
      </c>
      <c r="C13" s="15" t="s">
        <v>312</v>
      </c>
      <c r="D13" s="29">
        <v>44166</v>
      </c>
      <c r="E13" s="30">
        <v>6885108511</v>
      </c>
      <c r="F13" s="31">
        <v>3940</v>
      </c>
      <c r="G13" s="32"/>
      <c r="H13" s="33"/>
      <c r="I13" s="33"/>
      <c r="J13" s="33"/>
      <c r="K13" s="48"/>
      <c r="L13" s="48"/>
      <c r="M13" s="48"/>
      <c r="N13" s="48"/>
      <c r="O13" s="48"/>
      <c r="P13" s="48"/>
      <c r="Q13" s="48"/>
      <c r="R13" s="65"/>
      <c r="S13" s="31">
        <f t="shared" si="1"/>
        <v>3940</v>
      </c>
      <c r="T13" s="61">
        <f>-$S$13/2</f>
        <v>-1970</v>
      </c>
      <c r="U13" s="62">
        <f>-$S$13/2</f>
        <v>-1970</v>
      </c>
      <c r="V13" s="62"/>
      <c r="W13" s="62"/>
      <c r="X13" s="62"/>
      <c r="Y13" s="85"/>
      <c r="Z13" s="62"/>
      <c r="AA13" s="62"/>
      <c r="AB13" s="62"/>
      <c r="AC13" s="62"/>
      <c r="AD13" s="62"/>
      <c r="AE13" s="62"/>
      <c r="AF13" s="86">
        <f t="shared" si="2"/>
        <v>0</v>
      </c>
      <c r="AS13" s="101"/>
      <c r="AV13" s="102"/>
      <c r="AW13" s="109"/>
    </row>
    <row r="14" spans="1:49">
      <c r="A14" s="28" t="s">
        <v>310</v>
      </c>
      <c r="B14" s="10" t="s">
        <v>311</v>
      </c>
      <c r="C14" s="15" t="s">
        <v>313</v>
      </c>
      <c r="D14" s="29">
        <v>44166</v>
      </c>
      <c r="E14" s="30">
        <v>6885108511</v>
      </c>
      <c r="F14" s="31">
        <v>300</v>
      </c>
      <c r="G14" s="32"/>
      <c r="H14" s="33"/>
      <c r="I14" s="33"/>
      <c r="J14" s="33"/>
      <c r="K14" s="48"/>
      <c r="L14" s="48"/>
      <c r="M14" s="48"/>
      <c r="N14" s="48"/>
      <c r="O14" s="48"/>
      <c r="P14" s="48"/>
      <c r="Q14" s="48"/>
      <c r="R14" s="65"/>
      <c r="S14" s="31">
        <f t="shared" si="1"/>
        <v>300</v>
      </c>
      <c r="T14" s="61">
        <f>-$S$14/2</f>
        <v>-150</v>
      </c>
      <c r="U14" s="62">
        <f>-$S$14/2</f>
        <v>-150</v>
      </c>
      <c r="V14" s="62"/>
      <c r="W14" s="62"/>
      <c r="X14" s="62"/>
      <c r="Y14" s="85"/>
      <c r="Z14" s="62"/>
      <c r="AA14" s="62"/>
      <c r="AB14" s="62"/>
      <c r="AC14" s="62"/>
      <c r="AD14" s="62"/>
      <c r="AE14" s="62"/>
      <c r="AF14" s="86">
        <f t="shared" si="2"/>
        <v>0</v>
      </c>
      <c r="AS14" s="101"/>
      <c r="AV14" s="102"/>
      <c r="AW14" s="109"/>
    </row>
    <row r="15" spans="1:49">
      <c r="A15" s="28" t="s">
        <v>310</v>
      </c>
      <c r="B15" s="10" t="s">
        <v>311</v>
      </c>
      <c r="C15" s="15" t="s">
        <v>314</v>
      </c>
      <c r="D15" s="29">
        <v>44166</v>
      </c>
      <c r="E15" s="30">
        <v>6885108511</v>
      </c>
      <c r="F15" s="31">
        <v>1250</v>
      </c>
      <c r="G15" s="32"/>
      <c r="H15" s="33"/>
      <c r="I15" s="33"/>
      <c r="J15" s="33"/>
      <c r="K15" s="48"/>
      <c r="L15" s="48"/>
      <c r="M15" s="48"/>
      <c r="N15" s="48"/>
      <c r="O15" s="48"/>
      <c r="P15" s="48"/>
      <c r="Q15" s="48"/>
      <c r="R15" s="65"/>
      <c r="S15" s="31">
        <f t="shared" si="1"/>
        <v>1250</v>
      </c>
      <c r="T15" s="61">
        <f>-$S$15/2</f>
        <v>-625</v>
      </c>
      <c r="U15" s="62">
        <f>-$S$15/2</f>
        <v>-625</v>
      </c>
      <c r="V15" s="62"/>
      <c r="W15" s="62"/>
      <c r="X15" s="62"/>
      <c r="Y15" s="85"/>
      <c r="Z15" s="62"/>
      <c r="AA15" s="62"/>
      <c r="AB15" s="62"/>
      <c r="AC15" s="62"/>
      <c r="AD15" s="62"/>
      <c r="AE15" s="62"/>
      <c r="AF15" s="86">
        <f t="shared" si="2"/>
        <v>0</v>
      </c>
      <c r="AS15" s="101"/>
      <c r="AV15" s="102"/>
      <c r="AW15" s="109"/>
    </row>
    <row r="16" spans="1:49">
      <c r="A16" s="28" t="s">
        <v>310</v>
      </c>
      <c r="B16" s="10" t="s">
        <v>311</v>
      </c>
      <c r="C16" s="15" t="s">
        <v>315</v>
      </c>
      <c r="D16" s="29">
        <v>44166</v>
      </c>
      <c r="E16" s="30">
        <v>6885108511</v>
      </c>
      <c r="F16" s="31">
        <v>1250</v>
      </c>
      <c r="G16" s="32"/>
      <c r="H16" s="33"/>
      <c r="I16" s="33"/>
      <c r="J16" s="33"/>
      <c r="K16" s="48"/>
      <c r="L16" s="48"/>
      <c r="M16" s="48"/>
      <c r="N16" s="48"/>
      <c r="O16" s="48"/>
      <c r="P16" s="48"/>
      <c r="Q16" s="48"/>
      <c r="R16" s="65"/>
      <c r="S16" s="31">
        <f t="shared" si="1"/>
        <v>1250</v>
      </c>
      <c r="T16" s="61">
        <f>-$S$16/2</f>
        <v>-625</v>
      </c>
      <c r="U16" s="62">
        <f>-$S$16/2</f>
        <v>-625</v>
      </c>
      <c r="V16" s="62"/>
      <c r="W16" s="62"/>
      <c r="X16" s="62"/>
      <c r="Y16" s="85"/>
      <c r="Z16" s="62"/>
      <c r="AA16" s="62"/>
      <c r="AB16" s="62"/>
      <c r="AC16" s="62"/>
      <c r="AD16" s="62"/>
      <c r="AE16" s="62"/>
      <c r="AF16" s="86">
        <f t="shared" si="2"/>
        <v>0</v>
      </c>
      <c r="AS16" s="101"/>
      <c r="AV16" s="102"/>
      <c r="AW16" s="109"/>
    </row>
    <row r="17" spans="1:49">
      <c r="A17" s="28" t="s">
        <v>310</v>
      </c>
      <c r="B17" s="10" t="s">
        <v>311</v>
      </c>
      <c r="C17" s="15" t="s">
        <v>316</v>
      </c>
      <c r="D17" s="29">
        <v>44166</v>
      </c>
      <c r="E17" s="30">
        <v>6885108511</v>
      </c>
      <c r="F17" s="31">
        <v>11820</v>
      </c>
      <c r="G17" s="32"/>
      <c r="H17" s="33"/>
      <c r="I17" s="33"/>
      <c r="J17" s="33"/>
      <c r="K17" s="48"/>
      <c r="L17" s="48"/>
      <c r="M17" s="48"/>
      <c r="N17" s="48"/>
      <c r="O17" s="48"/>
      <c r="P17" s="48"/>
      <c r="Q17" s="48"/>
      <c r="R17" s="65"/>
      <c r="S17" s="31">
        <f t="shared" si="1"/>
        <v>11820</v>
      </c>
      <c r="T17" s="61">
        <f>-$S$17/2</f>
        <v>-5910</v>
      </c>
      <c r="U17" s="62">
        <f>-$S$17/2</f>
        <v>-5910</v>
      </c>
      <c r="V17" s="62"/>
      <c r="W17" s="62"/>
      <c r="X17" s="62"/>
      <c r="Y17" s="85"/>
      <c r="Z17" s="62"/>
      <c r="AA17" s="62"/>
      <c r="AB17" s="62"/>
      <c r="AC17" s="62"/>
      <c r="AD17" s="62"/>
      <c r="AE17" s="62"/>
      <c r="AF17" s="86">
        <f t="shared" si="2"/>
        <v>0</v>
      </c>
      <c r="AS17" s="101"/>
      <c r="AV17" s="102"/>
      <c r="AW17" s="109"/>
    </row>
    <row r="18" spans="1:49">
      <c r="A18" s="28" t="s">
        <v>317</v>
      </c>
      <c r="B18" s="10" t="s">
        <v>318</v>
      </c>
      <c r="C18" s="15" t="s">
        <v>319</v>
      </c>
      <c r="D18" s="29">
        <v>44166</v>
      </c>
      <c r="E18" s="524" t="s">
        <v>320</v>
      </c>
      <c r="F18" s="31">
        <v>10684</v>
      </c>
      <c r="G18" s="32"/>
      <c r="H18" s="33"/>
      <c r="I18" s="33"/>
      <c r="J18" s="33"/>
      <c r="K18" s="48"/>
      <c r="L18" s="48"/>
      <c r="M18" s="48"/>
      <c r="N18" s="48"/>
      <c r="O18" s="48"/>
      <c r="P18" s="48"/>
      <c r="Q18" s="48"/>
      <c r="R18" s="65"/>
      <c r="S18" s="31">
        <f t="shared" si="1"/>
        <v>10684</v>
      </c>
      <c r="T18" s="61">
        <f>-$S$18/6</f>
        <v>-1780.66666666667</v>
      </c>
      <c r="U18" s="62">
        <f t="shared" ref="U18:Y18" si="9">-$S$18/6</f>
        <v>-1780.66666666667</v>
      </c>
      <c r="V18" s="62">
        <f t="shared" si="9"/>
        <v>-1780.66666666667</v>
      </c>
      <c r="W18" s="63">
        <f t="shared" si="9"/>
        <v>-1780.66666666667</v>
      </c>
      <c r="X18" s="64">
        <f t="shared" si="9"/>
        <v>-1780.66666666667</v>
      </c>
      <c r="Y18" s="85">
        <f t="shared" si="9"/>
        <v>-1780.66666666667</v>
      </c>
      <c r="Z18" s="62"/>
      <c r="AA18" s="62"/>
      <c r="AB18" s="62"/>
      <c r="AC18" s="62"/>
      <c r="AD18" s="62"/>
      <c r="AE18" s="62"/>
      <c r="AF18" s="86">
        <f t="shared" si="2"/>
        <v>0</v>
      </c>
      <c r="AS18" s="101"/>
      <c r="AV18" s="102"/>
      <c r="AW18" s="109"/>
    </row>
    <row r="19" spans="1:49">
      <c r="A19" s="28" t="s">
        <v>321</v>
      </c>
      <c r="B19" s="10" t="s">
        <v>322</v>
      </c>
      <c r="C19" s="15" t="s">
        <v>323</v>
      </c>
      <c r="D19" s="29">
        <v>44166</v>
      </c>
      <c r="E19" s="30">
        <v>5900215620</v>
      </c>
      <c r="F19" s="31">
        <v>102355.71</v>
      </c>
      <c r="G19" s="32"/>
      <c r="H19" s="33"/>
      <c r="I19" s="33"/>
      <c r="J19" s="33"/>
      <c r="K19" s="48"/>
      <c r="L19" s="48"/>
      <c r="M19" s="48"/>
      <c r="N19" s="48"/>
      <c r="O19" s="48"/>
      <c r="P19" s="48"/>
      <c r="Q19" s="48"/>
      <c r="R19" s="65"/>
      <c r="S19" s="31">
        <f t="shared" si="1"/>
        <v>102355.71</v>
      </c>
      <c r="T19" s="61">
        <f>-$S$19/6+0.01</f>
        <v>-17059.275</v>
      </c>
      <c r="U19" s="62">
        <f t="shared" ref="U19:Y19" si="10">-$S$19/6</f>
        <v>-17059.285</v>
      </c>
      <c r="V19" s="62">
        <f t="shared" si="10"/>
        <v>-17059.285</v>
      </c>
      <c r="W19" s="63">
        <f t="shared" si="10"/>
        <v>-17059.285</v>
      </c>
      <c r="X19" s="64">
        <f t="shared" si="10"/>
        <v>-17059.285</v>
      </c>
      <c r="Y19" s="85">
        <f t="shared" si="10"/>
        <v>-17059.285</v>
      </c>
      <c r="Z19" s="62"/>
      <c r="AA19" s="62"/>
      <c r="AB19" s="62"/>
      <c r="AC19" s="62"/>
      <c r="AD19" s="62"/>
      <c r="AE19" s="62"/>
      <c r="AF19" s="86">
        <f t="shared" si="2"/>
        <v>0.00999999998748535</v>
      </c>
      <c r="AS19" s="101"/>
      <c r="AV19" s="102"/>
      <c r="AW19" s="109"/>
    </row>
    <row r="20" spans="1:49">
      <c r="A20" s="28" t="s">
        <v>324</v>
      </c>
      <c r="B20" s="10" t="s">
        <v>325</v>
      </c>
      <c r="C20" s="15" t="s">
        <v>326</v>
      </c>
      <c r="D20" s="29">
        <v>44166</v>
      </c>
      <c r="E20" s="523" t="s">
        <v>327</v>
      </c>
      <c r="F20" s="31">
        <v>438.66</v>
      </c>
      <c r="G20" s="32"/>
      <c r="H20" s="33"/>
      <c r="I20" s="33"/>
      <c r="J20" s="33"/>
      <c r="K20" s="48"/>
      <c r="L20" s="48"/>
      <c r="M20" s="48"/>
      <c r="N20" s="48"/>
      <c r="O20" s="48"/>
      <c r="P20" s="48"/>
      <c r="Q20" s="48"/>
      <c r="R20" s="65"/>
      <c r="S20" s="31">
        <f t="shared" si="1"/>
        <v>438.66</v>
      </c>
      <c r="T20" s="61">
        <f>-S20</f>
        <v>-438.66</v>
      </c>
      <c r="U20" s="62"/>
      <c r="V20" s="62"/>
      <c r="W20" s="62"/>
      <c r="X20" s="64"/>
      <c r="Y20" s="85"/>
      <c r="Z20" s="62"/>
      <c r="AA20" s="62"/>
      <c r="AB20" s="62"/>
      <c r="AC20" s="62"/>
      <c r="AD20" s="62"/>
      <c r="AE20" s="62"/>
      <c r="AF20" s="86">
        <f t="shared" si="2"/>
        <v>0</v>
      </c>
      <c r="AS20" s="101"/>
      <c r="AV20" s="102"/>
      <c r="AW20" s="109"/>
    </row>
    <row r="21" spans="1:49">
      <c r="A21" s="28" t="s">
        <v>303</v>
      </c>
      <c r="B21" s="10" t="s">
        <v>328</v>
      </c>
      <c r="C21" s="15" t="s">
        <v>329</v>
      </c>
      <c r="D21" s="29">
        <v>44197</v>
      </c>
      <c r="E21" s="523" t="s">
        <v>330</v>
      </c>
      <c r="F21" s="31">
        <v>4840.785</v>
      </c>
      <c r="G21" s="32"/>
      <c r="H21" s="33"/>
      <c r="I21" s="33"/>
      <c r="J21" s="33"/>
      <c r="K21" s="48"/>
      <c r="L21" s="48"/>
      <c r="M21" s="48"/>
      <c r="N21" s="48"/>
      <c r="O21" s="48"/>
      <c r="P21" s="48"/>
      <c r="Q21" s="48"/>
      <c r="R21" s="65"/>
      <c r="S21" s="31"/>
      <c r="T21" s="61"/>
      <c r="U21" s="62">
        <f>-F21</f>
        <v>-4840.785</v>
      </c>
      <c r="V21" s="62"/>
      <c r="W21" s="62"/>
      <c r="X21" s="64"/>
      <c r="Y21" s="85"/>
      <c r="Z21" s="62"/>
      <c r="AA21" s="62"/>
      <c r="AB21" s="62"/>
      <c r="AC21" s="62"/>
      <c r="AD21" s="62"/>
      <c r="AE21" s="62"/>
      <c r="AF21" s="86">
        <f>SUM(F21:AE21)</f>
        <v>0</v>
      </c>
      <c r="AS21" s="101"/>
      <c r="AV21" s="102"/>
      <c r="AW21" s="109"/>
    </row>
    <row r="22" spans="1:49">
      <c r="A22" s="28" t="s">
        <v>317</v>
      </c>
      <c r="B22" s="10" t="s">
        <v>331</v>
      </c>
      <c r="C22" s="15" t="s">
        <v>332</v>
      </c>
      <c r="D22" s="29">
        <v>44197</v>
      </c>
      <c r="E22" s="523" t="s">
        <v>333</v>
      </c>
      <c r="F22" s="31">
        <v>44366.63</v>
      </c>
      <c r="G22" s="32"/>
      <c r="H22" s="33"/>
      <c r="I22" s="33"/>
      <c r="J22" s="33"/>
      <c r="K22" s="48"/>
      <c r="L22" s="48"/>
      <c r="M22" s="48"/>
      <c r="N22" s="48"/>
      <c r="O22" s="48"/>
      <c r="P22" s="48"/>
      <c r="Q22" s="48"/>
      <c r="R22" s="65"/>
      <c r="S22" s="31"/>
      <c r="T22" s="61"/>
      <c r="U22" s="62">
        <f>-$F$22/11</f>
        <v>-4033.33</v>
      </c>
      <c r="V22" s="62">
        <f t="shared" ref="V22:AE22" si="11">-$F$22/11</f>
        <v>-4033.33</v>
      </c>
      <c r="W22" s="63">
        <f t="shared" si="11"/>
        <v>-4033.33</v>
      </c>
      <c r="X22" s="64">
        <f t="shared" si="11"/>
        <v>-4033.33</v>
      </c>
      <c r="Y22" s="85">
        <f t="shared" si="11"/>
        <v>-4033.33</v>
      </c>
      <c r="Z22" s="62">
        <f t="shared" si="11"/>
        <v>-4033.33</v>
      </c>
      <c r="AA22" s="62">
        <f t="shared" si="11"/>
        <v>-4033.33</v>
      </c>
      <c r="AB22" s="62">
        <f t="shared" si="11"/>
        <v>-4033.33</v>
      </c>
      <c r="AC22" s="62">
        <f t="shared" si="11"/>
        <v>-4033.33</v>
      </c>
      <c r="AD22" s="62">
        <f t="shared" si="11"/>
        <v>-4033.33</v>
      </c>
      <c r="AE22" s="62">
        <f t="shared" si="11"/>
        <v>-4033.33</v>
      </c>
      <c r="AF22" s="86">
        <f>SUM(F22:AE22)</f>
        <v>-1.2732925824821e-11</v>
      </c>
      <c r="AS22" s="101"/>
      <c r="AV22" s="102"/>
      <c r="AW22" s="109"/>
    </row>
    <row r="23" spans="1:49">
      <c r="A23" s="28" t="s">
        <v>317</v>
      </c>
      <c r="B23" s="10" t="s">
        <v>331</v>
      </c>
      <c r="C23" s="15" t="s">
        <v>334</v>
      </c>
      <c r="D23" s="29">
        <v>44197</v>
      </c>
      <c r="E23" s="523" t="s">
        <v>335</v>
      </c>
      <c r="F23" s="31">
        <f>44275/12*11</f>
        <v>40585.4166666667</v>
      </c>
      <c r="G23" s="32"/>
      <c r="H23" s="33"/>
      <c r="I23" s="33"/>
      <c r="J23" s="33"/>
      <c r="K23" s="48"/>
      <c r="L23" s="48"/>
      <c r="M23" s="48"/>
      <c r="N23" s="48"/>
      <c r="O23" s="48"/>
      <c r="P23" s="48"/>
      <c r="Q23" s="48"/>
      <c r="R23" s="65"/>
      <c r="S23" s="31"/>
      <c r="T23" s="61"/>
      <c r="U23" s="62">
        <f>-$F$23/11</f>
        <v>-3689.58333333333</v>
      </c>
      <c r="V23" s="62">
        <f t="shared" ref="V23:AE23" si="12">-$F$23/11</f>
        <v>-3689.58333333333</v>
      </c>
      <c r="W23" s="63">
        <f t="shared" si="12"/>
        <v>-3689.58333333333</v>
      </c>
      <c r="X23" s="64">
        <f t="shared" si="12"/>
        <v>-3689.58333333333</v>
      </c>
      <c r="Y23" s="85">
        <f t="shared" si="12"/>
        <v>-3689.58333333333</v>
      </c>
      <c r="Z23" s="62">
        <f t="shared" si="12"/>
        <v>-3689.58333333333</v>
      </c>
      <c r="AA23" s="62">
        <f t="shared" si="12"/>
        <v>-3689.58333333333</v>
      </c>
      <c r="AB23" s="62">
        <f t="shared" si="12"/>
        <v>-3689.58333333333</v>
      </c>
      <c r="AC23" s="62">
        <f t="shared" si="12"/>
        <v>-3689.58333333333</v>
      </c>
      <c r="AD23" s="62">
        <f t="shared" si="12"/>
        <v>-3689.58333333333</v>
      </c>
      <c r="AE23" s="62">
        <f t="shared" si="12"/>
        <v>-3689.58333333333</v>
      </c>
      <c r="AF23" s="86">
        <f>SUM(F23:AE23)</f>
        <v>-1.2732925824821e-11</v>
      </c>
      <c r="AS23" s="101"/>
      <c r="AV23" s="102"/>
      <c r="AW23" s="109"/>
    </row>
    <row r="24" spans="1:49">
      <c r="A24" s="28" t="s">
        <v>317</v>
      </c>
      <c r="B24" s="10" t="s">
        <v>300</v>
      </c>
      <c r="C24" s="15" t="s">
        <v>336</v>
      </c>
      <c r="D24" s="29">
        <v>44197</v>
      </c>
      <c r="E24" s="523" t="s">
        <v>337</v>
      </c>
      <c r="F24" s="31">
        <f>169980/12*11</f>
        <v>155815</v>
      </c>
      <c r="G24" s="32"/>
      <c r="H24" s="33"/>
      <c r="I24" s="33"/>
      <c r="J24" s="33"/>
      <c r="K24" s="48"/>
      <c r="L24" s="48"/>
      <c r="M24" s="48"/>
      <c r="N24" s="48"/>
      <c r="O24" s="48"/>
      <c r="P24" s="48"/>
      <c r="Q24" s="48"/>
      <c r="R24" s="65"/>
      <c r="S24" s="31"/>
      <c r="T24" s="67"/>
      <c r="U24" s="62">
        <f>-$F$24/11</f>
        <v>-14165</v>
      </c>
      <c r="V24" s="62">
        <f t="shared" ref="V24:AE24" si="13">-$F$24/11</f>
        <v>-14165</v>
      </c>
      <c r="W24" s="63">
        <f t="shared" si="13"/>
        <v>-14165</v>
      </c>
      <c r="X24" s="64">
        <f t="shared" si="13"/>
        <v>-14165</v>
      </c>
      <c r="Y24" s="85">
        <f t="shared" si="13"/>
        <v>-14165</v>
      </c>
      <c r="Z24" s="62">
        <f t="shared" si="13"/>
        <v>-14165</v>
      </c>
      <c r="AA24" s="62">
        <f t="shared" si="13"/>
        <v>-14165</v>
      </c>
      <c r="AB24" s="62">
        <f t="shared" si="13"/>
        <v>-14165</v>
      </c>
      <c r="AC24" s="62">
        <f t="shared" si="13"/>
        <v>-14165</v>
      </c>
      <c r="AD24" s="62">
        <f t="shared" si="13"/>
        <v>-14165</v>
      </c>
      <c r="AE24" s="62">
        <f t="shared" si="13"/>
        <v>-14165</v>
      </c>
      <c r="AF24" s="86">
        <f>SUM(F24:AE24)</f>
        <v>0</v>
      </c>
      <c r="AS24" s="101"/>
      <c r="AV24" s="102"/>
      <c r="AW24" s="109"/>
    </row>
    <row r="25" spans="1:49">
      <c r="A25" s="28" t="s">
        <v>303</v>
      </c>
      <c r="B25" s="10" t="s">
        <v>338</v>
      </c>
      <c r="C25" s="15" t="s">
        <v>339</v>
      </c>
      <c r="D25" s="29">
        <v>44197</v>
      </c>
      <c r="E25" s="523" t="s">
        <v>340</v>
      </c>
      <c r="F25" s="31">
        <v>19539.62</v>
      </c>
      <c r="G25" s="32"/>
      <c r="H25" s="33"/>
      <c r="I25" s="33"/>
      <c r="J25" s="33"/>
      <c r="K25" s="48"/>
      <c r="L25" s="48"/>
      <c r="M25" s="48"/>
      <c r="N25" s="48"/>
      <c r="O25" s="48"/>
      <c r="P25" s="48"/>
      <c r="Q25" s="48"/>
      <c r="R25" s="65"/>
      <c r="S25" s="31"/>
      <c r="T25" s="67"/>
      <c r="U25" s="62">
        <f>-$F$25/2</f>
        <v>-9769.81</v>
      </c>
      <c r="V25" s="62">
        <f>-$F$25/2</f>
        <v>-9769.81</v>
      </c>
      <c r="W25" s="62"/>
      <c r="X25" s="64"/>
      <c r="Y25" s="85"/>
      <c r="Z25" s="62"/>
      <c r="AA25" s="62"/>
      <c r="AB25" s="62"/>
      <c r="AC25" s="62"/>
      <c r="AD25" s="62"/>
      <c r="AE25" s="62"/>
      <c r="AF25" s="86">
        <f t="shared" ref="AF25:AF28" si="14">SUM(F25:AE25)</f>
        <v>0</v>
      </c>
      <c r="AS25" s="101"/>
      <c r="AV25" s="102"/>
      <c r="AW25" s="109"/>
    </row>
    <row r="26" spans="1:49">
      <c r="A26" s="28" t="s">
        <v>303</v>
      </c>
      <c r="B26" s="10" t="s">
        <v>338</v>
      </c>
      <c r="C26" s="15" t="s">
        <v>341</v>
      </c>
      <c r="D26" s="29">
        <v>44197</v>
      </c>
      <c r="E26" s="523" t="s">
        <v>340</v>
      </c>
      <c r="F26" s="31">
        <v>4664.3</v>
      </c>
      <c r="G26" s="32"/>
      <c r="H26" s="33"/>
      <c r="I26" s="33"/>
      <c r="J26" s="33"/>
      <c r="K26" s="48"/>
      <c r="L26" s="48"/>
      <c r="M26" s="48"/>
      <c r="N26" s="48"/>
      <c r="O26" s="48"/>
      <c r="P26" s="48"/>
      <c r="Q26" s="48"/>
      <c r="R26" s="65"/>
      <c r="S26" s="31"/>
      <c r="T26" s="67"/>
      <c r="U26" s="62">
        <f>-$F$26/2</f>
        <v>-2332.15</v>
      </c>
      <c r="V26" s="62">
        <f>-$F$26/2</f>
        <v>-2332.15</v>
      </c>
      <c r="W26" s="62"/>
      <c r="X26" s="64"/>
      <c r="Y26" s="85"/>
      <c r="Z26" s="62"/>
      <c r="AA26" s="62"/>
      <c r="AB26" s="62"/>
      <c r="AC26" s="62"/>
      <c r="AD26" s="62"/>
      <c r="AE26" s="62"/>
      <c r="AF26" s="86">
        <f t="shared" si="14"/>
        <v>0</v>
      </c>
      <c r="AS26" s="101"/>
      <c r="AV26" s="102"/>
      <c r="AW26" s="109"/>
    </row>
    <row r="27" spans="1:49">
      <c r="A27" s="28" t="s">
        <v>303</v>
      </c>
      <c r="B27" s="10" t="s">
        <v>300</v>
      </c>
      <c r="C27" s="15" t="s">
        <v>342</v>
      </c>
      <c r="D27" s="29">
        <v>44197</v>
      </c>
      <c r="E27" s="525" t="s">
        <v>343</v>
      </c>
      <c r="F27" s="31">
        <v>39426.31</v>
      </c>
      <c r="G27" s="32"/>
      <c r="H27" s="33"/>
      <c r="I27" s="33"/>
      <c r="J27" s="33"/>
      <c r="K27" s="48"/>
      <c r="L27" s="48"/>
      <c r="M27" s="48"/>
      <c r="N27" s="48"/>
      <c r="O27" s="48"/>
      <c r="P27" s="48"/>
      <c r="Q27" s="48"/>
      <c r="R27" s="65"/>
      <c r="S27" s="31"/>
      <c r="T27" s="61"/>
      <c r="U27" s="62">
        <f t="shared" ref="U27:AE27" si="15">-$F$27/11</f>
        <v>-3584.21</v>
      </c>
      <c r="V27" s="62">
        <f t="shared" si="15"/>
        <v>-3584.21</v>
      </c>
      <c r="W27" s="63">
        <f t="shared" si="15"/>
        <v>-3584.21</v>
      </c>
      <c r="X27" s="64">
        <f t="shared" si="15"/>
        <v>-3584.21</v>
      </c>
      <c r="Y27" s="85">
        <f t="shared" si="15"/>
        <v>-3584.21</v>
      </c>
      <c r="Z27" s="62">
        <f t="shared" si="15"/>
        <v>-3584.21</v>
      </c>
      <c r="AA27" s="62">
        <f t="shared" si="15"/>
        <v>-3584.21</v>
      </c>
      <c r="AB27" s="62">
        <f t="shared" si="15"/>
        <v>-3584.21</v>
      </c>
      <c r="AC27" s="62">
        <f t="shared" si="15"/>
        <v>-3584.21</v>
      </c>
      <c r="AD27" s="62">
        <f t="shared" si="15"/>
        <v>-3584.21</v>
      </c>
      <c r="AE27" s="62">
        <f t="shared" si="15"/>
        <v>-3584.21</v>
      </c>
      <c r="AF27" s="86">
        <f t="shared" si="14"/>
        <v>6.3664629124105e-12</v>
      </c>
      <c r="AS27" s="101"/>
      <c r="AV27" s="102"/>
      <c r="AW27" s="109"/>
    </row>
    <row r="28" spans="1:49">
      <c r="A28" s="28" t="s">
        <v>344</v>
      </c>
      <c r="B28" s="10" t="s">
        <v>300</v>
      </c>
      <c r="C28" s="15" t="s">
        <v>345</v>
      </c>
      <c r="D28" s="29">
        <v>44228</v>
      </c>
      <c r="E28" s="523" t="s">
        <v>346</v>
      </c>
      <c r="F28" s="31">
        <v>10849.23</v>
      </c>
      <c r="G28" s="32"/>
      <c r="H28" s="33"/>
      <c r="I28" s="33"/>
      <c r="J28" s="33"/>
      <c r="K28" s="48"/>
      <c r="L28" s="48"/>
      <c r="M28" s="48"/>
      <c r="N28" s="48"/>
      <c r="O28" s="48"/>
      <c r="P28" s="48"/>
      <c r="Q28" s="48"/>
      <c r="R28" s="65"/>
      <c r="S28" s="31"/>
      <c r="T28" s="61"/>
      <c r="U28" s="62"/>
      <c r="V28" s="62">
        <f>-$F$28/10</f>
        <v>-1084.923</v>
      </c>
      <c r="W28" s="63">
        <f t="shared" ref="W28:AE28" si="16">-$F$28/10</f>
        <v>-1084.923</v>
      </c>
      <c r="X28" s="64">
        <f t="shared" si="16"/>
        <v>-1084.923</v>
      </c>
      <c r="Y28" s="85">
        <f t="shared" si="16"/>
        <v>-1084.923</v>
      </c>
      <c r="Z28" s="62">
        <f t="shared" si="16"/>
        <v>-1084.923</v>
      </c>
      <c r="AA28" s="62">
        <f t="shared" si="16"/>
        <v>-1084.923</v>
      </c>
      <c r="AB28" s="62">
        <f t="shared" si="16"/>
        <v>-1084.923</v>
      </c>
      <c r="AC28" s="62">
        <f t="shared" si="16"/>
        <v>-1084.923</v>
      </c>
      <c r="AD28" s="62">
        <f t="shared" si="16"/>
        <v>-1084.923</v>
      </c>
      <c r="AE28" s="62">
        <f t="shared" si="16"/>
        <v>-1084.923</v>
      </c>
      <c r="AF28" s="86">
        <f t="shared" si="14"/>
        <v>0</v>
      </c>
      <c r="AS28" s="101"/>
      <c r="AV28" s="102"/>
      <c r="AW28" s="109"/>
    </row>
    <row r="29" spans="1:49">
      <c r="A29" s="28" t="s">
        <v>344</v>
      </c>
      <c r="B29" s="10" t="s">
        <v>300</v>
      </c>
      <c r="C29" s="15" t="s">
        <v>347</v>
      </c>
      <c r="D29" s="29">
        <v>44228</v>
      </c>
      <c r="E29" s="523" t="s">
        <v>348</v>
      </c>
      <c r="F29" s="31">
        <v>4723.35</v>
      </c>
      <c r="G29" s="32"/>
      <c r="H29" s="33"/>
      <c r="I29" s="33"/>
      <c r="J29" s="33"/>
      <c r="K29" s="48"/>
      <c r="L29" s="48"/>
      <c r="M29" s="48"/>
      <c r="N29" s="48"/>
      <c r="O29" s="48"/>
      <c r="P29" s="48"/>
      <c r="Q29" s="48"/>
      <c r="R29" s="65"/>
      <c r="S29" s="31"/>
      <c r="T29" s="61"/>
      <c r="U29" s="62"/>
      <c r="V29" s="62">
        <f>-$F$29/10</f>
        <v>-472.335</v>
      </c>
      <c r="W29" s="63">
        <f t="shared" ref="W29:AE29" si="17">-$F$29/10</f>
        <v>-472.335</v>
      </c>
      <c r="X29" s="64">
        <f t="shared" si="17"/>
        <v>-472.335</v>
      </c>
      <c r="Y29" s="85">
        <f t="shared" si="17"/>
        <v>-472.335</v>
      </c>
      <c r="Z29" s="62">
        <f t="shared" si="17"/>
        <v>-472.335</v>
      </c>
      <c r="AA29" s="62">
        <f t="shared" si="17"/>
        <v>-472.335</v>
      </c>
      <c r="AB29" s="62">
        <f t="shared" si="17"/>
        <v>-472.335</v>
      </c>
      <c r="AC29" s="62">
        <f t="shared" si="17"/>
        <v>-472.335</v>
      </c>
      <c r="AD29" s="62">
        <f t="shared" si="17"/>
        <v>-472.335</v>
      </c>
      <c r="AE29" s="62">
        <f t="shared" si="17"/>
        <v>-472.335</v>
      </c>
      <c r="AF29" s="86">
        <f t="shared" ref="AF29:AF55" si="18">SUM(F29:AE29)</f>
        <v>0</v>
      </c>
      <c r="AS29" s="101"/>
      <c r="AV29" s="102"/>
      <c r="AW29" s="109"/>
    </row>
    <row r="30" spans="1:49">
      <c r="A30" s="28" t="s">
        <v>344</v>
      </c>
      <c r="B30" s="10" t="s">
        <v>300</v>
      </c>
      <c r="C30" s="15" t="s">
        <v>349</v>
      </c>
      <c r="D30" s="29">
        <v>44228</v>
      </c>
      <c r="E30" s="523" t="s">
        <v>350</v>
      </c>
      <c r="F30" s="31">
        <v>25240.41</v>
      </c>
      <c r="G30" s="32"/>
      <c r="H30" s="33"/>
      <c r="I30" s="33"/>
      <c r="J30" s="33"/>
      <c r="K30" s="48"/>
      <c r="L30" s="48"/>
      <c r="M30" s="48"/>
      <c r="N30" s="48"/>
      <c r="O30" s="48"/>
      <c r="P30" s="48"/>
      <c r="Q30" s="48"/>
      <c r="R30" s="65"/>
      <c r="S30" s="31"/>
      <c r="T30" s="61"/>
      <c r="U30" s="62"/>
      <c r="V30" s="62">
        <f>-$F$30/10</f>
        <v>-2524.041</v>
      </c>
      <c r="W30" s="63">
        <f t="shared" ref="W30:AE30" si="19">-$F$30/10</f>
        <v>-2524.041</v>
      </c>
      <c r="X30" s="64">
        <f t="shared" si="19"/>
        <v>-2524.041</v>
      </c>
      <c r="Y30" s="85">
        <f t="shared" si="19"/>
        <v>-2524.041</v>
      </c>
      <c r="Z30" s="62">
        <f t="shared" si="19"/>
        <v>-2524.041</v>
      </c>
      <c r="AA30" s="62">
        <f t="shared" si="19"/>
        <v>-2524.041</v>
      </c>
      <c r="AB30" s="62">
        <f t="shared" si="19"/>
        <v>-2524.041</v>
      </c>
      <c r="AC30" s="62">
        <f t="shared" si="19"/>
        <v>-2524.041</v>
      </c>
      <c r="AD30" s="62">
        <f t="shared" si="19"/>
        <v>-2524.041</v>
      </c>
      <c r="AE30" s="62">
        <f t="shared" si="19"/>
        <v>-2524.041</v>
      </c>
      <c r="AF30" s="86">
        <f t="shared" si="18"/>
        <v>-7.27595761418343e-12</v>
      </c>
      <c r="AS30" s="101"/>
      <c r="AV30" s="102"/>
      <c r="AW30" s="109"/>
    </row>
    <row r="31" spans="1:49">
      <c r="A31" s="28" t="s">
        <v>344</v>
      </c>
      <c r="B31" s="10" t="s">
        <v>300</v>
      </c>
      <c r="C31" s="15" t="s">
        <v>351</v>
      </c>
      <c r="D31" s="29">
        <v>44228</v>
      </c>
      <c r="E31" s="523" t="s">
        <v>352</v>
      </c>
      <c r="F31" s="31">
        <v>6245.19</v>
      </c>
      <c r="G31" s="32"/>
      <c r="H31" s="33"/>
      <c r="I31" s="33"/>
      <c r="J31" s="33"/>
      <c r="K31" s="48"/>
      <c r="L31" s="48"/>
      <c r="M31" s="48"/>
      <c r="N31" s="48"/>
      <c r="O31" s="48"/>
      <c r="P31" s="48"/>
      <c r="Q31" s="48"/>
      <c r="R31" s="65"/>
      <c r="S31" s="31"/>
      <c r="T31" s="61"/>
      <c r="U31" s="62"/>
      <c r="V31" s="62">
        <f>-$F$31/10</f>
        <v>-624.519</v>
      </c>
      <c r="W31" s="63">
        <f t="shared" ref="W31:AE31" si="20">-$F$31/10</f>
        <v>-624.519</v>
      </c>
      <c r="X31" s="64">
        <f t="shared" si="20"/>
        <v>-624.519</v>
      </c>
      <c r="Y31" s="85">
        <f t="shared" si="20"/>
        <v>-624.519</v>
      </c>
      <c r="Z31" s="62">
        <f t="shared" si="20"/>
        <v>-624.519</v>
      </c>
      <c r="AA31" s="62">
        <f t="shared" si="20"/>
        <v>-624.519</v>
      </c>
      <c r="AB31" s="62">
        <f t="shared" si="20"/>
        <v>-624.519</v>
      </c>
      <c r="AC31" s="62">
        <f t="shared" si="20"/>
        <v>-624.519</v>
      </c>
      <c r="AD31" s="62">
        <f t="shared" si="20"/>
        <v>-624.519</v>
      </c>
      <c r="AE31" s="62">
        <f t="shared" si="20"/>
        <v>-624.519</v>
      </c>
      <c r="AF31" s="86">
        <f t="shared" si="18"/>
        <v>-1.81898940354586e-12</v>
      </c>
      <c r="AS31" s="101"/>
      <c r="AV31" s="102"/>
      <c r="AW31" s="109"/>
    </row>
    <row r="32" spans="1:49">
      <c r="A32" s="28" t="s">
        <v>344</v>
      </c>
      <c r="B32" s="10" t="s">
        <v>300</v>
      </c>
      <c r="C32" s="15" t="s">
        <v>353</v>
      </c>
      <c r="D32" s="29">
        <v>44228</v>
      </c>
      <c r="E32" s="523" t="s">
        <v>354</v>
      </c>
      <c r="F32" s="31">
        <v>9405.57</v>
      </c>
      <c r="G32" s="32"/>
      <c r="H32" s="33"/>
      <c r="I32" s="33"/>
      <c r="J32" s="33"/>
      <c r="K32" s="48"/>
      <c r="L32" s="48"/>
      <c r="M32" s="48"/>
      <c r="N32" s="48"/>
      <c r="O32" s="48"/>
      <c r="P32" s="48"/>
      <c r="Q32" s="48"/>
      <c r="R32" s="65"/>
      <c r="S32" s="31"/>
      <c r="T32" s="61"/>
      <c r="U32" s="62"/>
      <c r="V32" s="62">
        <f>-$F$32/10</f>
        <v>-940.557</v>
      </c>
      <c r="W32" s="63">
        <f t="shared" ref="W32:AE32" si="21">-$F$32/10</f>
        <v>-940.557</v>
      </c>
      <c r="X32" s="64">
        <f t="shared" si="21"/>
        <v>-940.557</v>
      </c>
      <c r="Y32" s="85">
        <f t="shared" si="21"/>
        <v>-940.557</v>
      </c>
      <c r="Z32" s="62">
        <f t="shared" si="21"/>
        <v>-940.557</v>
      </c>
      <c r="AA32" s="62">
        <f t="shared" si="21"/>
        <v>-940.557</v>
      </c>
      <c r="AB32" s="62">
        <f t="shared" si="21"/>
        <v>-940.557</v>
      </c>
      <c r="AC32" s="62">
        <f t="shared" si="21"/>
        <v>-940.557</v>
      </c>
      <c r="AD32" s="62">
        <f t="shared" si="21"/>
        <v>-940.557</v>
      </c>
      <c r="AE32" s="62">
        <f t="shared" si="21"/>
        <v>-940.557</v>
      </c>
      <c r="AF32" s="86">
        <f t="shared" si="18"/>
        <v>0</v>
      </c>
      <c r="AS32" s="101"/>
      <c r="AV32" s="102"/>
      <c r="AW32" s="109"/>
    </row>
    <row r="33" spans="1:49">
      <c r="A33" s="28" t="s">
        <v>344</v>
      </c>
      <c r="B33" s="10" t="s">
        <v>300</v>
      </c>
      <c r="C33" s="15" t="s">
        <v>355</v>
      </c>
      <c r="D33" s="29">
        <v>44228</v>
      </c>
      <c r="E33" s="523" t="s">
        <v>356</v>
      </c>
      <c r="F33" s="31">
        <v>17557.07</v>
      </c>
      <c r="G33" s="32"/>
      <c r="H33" s="33"/>
      <c r="I33" s="33"/>
      <c r="J33" s="33"/>
      <c r="K33" s="48"/>
      <c r="L33" s="48"/>
      <c r="M33" s="48"/>
      <c r="N33" s="48"/>
      <c r="O33" s="48"/>
      <c r="P33" s="48"/>
      <c r="Q33" s="48"/>
      <c r="R33" s="65"/>
      <c r="S33" s="31"/>
      <c r="T33" s="61"/>
      <c r="U33" s="62"/>
      <c r="V33" s="62">
        <f>-$F$33/10</f>
        <v>-1755.707</v>
      </c>
      <c r="W33" s="63">
        <f t="shared" ref="W33:AE33" si="22">-$F$33/10</f>
        <v>-1755.707</v>
      </c>
      <c r="X33" s="64">
        <f t="shared" si="22"/>
        <v>-1755.707</v>
      </c>
      <c r="Y33" s="85">
        <f t="shared" si="22"/>
        <v>-1755.707</v>
      </c>
      <c r="Z33" s="62">
        <f t="shared" si="22"/>
        <v>-1755.707</v>
      </c>
      <c r="AA33" s="62">
        <f t="shared" si="22"/>
        <v>-1755.707</v>
      </c>
      <c r="AB33" s="62">
        <f t="shared" si="22"/>
        <v>-1755.707</v>
      </c>
      <c r="AC33" s="62">
        <f t="shared" si="22"/>
        <v>-1755.707</v>
      </c>
      <c r="AD33" s="62">
        <f t="shared" si="22"/>
        <v>-1755.707</v>
      </c>
      <c r="AE33" s="62">
        <f t="shared" si="22"/>
        <v>-1755.707</v>
      </c>
      <c r="AF33" s="86">
        <f t="shared" si="18"/>
        <v>-2.27373675443232e-12</v>
      </c>
      <c r="AS33" s="101"/>
      <c r="AV33" s="102"/>
      <c r="AW33" s="109"/>
    </row>
    <row r="34" spans="1:49">
      <c r="A34" s="28" t="s">
        <v>344</v>
      </c>
      <c r="B34" s="10" t="s">
        <v>300</v>
      </c>
      <c r="C34" s="15" t="s">
        <v>342</v>
      </c>
      <c r="D34" s="29">
        <v>44228</v>
      </c>
      <c r="E34" s="523" t="s">
        <v>357</v>
      </c>
      <c r="F34" s="31">
        <v>8876.2</v>
      </c>
      <c r="G34" s="32"/>
      <c r="H34" s="33"/>
      <c r="I34" s="33"/>
      <c r="J34" s="33"/>
      <c r="K34" s="48"/>
      <c r="L34" s="48"/>
      <c r="M34" s="48"/>
      <c r="N34" s="48"/>
      <c r="O34" s="48"/>
      <c r="P34" s="48"/>
      <c r="Q34" s="48"/>
      <c r="R34" s="65"/>
      <c r="S34" s="31"/>
      <c r="T34" s="61"/>
      <c r="U34" s="62"/>
      <c r="V34" s="62">
        <f>-$F$34/10</f>
        <v>-887.62</v>
      </c>
      <c r="W34" s="63">
        <f t="shared" ref="W34:AE34" si="23">-$F$34/10</f>
        <v>-887.62</v>
      </c>
      <c r="X34" s="64">
        <f t="shared" si="23"/>
        <v>-887.62</v>
      </c>
      <c r="Y34" s="85">
        <f t="shared" si="23"/>
        <v>-887.62</v>
      </c>
      <c r="Z34" s="62">
        <f t="shared" si="23"/>
        <v>-887.62</v>
      </c>
      <c r="AA34" s="62">
        <f t="shared" si="23"/>
        <v>-887.62</v>
      </c>
      <c r="AB34" s="62">
        <f t="shared" si="23"/>
        <v>-887.62</v>
      </c>
      <c r="AC34" s="62">
        <f t="shared" si="23"/>
        <v>-887.62</v>
      </c>
      <c r="AD34" s="62">
        <f t="shared" si="23"/>
        <v>-887.62</v>
      </c>
      <c r="AE34" s="62">
        <f t="shared" si="23"/>
        <v>-887.62</v>
      </c>
      <c r="AF34" s="86">
        <f t="shared" si="18"/>
        <v>1.13686837721616e-12</v>
      </c>
      <c r="AS34" s="101"/>
      <c r="AV34" s="102"/>
      <c r="AW34" s="109"/>
    </row>
    <row r="35" spans="1:49">
      <c r="A35" s="28" t="s">
        <v>344</v>
      </c>
      <c r="B35" s="10" t="s">
        <v>300</v>
      </c>
      <c r="C35" s="15" t="s">
        <v>358</v>
      </c>
      <c r="D35" s="29">
        <v>44228</v>
      </c>
      <c r="E35" s="30">
        <v>1000005313</v>
      </c>
      <c r="F35" s="31">
        <v>16382.82</v>
      </c>
      <c r="G35" s="32"/>
      <c r="H35" s="33"/>
      <c r="I35" s="33"/>
      <c r="J35" s="33"/>
      <c r="K35" s="48"/>
      <c r="L35" s="48"/>
      <c r="M35" s="48"/>
      <c r="N35" s="48"/>
      <c r="O35" s="48"/>
      <c r="P35" s="48"/>
      <c r="Q35" s="48"/>
      <c r="R35" s="65"/>
      <c r="S35" s="31"/>
      <c r="T35" s="61"/>
      <c r="U35" s="62"/>
      <c r="V35" s="62">
        <f>-$F$35/10</f>
        <v>-1638.282</v>
      </c>
      <c r="W35" s="63">
        <f t="shared" ref="W35:AE35" si="24">-$F$35/10</f>
        <v>-1638.282</v>
      </c>
      <c r="X35" s="64">
        <f t="shared" si="24"/>
        <v>-1638.282</v>
      </c>
      <c r="Y35" s="85">
        <f t="shared" si="24"/>
        <v>-1638.282</v>
      </c>
      <c r="Z35" s="62">
        <f t="shared" si="24"/>
        <v>-1638.282</v>
      </c>
      <c r="AA35" s="62">
        <f t="shared" si="24"/>
        <v>-1638.282</v>
      </c>
      <c r="AB35" s="62">
        <f t="shared" si="24"/>
        <v>-1638.282</v>
      </c>
      <c r="AC35" s="62">
        <f t="shared" si="24"/>
        <v>-1638.282</v>
      </c>
      <c r="AD35" s="62">
        <f t="shared" si="24"/>
        <v>-1638.282</v>
      </c>
      <c r="AE35" s="62">
        <f t="shared" si="24"/>
        <v>-1638.282</v>
      </c>
      <c r="AF35" s="86">
        <f t="shared" si="18"/>
        <v>2.27373675443232e-12</v>
      </c>
      <c r="AS35" s="101"/>
      <c r="AV35" s="102"/>
      <c r="AW35" s="109"/>
    </row>
    <row r="36" spans="1:49">
      <c r="A36" s="28" t="s">
        <v>310</v>
      </c>
      <c r="B36" s="10" t="s">
        <v>359</v>
      </c>
      <c r="C36" s="15" t="s">
        <v>312</v>
      </c>
      <c r="D36" s="29">
        <v>44256</v>
      </c>
      <c r="E36" s="30">
        <v>6885120894</v>
      </c>
      <c r="F36" s="31">
        <v>3940</v>
      </c>
      <c r="G36" s="32"/>
      <c r="H36" s="33"/>
      <c r="I36" s="33"/>
      <c r="J36" s="33"/>
      <c r="K36" s="48"/>
      <c r="L36" s="48"/>
      <c r="M36" s="48"/>
      <c r="N36" s="48"/>
      <c r="O36" s="48"/>
      <c r="P36" s="48"/>
      <c r="Q36" s="48"/>
      <c r="R36" s="65"/>
      <c r="S36" s="31"/>
      <c r="T36" s="61"/>
      <c r="U36" s="62"/>
      <c r="V36" s="62"/>
      <c r="W36" s="63">
        <f>-$F$36/2</f>
        <v>-1970</v>
      </c>
      <c r="X36" s="64">
        <f>-$F$36/2</f>
        <v>-1970</v>
      </c>
      <c r="Y36" s="85"/>
      <c r="Z36" s="62"/>
      <c r="AA36" s="62"/>
      <c r="AB36" s="62"/>
      <c r="AC36" s="62"/>
      <c r="AD36" s="62"/>
      <c r="AE36" s="62"/>
      <c r="AF36" s="86">
        <f t="shared" si="18"/>
        <v>0</v>
      </c>
      <c r="AS36" s="101"/>
      <c r="AV36" s="102"/>
      <c r="AW36" s="109"/>
    </row>
    <row r="37" spans="1:49">
      <c r="A37" s="28" t="s">
        <v>310</v>
      </c>
      <c r="B37" s="10" t="s">
        <v>359</v>
      </c>
      <c r="C37" s="15" t="s">
        <v>313</v>
      </c>
      <c r="D37" s="29">
        <v>44256</v>
      </c>
      <c r="E37" s="30">
        <v>6885120894</v>
      </c>
      <c r="F37" s="31">
        <v>300</v>
      </c>
      <c r="G37" s="32"/>
      <c r="H37" s="33"/>
      <c r="I37" s="33"/>
      <c r="J37" s="33"/>
      <c r="K37" s="48"/>
      <c r="L37" s="48"/>
      <c r="M37" s="48"/>
      <c r="N37" s="48"/>
      <c r="O37" s="48"/>
      <c r="P37" s="48"/>
      <c r="Q37" s="48"/>
      <c r="R37" s="65"/>
      <c r="S37" s="31"/>
      <c r="T37" s="61"/>
      <c r="U37" s="62"/>
      <c r="V37" s="62"/>
      <c r="W37" s="63">
        <f>-$F$37/2</f>
        <v>-150</v>
      </c>
      <c r="X37" s="64">
        <f>-$F$37/2</f>
        <v>-150</v>
      </c>
      <c r="Y37" s="85"/>
      <c r="Z37" s="62"/>
      <c r="AA37" s="62"/>
      <c r="AB37" s="62"/>
      <c r="AC37" s="62"/>
      <c r="AD37" s="62"/>
      <c r="AE37" s="62"/>
      <c r="AF37" s="86">
        <f t="shared" si="18"/>
        <v>0</v>
      </c>
      <c r="AS37" s="101"/>
      <c r="AV37" s="102"/>
      <c r="AW37" s="109"/>
    </row>
    <row r="38" spans="1:49">
      <c r="A38" s="28" t="s">
        <v>310</v>
      </c>
      <c r="B38" s="10" t="s">
        <v>359</v>
      </c>
      <c r="C38" s="15" t="s">
        <v>314</v>
      </c>
      <c r="D38" s="29">
        <v>44256</v>
      </c>
      <c r="E38" s="30">
        <v>6885120894</v>
      </c>
      <c r="F38" s="31">
        <v>1250</v>
      </c>
      <c r="G38" s="32"/>
      <c r="H38" s="33"/>
      <c r="I38" s="33"/>
      <c r="J38" s="33"/>
      <c r="K38" s="48"/>
      <c r="L38" s="48"/>
      <c r="M38" s="48"/>
      <c r="N38" s="48"/>
      <c r="O38" s="48"/>
      <c r="P38" s="48"/>
      <c r="Q38" s="48"/>
      <c r="R38" s="65"/>
      <c r="S38" s="31"/>
      <c r="T38" s="61"/>
      <c r="U38" s="62"/>
      <c r="V38" s="62"/>
      <c r="W38" s="63">
        <f>-$F$38/2</f>
        <v>-625</v>
      </c>
      <c r="X38" s="64">
        <f>-$F$38/2</f>
        <v>-625</v>
      </c>
      <c r="Y38" s="85"/>
      <c r="Z38" s="62"/>
      <c r="AA38" s="62"/>
      <c r="AB38" s="62"/>
      <c r="AC38" s="62"/>
      <c r="AD38" s="62"/>
      <c r="AE38" s="62"/>
      <c r="AF38" s="86">
        <f t="shared" si="18"/>
        <v>0</v>
      </c>
      <c r="AS38" s="101"/>
      <c r="AV38" s="102"/>
      <c r="AW38" s="109"/>
    </row>
    <row r="39" spans="1:49">
      <c r="A39" s="28" t="s">
        <v>310</v>
      </c>
      <c r="B39" s="10" t="s">
        <v>359</v>
      </c>
      <c r="C39" s="15" t="s">
        <v>315</v>
      </c>
      <c r="D39" s="29">
        <v>44256</v>
      </c>
      <c r="E39" s="30">
        <v>6885120894</v>
      </c>
      <c r="F39" s="31">
        <v>1250</v>
      </c>
      <c r="G39" s="32"/>
      <c r="H39" s="33"/>
      <c r="I39" s="33"/>
      <c r="J39" s="33"/>
      <c r="K39" s="48"/>
      <c r="L39" s="48"/>
      <c r="M39" s="48"/>
      <c r="N39" s="48"/>
      <c r="O39" s="48"/>
      <c r="P39" s="48"/>
      <c r="Q39" s="48"/>
      <c r="R39" s="65"/>
      <c r="S39" s="31"/>
      <c r="T39" s="61"/>
      <c r="U39" s="62"/>
      <c r="V39" s="62"/>
      <c r="W39" s="63">
        <f>-$F$39/2</f>
        <v>-625</v>
      </c>
      <c r="X39" s="64">
        <f>-$F$39/2</f>
        <v>-625</v>
      </c>
      <c r="Y39" s="85"/>
      <c r="Z39" s="62"/>
      <c r="AA39" s="62"/>
      <c r="AB39" s="62"/>
      <c r="AC39" s="62"/>
      <c r="AD39" s="62"/>
      <c r="AE39" s="62"/>
      <c r="AF39" s="86">
        <f t="shared" si="18"/>
        <v>0</v>
      </c>
      <c r="AS39" s="101"/>
      <c r="AV39" s="102"/>
      <c r="AW39" s="109"/>
    </row>
    <row r="40" spans="1:49">
      <c r="A40" s="28" t="s">
        <v>310</v>
      </c>
      <c r="B40" s="10" t="s">
        <v>359</v>
      </c>
      <c r="C40" s="15" t="s">
        <v>316</v>
      </c>
      <c r="D40" s="29">
        <v>44256</v>
      </c>
      <c r="E40" s="30">
        <v>6885120894</v>
      </c>
      <c r="F40" s="31">
        <v>11820</v>
      </c>
      <c r="G40" s="32"/>
      <c r="H40" s="33"/>
      <c r="I40" s="33"/>
      <c r="J40" s="33"/>
      <c r="K40" s="48"/>
      <c r="L40" s="48"/>
      <c r="M40" s="48"/>
      <c r="N40" s="48"/>
      <c r="O40" s="48"/>
      <c r="P40" s="48"/>
      <c r="Q40" s="48"/>
      <c r="R40" s="65"/>
      <c r="S40" s="31"/>
      <c r="T40" s="61"/>
      <c r="U40" s="62"/>
      <c r="V40" s="62"/>
      <c r="W40" s="63">
        <f>-$F$40/2</f>
        <v>-5910</v>
      </c>
      <c r="X40" s="64">
        <f>-$F$40/2</f>
        <v>-5910</v>
      </c>
      <c r="Y40" s="85"/>
      <c r="Z40" s="62"/>
      <c r="AA40" s="62"/>
      <c r="AB40" s="62"/>
      <c r="AC40" s="62"/>
      <c r="AD40" s="62"/>
      <c r="AE40" s="62"/>
      <c r="AF40" s="86">
        <f t="shared" si="18"/>
        <v>0</v>
      </c>
      <c r="AS40" s="101"/>
      <c r="AV40" s="102"/>
      <c r="AW40" s="109"/>
    </row>
    <row r="41" spans="1:49">
      <c r="A41" s="28" t="s">
        <v>360</v>
      </c>
      <c r="B41" s="10" t="s">
        <v>361</v>
      </c>
      <c r="C41" s="15" t="s">
        <v>362</v>
      </c>
      <c r="D41" s="29">
        <v>44256</v>
      </c>
      <c r="E41" s="30">
        <v>2000218004</v>
      </c>
      <c r="F41" s="31">
        <v>21089.25</v>
      </c>
      <c r="G41" s="32"/>
      <c r="H41" s="33"/>
      <c r="I41" s="33"/>
      <c r="J41" s="33"/>
      <c r="K41" s="48"/>
      <c r="L41" s="48"/>
      <c r="M41" s="48"/>
      <c r="N41" s="48"/>
      <c r="O41" s="48"/>
      <c r="P41" s="48"/>
      <c r="Q41" s="48"/>
      <c r="R41" s="65"/>
      <c r="S41" s="31"/>
      <c r="T41" s="61"/>
      <c r="U41" s="62"/>
      <c r="V41" s="62"/>
      <c r="W41" s="63">
        <f>-$F$41/9</f>
        <v>-2343.25</v>
      </c>
      <c r="X41" s="64">
        <f t="shared" ref="X41:AE41" si="25">-$F$41/9</f>
        <v>-2343.25</v>
      </c>
      <c r="Y41" s="85">
        <f t="shared" si="25"/>
        <v>-2343.25</v>
      </c>
      <c r="Z41" s="62">
        <f t="shared" si="25"/>
        <v>-2343.25</v>
      </c>
      <c r="AA41" s="62">
        <f t="shared" si="25"/>
        <v>-2343.25</v>
      </c>
      <c r="AB41" s="62">
        <f t="shared" si="25"/>
        <v>-2343.25</v>
      </c>
      <c r="AC41" s="62">
        <f t="shared" si="25"/>
        <v>-2343.25</v>
      </c>
      <c r="AD41" s="62">
        <f t="shared" si="25"/>
        <v>-2343.25</v>
      </c>
      <c r="AE41" s="62">
        <f t="shared" si="25"/>
        <v>-2343.25</v>
      </c>
      <c r="AF41" s="86">
        <f t="shared" si="18"/>
        <v>0</v>
      </c>
      <c r="AS41" s="101"/>
      <c r="AV41" s="102"/>
      <c r="AW41" s="109"/>
    </row>
    <row r="42" spans="1:49">
      <c r="A42" s="28" t="s">
        <v>303</v>
      </c>
      <c r="B42" s="10" t="s">
        <v>300</v>
      </c>
      <c r="C42" s="15" t="s">
        <v>363</v>
      </c>
      <c r="D42" s="29">
        <v>44256</v>
      </c>
      <c r="E42" s="523" t="s">
        <v>364</v>
      </c>
      <c r="F42" s="31">
        <f>16800-4200</f>
        <v>12600</v>
      </c>
      <c r="G42" s="32"/>
      <c r="H42" s="33"/>
      <c r="I42" s="33"/>
      <c r="J42" s="33"/>
      <c r="K42" s="48"/>
      <c r="L42" s="48"/>
      <c r="M42" s="48"/>
      <c r="N42" s="48"/>
      <c r="O42" s="48"/>
      <c r="P42" s="48"/>
      <c r="Q42" s="48"/>
      <c r="R42" s="65"/>
      <c r="S42" s="31"/>
      <c r="T42" s="61"/>
      <c r="U42" s="62"/>
      <c r="V42" s="62"/>
      <c r="W42" s="63">
        <f>-$F$42/9</f>
        <v>-1400</v>
      </c>
      <c r="X42" s="64">
        <f t="shared" ref="X42:AE42" si="26">-$F$42/9</f>
        <v>-1400</v>
      </c>
      <c r="Y42" s="85">
        <f t="shared" si="26"/>
        <v>-1400</v>
      </c>
      <c r="Z42" s="62">
        <f t="shared" si="26"/>
        <v>-1400</v>
      </c>
      <c r="AA42" s="62">
        <f t="shared" si="26"/>
        <v>-1400</v>
      </c>
      <c r="AB42" s="62">
        <f t="shared" si="26"/>
        <v>-1400</v>
      </c>
      <c r="AC42" s="62">
        <f t="shared" si="26"/>
        <v>-1400</v>
      </c>
      <c r="AD42" s="62">
        <f t="shared" si="26"/>
        <v>-1400</v>
      </c>
      <c r="AE42" s="62">
        <f t="shared" si="26"/>
        <v>-1400</v>
      </c>
      <c r="AF42" s="86">
        <f t="shared" si="18"/>
        <v>0</v>
      </c>
      <c r="AS42" s="101"/>
      <c r="AV42" s="102"/>
      <c r="AW42" s="109"/>
    </row>
    <row r="43" spans="1:49">
      <c r="A43" s="28" t="s">
        <v>365</v>
      </c>
      <c r="B43" s="10" t="s">
        <v>366</v>
      </c>
      <c r="C43" s="15" t="s">
        <v>367</v>
      </c>
      <c r="D43" s="29">
        <v>44256</v>
      </c>
      <c r="E43" s="523" t="s">
        <v>368</v>
      </c>
      <c r="F43" s="31">
        <v>24088.25</v>
      </c>
      <c r="G43" s="32"/>
      <c r="H43" s="33"/>
      <c r="I43" s="33"/>
      <c r="J43" s="33"/>
      <c r="K43" s="48"/>
      <c r="L43" s="48"/>
      <c r="M43" s="48"/>
      <c r="N43" s="48"/>
      <c r="O43" s="48"/>
      <c r="P43" s="48"/>
      <c r="Q43" s="48"/>
      <c r="R43" s="65"/>
      <c r="S43" s="31"/>
      <c r="T43" s="61"/>
      <c r="U43" s="62"/>
      <c r="V43" s="62"/>
      <c r="W43" s="62">
        <f>-$F$43/12</f>
        <v>-2007.35416666667</v>
      </c>
      <c r="X43" s="64">
        <f t="shared" ref="X43:AE43" si="27">-$F$43/12</f>
        <v>-2007.35416666667</v>
      </c>
      <c r="Y43" s="85">
        <f t="shared" si="27"/>
        <v>-2007.35416666667</v>
      </c>
      <c r="Z43" s="62">
        <f t="shared" si="27"/>
        <v>-2007.35416666667</v>
      </c>
      <c r="AA43" s="62">
        <f t="shared" si="27"/>
        <v>-2007.35416666667</v>
      </c>
      <c r="AB43" s="62">
        <f t="shared" si="27"/>
        <v>-2007.35416666667</v>
      </c>
      <c r="AC43" s="62">
        <f t="shared" si="27"/>
        <v>-2007.35416666667</v>
      </c>
      <c r="AD43" s="62">
        <f t="shared" si="27"/>
        <v>-2007.35416666667</v>
      </c>
      <c r="AE43" s="62">
        <f t="shared" si="27"/>
        <v>-2007.35416666667</v>
      </c>
      <c r="AF43" s="86">
        <f t="shared" si="18"/>
        <v>6022.0625</v>
      </c>
      <c r="AS43" s="101"/>
      <c r="AV43" s="102"/>
      <c r="AW43" s="109"/>
    </row>
    <row r="44" spans="1:49">
      <c r="A44" s="28" t="s">
        <v>369</v>
      </c>
      <c r="B44" s="10" t="s">
        <v>366</v>
      </c>
      <c r="C44" s="15" t="s">
        <v>370</v>
      </c>
      <c r="D44" s="29">
        <v>44287</v>
      </c>
      <c r="E44" s="523" t="s">
        <v>371</v>
      </c>
      <c r="F44" s="31">
        <f>842.75*11</f>
        <v>9270.25</v>
      </c>
      <c r="G44" s="32"/>
      <c r="H44" s="33"/>
      <c r="I44" s="33"/>
      <c r="J44" s="33"/>
      <c r="K44" s="48"/>
      <c r="L44" s="48"/>
      <c r="M44" s="48"/>
      <c r="N44" s="48"/>
      <c r="O44" s="48"/>
      <c r="P44" s="48"/>
      <c r="Q44" s="48"/>
      <c r="R44" s="65"/>
      <c r="S44" s="31"/>
      <c r="T44" s="61"/>
      <c r="U44" s="62"/>
      <c r="V44" s="62"/>
      <c r="W44" s="62"/>
      <c r="X44" s="64">
        <f>-$F$44/11</f>
        <v>-842.75</v>
      </c>
      <c r="Y44" s="85">
        <f t="shared" ref="Y44:AE44" si="28">-$F$44/11</f>
        <v>-842.75</v>
      </c>
      <c r="Z44" s="62">
        <f t="shared" si="28"/>
        <v>-842.75</v>
      </c>
      <c r="AA44" s="62">
        <f t="shared" si="28"/>
        <v>-842.75</v>
      </c>
      <c r="AB44" s="62">
        <f t="shared" si="28"/>
        <v>-842.75</v>
      </c>
      <c r="AC44" s="62">
        <f t="shared" si="28"/>
        <v>-842.75</v>
      </c>
      <c r="AD44" s="62">
        <f t="shared" si="28"/>
        <v>-842.75</v>
      </c>
      <c r="AE44" s="62">
        <f t="shared" si="28"/>
        <v>-842.75</v>
      </c>
      <c r="AF44" s="86">
        <f t="shared" si="18"/>
        <v>2528.25</v>
      </c>
      <c r="AS44" s="101"/>
      <c r="AV44" s="102"/>
      <c r="AW44" s="109"/>
    </row>
    <row r="45" spans="1:49">
      <c r="A45" s="28" t="s">
        <v>372</v>
      </c>
      <c r="B45" s="10" t="s">
        <v>373</v>
      </c>
      <c r="C45" s="15" t="s">
        <v>374</v>
      </c>
      <c r="D45" s="29">
        <v>44287</v>
      </c>
      <c r="E45" s="523" t="s">
        <v>375</v>
      </c>
      <c r="F45" s="31">
        <f>1350*10</f>
        <v>13500</v>
      </c>
      <c r="G45" s="32"/>
      <c r="H45" s="33"/>
      <c r="I45" s="33"/>
      <c r="J45" s="33"/>
      <c r="K45" s="48"/>
      <c r="L45" s="48"/>
      <c r="M45" s="48"/>
      <c r="N45" s="48"/>
      <c r="O45" s="48"/>
      <c r="P45" s="48"/>
      <c r="Q45" s="48"/>
      <c r="R45" s="65"/>
      <c r="S45" s="31"/>
      <c r="T45" s="61"/>
      <c r="U45" s="62"/>
      <c r="V45" s="62"/>
      <c r="W45" s="62"/>
      <c r="X45" s="64">
        <f>-$F$45/10</f>
        <v>-1350</v>
      </c>
      <c r="Y45" s="85">
        <f t="shared" ref="Y45:AE45" si="29">-$F$45/10</f>
        <v>-1350</v>
      </c>
      <c r="Z45" s="62">
        <f t="shared" si="29"/>
        <v>-1350</v>
      </c>
      <c r="AA45" s="62">
        <f t="shared" si="29"/>
        <v>-1350</v>
      </c>
      <c r="AB45" s="62">
        <f t="shared" si="29"/>
        <v>-1350</v>
      </c>
      <c r="AC45" s="62">
        <f t="shared" si="29"/>
        <v>-1350</v>
      </c>
      <c r="AD45" s="62">
        <f t="shared" si="29"/>
        <v>-1350</v>
      </c>
      <c r="AE45" s="62">
        <f t="shared" si="29"/>
        <v>-1350</v>
      </c>
      <c r="AF45" s="86">
        <f t="shared" si="18"/>
        <v>2700</v>
      </c>
      <c r="AS45" s="101"/>
      <c r="AV45" s="102"/>
      <c r="AW45" s="109"/>
    </row>
    <row r="46" spans="1:49">
      <c r="A46" s="28" t="s">
        <v>287</v>
      </c>
      <c r="B46" s="10" t="s">
        <v>376</v>
      </c>
      <c r="C46" s="15" t="s">
        <v>377</v>
      </c>
      <c r="D46" s="29">
        <v>44317</v>
      </c>
      <c r="E46" s="36">
        <v>8102597</v>
      </c>
      <c r="F46" s="31">
        <v>39940.7</v>
      </c>
      <c r="G46" s="32"/>
      <c r="H46" s="33"/>
      <c r="I46" s="33"/>
      <c r="J46" s="33"/>
      <c r="K46" s="48"/>
      <c r="L46" s="48"/>
      <c r="M46" s="48"/>
      <c r="N46" s="48"/>
      <c r="O46" s="48"/>
      <c r="P46" s="48"/>
      <c r="Q46" s="48"/>
      <c r="R46" s="65"/>
      <c r="S46" s="31"/>
      <c r="T46" s="61"/>
      <c r="U46" s="62"/>
      <c r="V46" s="62"/>
      <c r="W46" s="62"/>
      <c r="X46" s="62"/>
      <c r="Y46" s="85">
        <f>-$F$46/11</f>
        <v>-3630.97272727273</v>
      </c>
      <c r="Z46" s="62">
        <f t="shared" ref="Z46:AE46" si="30">-$F$46/11</f>
        <v>-3630.97272727273</v>
      </c>
      <c r="AA46" s="62">
        <f t="shared" si="30"/>
        <v>-3630.97272727273</v>
      </c>
      <c r="AB46" s="62">
        <f t="shared" si="30"/>
        <v>-3630.97272727273</v>
      </c>
      <c r="AC46" s="62">
        <f t="shared" si="30"/>
        <v>-3630.97272727273</v>
      </c>
      <c r="AD46" s="62">
        <f t="shared" si="30"/>
        <v>-3630.97272727273</v>
      </c>
      <c r="AE46" s="62">
        <f t="shared" si="30"/>
        <v>-3630.97272727273</v>
      </c>
      <c r="AF46" s="86">
        <f t="shared" si="18"/>
        <v>14523.8909090909</v>
      </c>
      <c r="AS46" s="101"/>
      <c r="AV46" s="102"/>
      <c r="AW46" s="109"/>
    </row>
    <row r="47" spans="1:49">
      <c r="A47" s="28" t="s">
        <v>303</v>
      </c>
      <c r="B47" s="10" t="s">
        <v>378</v>
      </c>
      <c r="C47" s="15" t="s">
        <v>339</v>
      </c>
      <c r="D47" s="29">
        <v>44317</v>
      </c>
      <c r="E47" s="523" t="s">
        <v>379</v>
      </c>
      <c r="F47" s="31">
        <v>9705.94</v>
      </c>
      <c r="G47" s="32"/>
      <c r="H47" s="33"/>
      <c r="I47" s="33"/>
      <c r="J47" s="33"/>
      <c r="K47" s="48"/>
      <c r="L47" s="48"/>
      <c r="M47" s="48"/>
      <c r="N47" s="48"/>
      <c r="O47" s="48"/>
      <c r="P47" s="48"/>
      <c r="Q47" s="48"/>
      <c r="R47" s="65"/>
      <c r="S47" s="31"/>
      <c r="T47" s="61"/>
      <c r="U47" s="63"/>
      <c r="V47" s="62"/>
      <c r="W47" s="62"/>
      <c r="X47" s="62"/>
      <c r="Y47" s="85">
        <f>-F47</f>
        <v>-9705.94</v>
      </c>
      <c r="Z47" s="62"/>
      <c r="AA47" s="62"/>
      <c r="AB47" s="62"/>
      <c r="AC47" s="62"/>
      <c r="AD47" s="62"/>
      <c r="AE47" s="62"/>
      <c r="AF47" s="86">
        <f t="shared" si="18"/>
        <v>0</v>
      </c>
      <c r="AS47" s="101"/>
      <c r="AV47" s="102"/>
      <c r="AW47" s="109"/>
    </row>
    <row r="48" spans="1:49">
      <c r="A48" s="28" t="s">
        <v>303</v>
      </c>
      <c r="B48" s="10" t="s">
        <v>378</v>
      </c>
      <c r="C48" s="15" t="s">
        <v>341</v>
      </c>
      <c r="D48" s="29">
        <v>44317</v>
      </c>
      <c r="E48" s="523" t="s">
        <v>379</v>
      </c>
      <c r="F48" s="31">
        <v>2316.9</v>
      </c>
      <c r="G48" s="32"/>
      <c r="H48" s="33"/>
      <c r="I48" s="33"/>
      <c r="J48" s="33"/>
      <c r="K48" s="48"/>
      <c r="L48" s="48"/>
      <c r="M48" s="48"/>
      <c r="N48" s="48"/>
      <c r="O48" s="48"/>
      <c r="P48" s="48"/>
      <c r="Q48" s="48"/>
      <c r="R48" s="65"/>
      <c r="S48" s="31"/>
      <c r="T48" s="61"/>
      <c r="U48" s="63"/>
      <c r="V48" s="62"/>
      <c r="W48" s="62"/>
      <c r="X48" s="62"/>
      <c r="Y48" s="85">
        <f>-F48</f>
        <v>-2316.9</v>
      </c>
      <c r="Z48" s="62"/>
      <c r="AA48" s="62"/>
      <c r="AB48" s="62"/>
      <c r="AC48" s="62"/>
      <c r="AD48" s="62"/>
      <c r="AE48" s="62"/>
      <c r="AF48" s="86">
        <f t="shared" si="18"/>
        <v>0</v>
      </c>
      <c r="AS48" s="101"/>
      <c r="AV48" s="102"/>
      <c r="AW48" s="109"/>
    </row>
    <row r="49" spans="1:49">
      <c r="A49" s="28" t="s">
        <v>310</v>
      </c>
      <c r="B49" s="10" t="s">
        <v>380</v>
      </c>
      <c r="C49" s="15" t="s">
        <v>312</v>
      </c>
      <c r="D49" s="29">
        <v>44368</v>
      </c>
      <c r="E49" s="30">
        <v>6885133337</v>
      </c>
      <c r="F49" s="31">
        <f>6060/4*3</f>
        <v>4545</v>
      </c>
      <c r="G49" s="32"/>
      <c r="H49" s="33"/>
      <c r="I49" s="33"/>
      <c r="J49" s="33"/>
      <c r="K49" s="48"/>
      <c r="L49" s="48"/>
      <c r="M49" s="48"/>
      <c r="N49" s="48"/>
      <c r="O49" s="48"/>
      <c r="P49" s="48"/>
      <c r="Q49" s="48"/>
      <c r="R49" s="65"/>
      <c r="S49" s="31"/>
      <c r="T49" s="61"/>
      <c r="U49" s="63"/>
      <c r="V49" s="62"/>
      <c r="W49" s="62"/>
      <c r="X49" s="62"/>
      <c r="Y49" s="85"/>
      <c r="Z49" s="62">
        <f>-$F$49/3</f>
        <v>-1515</v>
      </c>
      <c r="AA49" s="62">
        <f>-$F$49/3</f>
        <v>-1515</v>
      </c>
      <c r="AB49" s="62">
        <f>-$F$49/3</f>
        <v>-1515</v>
      </c>
      <c r="AC49" s="62"/>
      <c r="AD49" s="62"/>
      <c r="AE49" s="62"/>
      <c r="AF49" s="86">
        <f t="shared" si="18"/>
        <v>0</v>
      </c>
      <c r="AS49" s="101"/>
      <c r="AV49" s="102"/>
      <c r="AW49" s="109"/>
    </row>
    <row r="50" spans="1:49">
      <c r="A50" s="28" t="s">
        <v>310</v>
      </c>
      <c r="B50" s="10" t="s">
        <v>380</v>
      </c>
      <c r="C50" s="15" t="s">
        <v>313</v>
      </c>
      <c r="D50" s="29">
        <v>44368</v>
      </c>
      <c r="E50" s="30">
        <v>6885133337</v>
      </c>
      <c r="F50" s="31">
        <f>450/4*3</f>
        <v>337.5</v>
      </c>
      <c r="G50" s="32"/>
      <c r="H50" s="33"/>
      <c r="I50" s="33"/>
      <c r="J50" s="33"/>
      <c r="K50" s="48"/>
      <c r="L50" s="48"/>
      <c r="M50" s="48"/>
      <c r="N50" s="48"/>
      <c r="O50" s="48"/>
      <c r="P50" s="48"/>
      <c r="Q50" s="48"/>
      <c r="R50" s="65"/>
      <c r="S50" s="31"/>
      <c r="T50" s="61"/>
      <c r="U50" s="63"/>
      <c r="V50" s="62"/>
      <c r="W50" s="62"/>
      <c r="X50" s="62"/>
      <c r="Y50" s="85"/>
      <c r="Z50" s="62">
        <f>-$F$50/3</f>
        <v>-112.5</v>
      </c>
      <c r="AA50" s="62">
        <f t="shared" ref="AA50:AB50" si="31">-$F$50/3</f>
        <v>-112.5</v>
      </c>
      <c r="AB50" s="62">
        <f t="shared" si="31"/>
        <v>-112.5</v>
      </c>
      <c r="AC50" s="62"/>
      <c r="AD50" s="62"/>
      <c r="AE50" s="62"/>
      <c r="AF50" s="86">
        <f t="shared" si="18"/>
        <v>0</v>
      </c>
      <c r="AS50" s="101"/>
      <c r="AV50" s="102"/>
      <c r="AW50" s="109"/>
    </row>
    <row r="51" spans="1:49">
      <c r="A51" s="28" t="s">
        <v>310</v>
      </c>
      <c r="B51" s="10" t="s">
        <v>380</v>
      </c>
      <c r="C51" s="15" t="s">
        <v>314</v>
      </c>
      <c r="D51" s="29">
        <v>44368</v>
      </c>
      <c r="E51" s="30">
        <v>6885133337</v>
      </c>
      <c r="F51" s="31">
        <f>1875/4*3</f>
        <v>1406.25</v>
      </c>
      <c r="G51" s="32"/>
      <c r="H51" s="33"/>
      <c r="I51" s="33"/>
      <c r="J51" s="33"/>
      <c r="K51" s="48"/>
      <c r="L51" s="48"/>
      <c r="M51" s="48"/>
      <c r="N51" s="48"/>
      <c r="O51" s="48"/>
      <c r="P51" s="48"/>
      <c r="Q51" s="48"/>
      <c r="R51" s="65"/>
      <c r="S51" s="31"/>
      <c r="T51" s="61"/>
      <c r="U51" s="63"/>
      <c r="V51" s="62"/>
      <c r="W51" s="62"/>
      <c r="X51" s="62"/>
      <c r="Y51" s="85"/>
      <c r="Z51" s="62">
        <f>-$F$51/3</f>
        <v>-468.75</v>
      </c>
      <c r="AA51" s="62">
        <f t="shared" ref="AA51:AB51" si="32">-$F$51/3</f>
        <v>-468.75</v>
      </c>
      <c r="AB51" s="62">
        <f t="shared" si="32"/>
        <v>-468.75</v>
      </c>
      <c r="AC51" s="62"/>
      <c r="AD51" s="62"/>
      <c r="AE51" s="62"/>
      <c r="AF51" s="86">
        <f t="shared" si="18"/>
        <v>0</v>
      </c>
      <c r="AS51" s="101"/>
      <c r="AV51" s="102"/>
      <c r="AW51" s="109"/>
    </row>
    <row r="52" spans="1:49">
      <c r="A52" s="28" t="s">
        <v>310</v>
      </c>
      <c r="B52" s="10" t="s">
        <v>380</v>
      </c>
      <c r="C52" s="15" t="s">
        <v>315</v>
      </c>
      <c r="D52" s="29">
        <v>44368</v>
      </c>
      <c r="E52" s="30">
        <v>6885133337</v>
      </c>
      <c r="F52" s="31">
        <f>1875/4*3</f>
        <v>1406.25</v>
      </c>
      <c r="G52" s="32"/>
      <c r="H52" s="33"/>
      <c r="I52" s="33"/>
      <c r="J52" s="33"/>
      <c r="K52" s="48"/>
      <c r="L52" s="48"/>
      <c r="M52" s="48"/>
      <c r="N52" s="48"/>
      <c r="O52" s="48"/>
      <c r="P52" s="48"/>
      <c r="Q52" s="48"/>
      <c r="R52" s="65"/>
      <c r="S52" s="31"/>
      <c r="T52" s="61"/>
      <c r="U52" s="63"/>
      <c r="V52" s="62"/>
      <c r="W52" s="62"/>
      <c r="X52" s="62"/>
      <c r="Y52" s="85"/>
      <c r="Z52" s="62">
        <f>-$F$52/3</f>
        <v>-468.75</v>
      </c>
      <c r="AA52" s="62">
        <f t="shared" ref="AA52:AB52" si="33">-$F$52/3</f>
        <v>-468.75</v>
      </c>
      <c r="AB52" s="62">
        <f t="shared" si="33"/>
        <v>-468.75</v>
      </c>
      <c r="AC52" s="62"/>
      <c r="AD52" s="62"/>
      <c r="AE52" s="62"/>
      <c r="AF52" s="86">
        <f t="shared" si="18"/>
        <v>0</v>
      </c>
      <c r="AS52" s="101"/>
      <c r="AV52" s="102"/>
      <c r="AW52" s="109"/>
    </row>
    <row r="53" spans="1:49">
      <c r="A53" s="28" t="s">
        <v>310</v>
      </c>
      <c r="B53" s="10" t="s">
        <v>380</v>
      </c>
      <c r="C53" s="15" t="s">
        <v>316</v>
      </c>
      <c r="D53" s="29">
        <v>44368</v>
      </c>
      <c r="E53" s="30">
        <v>6885133337</v>
      </c>
      <c r="F53" s="31">
        <f>17730/4*3</f>
        <v>13297.5</v>
      </c>
      <c r="G53" s="32"/>
      <c r="H53" s="33"/>
      <c r="I53" s="33"/>
      <c r="J53" s="33"/>
      <c r="K53" s="48"/>
      <c r="L53" s="48"/>
      <c r="M53" s="48"/>
      <c r="N53" s="48"/>
      <c r="O53" s="48"/>
      <c r="P53" s="48"/>
      <c r="Q53" s="48"/>
      <c r="R53" s="65"/>
      <c r="S53" s="31"/>
      <c r="T53" s="61"/>
      <c r="U53" s="63"/>
      <c r="V53" s="62"/>
      <c r="W53" s="62"/>
      <c r="X53" s="62"/>
      <c r="Y53" s="85"/>
      <c r="Z53" s="62">
        <f>-$F$53/3</f>
        <v>-4432.5</v>
      </c>
      <c r="AA53" s="62">
        <f t="shared" ref="AA53:AB53" si="34">-$F$53/3</f>
        <v>-4432.5</v>
      </c>
      <c r="AB53" s="62">
        <f t="shared" si="34"/>
        <v>-4432.5</v>
      </c>
      <c r="AC53" s="62"/>
      <c r="AD53" s="62"/>
      <c r="AE53" s="62"/>
      <c r="AF53" s="86">
        <f t="shared" si="18"/>
        <v>0</v>
      </c>
      <c r="AS53" s="101"/>
      <c r="AV53" s="102"/>
      <c r="AW53" s="109"/>
    </row>
    <row r="54" spans="1:49">
      <c r="A54" s="28" t="s">
        <v>381</v>
      </c>
      <c r="B54" s="10" t="s">
        <v>382</v>
      </c>
      <c r="C54" s="15" t="s">
        <v>383</v>
      </c>
      <c r="D54" s="29">
        <v>44368</v>
      </c>
      <c r="E54" s="30">
        <v>4190004507</v>
      </c>
      <c r="F54" s="31">
        <v>6518.65</v>
      </c>
      <c r="G54" s="32"/>
      <c r="H54" s="33"/>
      <c r="I54" s="33"/>
      <c r="J54" s="33"/>
      <c r="K54" s="48"/>
      <c r="L54" s="48"/>
      <c r="M54" s="48"/>
      <c r="N54" s="48"/>
      <c r="O54" s="48"/>
      <c r="P54" s="48"/>
      <c r="Q54" s="48"/>
      <c r="R54" s="65"/>
      <c r="S54" s="31"/>
      <c r="T54" s="61"/>
      <c r="U54" s="63"/>
      <c r="V54" s="62"/>
      <c r="W54" s="62"/>
      <c r="X54" s="62"/>
      <c r="Y54" s="85"/>
      <c r="Z54" s="62">
        <f>-$F$54/10</f>
        <v>-651.865</v>
      </c>
      <c r="AA54" s="62">
        <f t="shared" ref="AA54:AE54" si="35">-$F$54/10</f>
        <v>-651.865</v>
      </c>
      <c r="AB54" s="62">
        <f t="shared" si="35"/>
        <v>-651.865</v>
      </c>
      <c r="AC54" s="62">
        <f t="shared" si="35"/>
        <v>-651.865</v>
      </c>
      <c r="AD54" s="62">
        <f t="shared" si="35"/>
        <v>-651.865</v>
      </c>
      <c r="AE54" s="62">
        <f t="shared" si="35"/>
        <v>-651.865</v>
      </c>
      <c r="AF54" s="86">
        <f t="shared" si="18"/>
        <v>2607.46</v>
      </c>
      <c r="AS54" s="101"/>
      <c r="AV54" s="102"/>
      <c r="AW54" s="109"/>
    </row>
    <row r="55" spans="1:49">
      <c r="A55" s="28" t="s">
        <v>321</v>
      </c>
      <c r="B55" s="10" t="s">
        <v>384</v>
      </c>
      <c r="C55" s="15" t="s">
        <v>323</v>
      </c>
      <c r="D55" s="526" t="s">
        <v>385</v>
      </c>
      <c r="E55" s="523" t="s">
        <v>386</v>
      </c>
      <c r="F55" s="31">
        <v>119415</v>
      </c>
      <c r="G55" s="32"/>
      <c r="H55" s="33"/>
      <c r="I55" s="33"/>
      <c r="J55" s="33"/>
      <c r="K55" s="48"/>
      <c r="L55" s="48"/>
      <c r="M55" s="48"/>
      <c r="N55" s="48"/>
      <c r="O55" s="48"/>
      <c r="P55" s="48"/>
      <c r="Q55" s="48"/>
      <c r="R55" s="65"/>
      <c r="S55" s="31"/>
      <c r="T55" s="61"/>
      <c r="U55" s="63"/>
      <c r="V55" s="62"/>
      <c r="W55" s="62"/>
      <c r="X55" s="62"/>
      <c r="Y55" s="85"/>
      <c r="Z55" s="62"/>
      <c r="AA55" s="62"/>
      <c r="AB55" s="62"/>
      <c r="AC55" s="62"/>
      <c r="AD55" s="62"/>
      <c r="AE55" s="62"/>
      <c r="AF55" s="86">
        <f t="shared" si="18"/>
        <v>119415</v>
      </c>
      <c r="AS55" s="101"/>
      <c r="AV55" s="102"/>
      <c r="AW55" s="109"/>
    </row>
    <row r="56" spans="1:49">
      <c r="A56" s="28"/>
      <c r="C56" s="15"/>
      <c r="D56" s="29"/>
      <c r="F56" s="31"/>
      <c r="G56" s="32"/>
      <c r="H56" s="33"/>
      <c r="I56" s="33"/>
      <c r="J56" s="33"/>
      <c r="K56" s="48"/>
      <c r="L56" s="48"/>
      <c r="M56" s="48"/>
      <c r="N56" s="48"/>
      <c r="O56" s="48"/>
      <c r="P56" s="48"/>
      <c r="Q56" s="48"/>
      <c r="R56" s="65"/>
      <c r="S56" s="31"/>
      <c r="T56" s="61"/>
      <c r="U56" s="63"/>
      <c r="V56" s="62"/>
      <c r="W56" s="62"/>
      <c r="X56" s="62"/>
      <c r="Y56" s="85"/>
      <c r="Z56" s="62"/>
      <c r="AA56" s="62"/>
      <c r="AB56" s="62"/>
      <c r="AC56" s="62"/>
      <c r="AD56" s="62"/>
      <c r="AE56" s="62"/>
      <c r="AF56" s="86"/>
      <c r="AS56" s="101"/>
      <c r="AV56" s="102"/>
      <c r="AW56" s="109"/>
    </row>
    <row r="57" spans="1:49">
      <c r="A57" s="28"/>
      <c r="C57" s="15"/>
      <c r="D57" s="29"/>
      <c r="F57" s="31"/>
      <c r="G57" s="32"/>
      <c r="H57" s="33"/>
      <c r="I57" s="33"/>
      <c r="J57" s="33"/>
      <c r="K57" s="48"/>
      <c r="L57" s="48"/>
      <c r="M57" s="48"/>
      <c r="N57" s="48"/>
      <c r="O57" s="48"/>
      <c r="P57" s="48"/>
      <c r="Q57" s="48"/>
      <c r="R57" s="65"/>
      <c r="S57" s="31"/>
      <c r="T57" s="61"/>
      <c r="U57" s="63"/>
      <c r="V57" s="62"/>
      <c r="W57" s="62"/>
      <c r="X57" s="62"/>
      <c r="Y57" s="85"/>
      <c r="Z57" s="62"/>
      <c r="AA57" s="62"/>
      <c r="AB57" s="62"/>
      <c r="AC57" s="62"/>
      <c r="AD57" s="62"/>
      <c r="AE57" s="62"/>
      <c r="AF57" s="86"/>
      <c r="AS57" s="101"/>
      <c r="AV57" s="102"/>
      <c r="AW57" s="109"/>
    </row>
    <row r="58" ht="11.25" spans="1:49">
      <c r="A58" s="28"/>
      <c r="D58" s="15"/>
      <c r="E58" s="37" t="s">
        <v>387</v>
      </c>
      <c r="F58" s="38"/>
      <c r="G58" s="39" t="e">
        <f>SUM(#REF!)</f>
        <v>#REF!</v>
      </c>
      <c r="H58" s="40" t="e">
        <f>SUM(#REF!)</f>
        <v>#REF!</v>
      </c>
      <c r="I58" s="40" t="e">
        <f>SUM(#REF!)</f>
        <v>#REF!</v>
      </c>
      <c r="J58" s="40">
        <f t="shared" ref="J58:S58" si="36">SUM(J5:J20)</f>
        <v>0</v>
      </c>
      <c r="K58" s="50">
        <f t="shared" si="36"/>
        <v>0</v>
      </c>
      <c r="L58" s="50">
        <f t="shared" si="36"/>
        <v>0</v>
      </c>
      <c r="M58" s="50">
        <f t="shared" si="36"/>
        <v>-1317.77</v>
      </c>
      <c r="N58" s="50">
        <f t="shared" si="36"/>
        <v>-1317.77</v>
      </c>
      <c r="O58" s="50">
        <f t="shared" si="36"/>
        <v>-4291.36125</v>
      </c>
      <c r="P58" s="50">
        <f t="shared" si="36"/>
        <v>-6888.32375</v>
      </c>
      <c r="Q58" s="50">
        <f t="shared" si="36"/>
        <v>-7860.20041666667</v>
      </c>
      <c r="R58" s="68">
        <f t="shared" si="36"/>
        <v>-7860.20041666667</v>
      </c>
      <c r="S58" s="69">
        <f t="shared" si="36"/>
        <v>196583.584166667</v>
      </c>
      <c r="T58" s="70">
        <f>SUM(T5:T26)</f>
        <v>-37888.841780303</v>
      </c>
      <c r="U58" s="70">
        <f>SUM(U5:U27)</f>
        <v>-79865.0659469697</v>
      </c>
      <c r="V58" s="70">
        <f>SUM(V5:V43)</f>
        <v>-74354.4949469697</v>
      </c>
      <c r="W58" s="70">
        <f>SUM(W5:W43)</f>
        <v>-77283.1391136364</v>
      </c>
      <c r="X58" s="70">
        <f>SUM(X5:X46)</f>
        <v>-76502.2978636364</v>
      </c>
      <c r="Y58" s="87">
        <f>SUM(Y5:Y54)</f>
        <v>-82876.1105909091</v>
      </c>
      <c r="Z58" s="69">
        <f>SUM(Z5:Z56)</f>
        <v>-59662.6839242424</v>
      </c>
      <c r="AA58" s="69">
        <f t="shared" ref="AA58:AF58" si="37">SUM(AA5:AA56)</f>
        <v>-59662.6839242424</v>
      </c>
      <c r="AB58" s="69">
        <f t="shared" si="37"/>
        <v>-59662.6839242424</v>
      </c>
      <c r="AC58" s="69">
        <f t="shared" si="37"/>
        <v>-50068.2214242424</v>
      </c>
      <c r="AD58" s="69">
        <f t="shared" si="37"/>
        <v>-49096.3447575758</v>
      </c>
      <c r="AE58" s="69">
        <f t="shared" si="37"/>
        <v>-48379.6783939394</v>
      </c>
      <c r="AF58" s="69">
        <f t="shared" si="37"/>
        <v>147796.679242424</v>
      </c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V58" s="102"/>
      <c r="AW58" s="109"/>
    </row>
    <row r="59" spans="1:49">
      <c r="A59" s="28"/>
      <c r="E59" s="37"/>
      <c r="F59" s="38"/>
      <c r="G59" s="32"/>
      <c r="H59" s="33"/>
      <c r="I59" s="33"/>
      <c r="J59" s="33"/>
      <c r="K59" s="48"/>
      <c r="L59" s="48"/>
      <c r="M59" s="48"/>
      <c r="N59" s="48"/>
      <c r="O59" s="48"/>
      <c r="P59" s="33"/>
      <c r="Q59" s="33"/>
      <c r="R59" s="33"/>
      <c r="S59" s="71"/>
      <c r="T59" s="72"/>
      <c r="U59" s="73"/>
      <c r="V59" s="73"/>
      <c r="W59" s="73"/>
      <c r="X59" s="73"/>
      <c r="Y59" s="88"/>
      <c r="Z59" s="73"/>
      <c r="AA59" s="73"/>
      <c r="AB59" s="73"/>
      <c r="AC59" s="73"/>
      <c r="AD59" s="73"/>
      <c r="AE59" s="73"/>
      <c r="AF59" s="89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V59" s="102"/>
      <c r="AW59" s="109"/>
    </row>
    <row r="60" spans="1:49">
      <c r="A60" s="28"/>
      <c r="D60" s="15"/>
      <c r="E60" s="37" t="s">
        <v>388</v>
      </c>
      <c r="F60" s="38"/>
      <c r="G60" s="32"/>
      <c r="H60" s="33"/>
      <c r="I60" s="33"/>
      <c r="J60" s="33"/>
      <c r="K60" s="48"/>
      <c r="L60" s="48"/>
      <c r="M60" s="48"/>
      <c r="N60" s="48"/>
      <c r="O60" s="48"/>
      <c r="P60" s="33"/>
      <c r="Q60" s="33"/>
      <c r="R60" s="33"/>
      <c r="S60" s="74"/>
      <c r="T60" s="75">
        <f>S58</f>
        <v>196583.584166667</v>
      </c>
      <c r="U60" s="76">
        <f>T64</f>
        <v>467932.80405303</v>
      </c>
      <c r="V60" s="76">
        <f>U64</f>
        <v>487347.578106061</v>
      </c>
      <c r="W60" s="76">
        <f>V64</f>
        <v>489330.583159091</v>
      </c>
      <c r="X60" s="76">
        <f>W64</f>
        <v>434817.694045454</v>
      </c>
      <c r="Y60" s="90">
        <f>X64</f>
        <v>410278.936181818</v>
      </c>
      <c r="Z60" s="77"/>
      <c r="AA60" s="77"/>
      <c r="AB60" s="77"/>
      <c r="AC60" s="77"/>
      <c r="AD60" s="77"/>
      <c r="AE60" s="77"/>
      <c r="AF60" s="91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03"/>
      <c r="AT60" s="12"/>
      <c r="AV60" s="104"/>
      <c r="AW60" s="109"/>
    </row>
    <row r="61" spans="1:49">
      <c r="A61" s="28"/>
      <c r="D61" s="15"/>
      <c r="E61" s="37"/>
      <c r="F61" s="38"/>
      <c r="G61" s="41"/>
      <c r="H61" s="33"/>
      <c r="I61" s="33"/>
      <c r="J61" s="33"/>
      <c r="K61" s="48"/>
      <c r="L61" s="48"/>
      <c r="M61" s="48"/>
      <c r="N61" s="48"/>
      <c r="O61" s="48"/>
      <c r="P61" s="33"/>
      <c r="Q61" s="33"/>
      <c r="R61" s="33"/>
      <c r="S61" s="74"/>
      <c r="T61" s="75"/>
      <c r="U61" s="76"/>
      <c r="V61" s="77"/>
      <c r="W61" s="76"/>
      <c r="X61" s="76"/>
      <c r="Y61" s="90"/>
      <c r="Z61" s="77"/>
      <c r="AA61" s="77"/>
      <c r="AB61" s="77"/>
      <c r="AC61" s="77"/>
      <c r="AD61" s="77"/>
      <c r="AE61" s="77"/>
      <c r="AF61" s="91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V61" s="104"/>
      <c r="AW61" s="109"/>
    </row>
    <row r="62" spans="1:49">
      <c r="A62" s="28"/>
      <c r="D62" s="15"/>
      <c r="E62" s="37" t="s">
        <v>389</v>
      </c>
      <c r="F62" s="38"/>
      <c r="G62" s="32"/>
      <c r="H62" s="33"/>
      <c r="I62" s="33"/>
      <c r="J62" s="33"/>
      <c r="K62" s="48"/>
      <c r="L62" s="48"/>
      <c r="M62" s="48"/>
      <c r="N62" s="48"/>
      <c r="O62" s="48"/>
      <c r="P62" s="33"/>
      <c r="Q62" s="33"/>
      <c r="R62" s="33"/>
      <c r="S62" s="74"/>
      <c r="T62" s="75">
        <f>SUM(F21:F27)</f>
        <v>309238.061666667</v>
      </c>
      <c r="U62" s="76">
        <f>SUM(F28:F35)</f>
        <v>99279.84</v>
      </c>
      <c r="V62" s="76">
        <f>SUM(F36:F43)</f>
        <v>76337.5</v>
      </c>
      <c r="W62" s="76">
        <f>SUM(F44:F45)</f>
        <v>22770.25</v>
      </c>
      <c r="X62" s="76">
        <f>SUM(F46:F48)</f>
        <v>51963.54</v>
      </c>
      <c r="Y62" s="90">
        <f>SUM(F49:F55)</f>
        <v>146926.15</v>
      </c>
      <c r="Z62" s="77"/>
      <c r="AA62" s="77"/>
      <c r="AB62" s="77"/>
      <c r="AC62" s="77"/>
      <c r="AD62" s="77"/>
      <c r="AE62" s="77"/>
      <c r="AF62" s="91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V62" s="104"/>
      <c r="AW62" s="109"/>
    </row>
    <row r="63" ht="11.25" spans="1:55">
      <c r="A63" s="28"/>
      <c r="E63" s="42"/>
      <c r="F63" s="38"/>
      <c r="G63" s="43"/>
      <c r="H63" s="44"/>
      <c r="I63" s="44"/>
      <c r="J63" s="44"/>
      <c r="K63" s="51"/>
      <c r="L63" s="51"/>
      <c r="M63" s="51"/>
      <c r="N63" s="51"/>
      <c r="O63" s="51"/>
      <c r="P63" s="44"/>
      <c r="Q63" s="44"/>
      <c r="R63" s="44"/>
      <c r="S63" s="74"/>
      <c r="T63" s="75"/>
      <c r="U63" s="76"/>
      <c r="V63" s="62"/>
      <c r="W63" s="62"/>
      <c r="X63" s="62"/>
      <c r="Y63" s="90"/>
      <c r="Z63" s="77"/>
      <c r="AA63" s="77"/>
      <c r="AB63" s="77"/>
      <c r="AC63" s="77"/>
      <c r="AD63" s="77"/>
      <c r="AE63" s="77"/>
      <c r="AF63" s="91"/>
      <c r="AH63" s="12"/>
      <c r="AI63" s="12"/>
      <c r="AJ63" s="525" t="s">
        <v>390</v>
      </c>
      <c r="AK63" s="525" t="s">
        <v>391</v>
      </c>
      <c r="AL63" s="525" t="s">
        <v>392</v>
      </c>
      <c r="AM63" s="525" t="s">
        <v>392</v>
      </c>
      <c r="AN63" s="525" t="s">
        <v>392</v>
      </c>
      <c r="AO63" s="525" t="s">
        <v>393</v>
      </c>
      <c r="AP63" s="525" t="s">
        <v>394</v>
      </c>
      <c r="AQ63" s="525" t="s">
        <v>393</v>
      </c>
      <c r="AR63" s="10" t="s">
        <v>6</v>
      </c>
      <c r="AS63" s="105">
        <f>SUM(AS5:AS62)</f>
        <v>0</v>
      </c>
      <c r="AT63" s="12"/>
      <c r="AU63" s="12" t="str">
        <f>AV63&amp;" :  "&amp;BC63</f>
        <v>Apr20 :  Prepayment amortisation for the month</v>
      </c>
      <c r="AV63" s="527" t="s">
        <v>395</v>
      </c>
      <c r="AW63" s="109"/>
      <c r="BC63" s="15" t="s">
        <v>396</v>
      </c>
    </row>
    <row r="64" ht="12" spans="1:55">
      <c r="A64" s="28"/>
      <c r="E64" s="45" t="s">
        <v>397</v>
      </c>
      <c r="F64" s="38"/>
      <c r="G64" s="46" t="e">
        <f>G60+G62+G58</f>
        <v>#REF!</v>
      </c>
      <c r="H64" s="47" t="e">
        <f t="shared" ref="H64:R64" si="38">H58+H60+H62</f>
        <v>#REF!</v>
      </c>
      <c r="I64" s="47" t="e">
        <f t="shared" si="38"/>
        <v>#REF!</v>
      </c>
      <c r="J64" s="47">
        <f t="shared" si="38"/>
        <v>0</v>
      </c>
      <c r="K64" s="52">
        <f t="shared" si="38"/>
        <v>0</v>
      </c>
      <c r="L64" s="52">
        <f t="shared" si="38"/>
        <v>0</v>
      </c>
      <c r="M64" s="52">
        <f t="shared" si="38"/>
        <v>-1317.77</v>
      </c>
      <c r="N64" s="52">
        <f t="shared" si="38"/>
        <v>-1317.77</v>
      </c>
      <c r="O64" s="52">
        <f t="shared" si="38"/>
        <v>-4291.36125</v>
      </c>
      <c r="P64" s="47">
        <f t="shared" si="38"/>
        <v>-6888.32375</v>
      </c>
      <c r="Q64" s="47">
        <f t="shared" si="38"/>
        <v>-7860.20041666667</v>
      </c>
      <c r="R64" s="47">
        <f t="shared" si="38"/>
        <v>-7860.20041666667</v>
      </c>
      <c r="S64" s="74"/>
      <c r="T64" s="78">
        <f t="shared" ref="T64:Y64" si="39">SUM(T58:T62)</f>
        <v>467932.80405303</v>
      </c>
      <c r="U64" s="79">
        <f t="shared" si="39"/>
        <v>487347.578106061</v>
      </c>
      <c r="V64" s="80">
        <f t="shared" si="39"/>
        <v>489330.583159091</v>
      </c>
      <c r="W64" s="80">
        <f t="shared" si="39"/>
        <v>434817.694045454</v>
      </c>
      <c r="X64" s="80">
        <f t="shared" si="39"/>
        <v>410278.936181818</v>
      </c>
      <c r="Y64" s="92">
        <f t="shared" si="39"/>
        <v>474328.975590909</v>
      </c>
      <c r="Z64" s="93"/>
      <c r="AA64" s="93"/>
      <c r="AB64" s="93"/>
      <c r="AC64" s="93"/>
      <c r="AD64" s="93"/>
      <c r="AE64" s="93"/>
      <c r="AF64" s="94"/>
      <c r="AS64" s="104">
        <f>+AS63+J58</f>
        <v>0</v>
      </c>
      <c r="AT64" s="12"/>
      <c r="AV64" s="12"/>
      <c r="AW64" s="12"/>
      <c r="AX64" s="12"/>
      <c r="AY64" s="12"/>
      <c r="AZ64" s="12"/>
      <c r="BA64" s="12"/>
      <c r="BB64" s="12"/>
      <c r="BC64" s="12"/>
    </row>
    <row r="65" ht="11.25" spans="1:49">
      <c r="A65" s="28"/>
      <c r="E65" s="110"/>
      <c r="F65" s="32"/>
      <c r="G65" s="111">
        <v>10904</v>
      </c>
      <c r="H65" s="112">
        <v>10904</v>
      </c>
      <c r="I65" s="112">
        <v>10904</v>
      </c>
      <c r="J65" s="33"/>
      <c r="K65" s="33"/>
      <c r="L65" s="33"/>
      <c r="M65" s="33"/>
      <c r="N65" s="33"/>
      <c r="O65" s="33"/>
      <c r="P65" s="33"/>
      <c r="Q65" s="33"/>
      <c r="R65" s="33"/>
      <c r="S65" s="74"/>
      <c r="T65" s="75"/>
      <c r="U65" s="76"/>
      <c r="V65" s="77"/>
      <c r="W65" s="77"/>
      <c r="X65" s="77"/>
      <c r="Y65" s="77"/>
      <c r="Z65" s="77"/>
      <c r="AA65" s="77"/>
      <c r="AB65" s="77"/>
      <c r="AC65" s="77"/>
      <c r="AD65" s="77"/>
      <c r="AE65" s="77"/>
      <c r="AF65" s="91"/>
      <c r="AS65" s="102"/>
      <c r="AT65" s="104"/>
      <c r="AV65" s="102"/>
      <c r="AW65" s="109"/>
    </row>
    <row r="66" spans="1:49">
      <c r="A66" s="28"/>
      <c r="E66" s="113" t="s">
        <v>398</v>
      </c>
      <c r="F66" s="38"/>
      <c r="G66" s="32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138"/>
      <c r="T66" s="139"/>
      <c r="U66" s="140"/>
      <c r="V66" s="140"/>
      <c r="W66" s="140"/>
      <c r="X66" s="140"/>
      <c r="Y66" s="140"/>
      <c r="Z66" s="140"/>
      <c r="AA66" s="140"/>
      <c r="AB66" s="140"/>
      <c r="AC66" s="140"/>
      <c r="AD66" s="140"/>
      <c r="AE66" s="140"/>
      <c r="AF66" s="145"/>
      <c r="AG66" s="147"/>
      <c r="AW66" s="109"/>
    </row>
    <row r="67" spans="1:49">
      <c r="A67" s="114"/>
      <c r="B67" s="115"/>
      <c r="C67" s="115"/>
      <c r="D67" s="115"/>
      <c r="E67" s="116"/>
      <c r="F67" s="117"/>
      <c r="G67" s="118"/>
      <c r="H67" s="119"/>
      <c r="I67" s="119"/>
      <c r="J67" s="119"/>
      <c r="K67" s="119"/>
      <c r="L67" s="119"/>
      <c r="M67" s="119"/>
      <c r="N67" s="119"/>
      <c r="O67" s="119"/>
      <c r="P67" s="119"/>
      <c r="Q67" s="119"/>
      <c r="R67" s="119"/>
      <c r="S67" s="141"/>
      <c r="T67" s="142"/>
      <c r="U67" s="143"/>
      <c r="V67" s="143"/>
      <c r="W67" s="143"/>
      <c r="X67" s="143"/>
      <c r="Y67" s="143"/>
      <c r="Z67" s="143"/>
      <c r="AA67" s="143"/>
      <c r="AB67" s="143"/>
      <c r="AC67" s="143"/>
      <c r="AD67" s="143"/>
      <c r="AE67" s="143"/>
      <c r="AF67" s="146"/>
      <c r="AW67" s="109"/>
    </row>
    <row r="68" spans="1:49">
      <c r="A68" s="120" t="s">
        <v>399</v>
      </c>
      <c r="F68" s="33"/>
      <c r="G68" s="121"/>
      <c r="H68" s="121"/>
      <c r="I68" s="121"/>
      <c r="J68" s="121"/>
      <c r="K68" s="121"/>
      <c r="L68" s="121"/>
      <c r="M68" s="121"/>
      <c r="N68" s="121"/>
      <c r="O68" s="121"/>
      <c r="P68" s="121"/>
      <c r="Q68" s="121"/>
      <c r="R68" s="121"/>
      <c r="S68" s="144"/>
      <c r="T68" s="144"/>
      <c r="U68" s="144"/>
      <c r="V68" s="144"/>
      <c r="W68" s="144"/>
      <c r="X68" s="144"/>
      <c r="Y68" s="144"/>
      <c r="Z68" s="144"/>
      <c r="AA68" s="144"/>
      <c r="AB68" s="144"/>
      <c r="AC68" s="144"/>
      <c r="AD68" s="144"/>
      <c r="AE68" s="144"/>
      <c r="AF68" s="144"/>
      <c r="AW68" s="109"/>
    </row>
    <row r="73" spans="13:16">
      <c r="M73" s="122" t="s">
        <v>400</v>
      </c>
      <c r="N73" s="10" t="s">
        <v>401</v>
      </c>
      <c r="O73" s="10" t="s">
        <v>402</v>
      </c>
      <c r="P73" s="10" t="s">
        <v>403</v>
      </c>
    </row>
    <row r="74" spans="13:19">
      <c r="M74" s="123">
        <v>75884.02</v>
      </c>
      <c r="N74" s="124">
        <f>$M$74/3</f>
        <v>25294.6733333333</v>
      </c>
      <c r="O74" s="124">
        <f>$M$74/3</f>
        <v>25294.6733333333</v>
      </c>
      <c r="P74" s="125">
        <f>$M$74/3</f>
        <v>25294.6733333333</v>
      </c>
      <c r="Q74" s="125">
        <f>N74+O74</f>
        <v>50589.3466666667</v>
      </c>
      <c r="R74" s="12" t="s">
        <v>404</v>
      </c>
      <c r="S74" s="14">
        <f>P74/6</f>
        <v>4215.77888888889</v>
      </c>
    </row>
    <row r="75" s="11" customFormat="1" spans="1:55">
      <c r="A75" s="12"/>
      <c r="B75" s="10"/>
      <c r="C75" s="10"/>
      <c r="D75" s="10"/>
      <c r="E75" s="10"/>
      <c r="F75" s="13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5">
        <f>-Q74</f>
        <v>-50589.3466666667</v>
      </c>
      <c r="R75" s="12" t="s">
        <v>405</v>
      </c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0"/>
      <c r="AI75" s="15"/>
      <c r="AJ75" s="10"/>
      <c r="AK75" s="10"/>
      <c r="AL75" s="10"/>
      <c r="AM75" s="10"/>
      <c r="AN75" s="10"/>
      <c r="AO75" s="10"/>
      <c r="AP75" s="10"/>
      <c r="AQ75" s="10"/>
      <c r="AR75" s="10"/>
      <c r="AS75" s="10"/>
      <c r="AT75" s="10"/>
      <c r="AU75" s="12"/>
      <c r="AV75" s="10"/>
      <c r="AW75" s="10"/>
      <c r="AX75" s="10"/>
      <c r="AY75" s="10"/>
      <c r="AZ75" s="10"/>
      <c r="BA75" s="10"/>
      <c r="BB75" s="10"/>
      <c r="BC75" s="15"/>
    </row>
    <row r="76" s="11" customFormat="1" spans="1:55">
      <c r="A76" s="12"/>
      <c r="B76" s="10"/>
      <c r="C76" s="10"/>
      <c r="D76" s="10"/>
      <c r="E76" s="10"/>
      <c r="F76" s="13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0"/>
      <c r="AI76" s="15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2"/>
      <c r="AV76" s="10"/>
      <c r="AW76" s="10"/>
      <c r="AX76" s="10"/>
      <c r="AY76" s="10"/>
      <c r="AZ76" s="10"/>
      <c r="BA76" s="10"/>
      <c r="BB76" s="10"/>
      <c r="BC76" s="15"/>
    </row>
    <row r="77" spans="13:13">
      <c r="M77" s="122" t="s">
        <v>406</v>
      </c>
    </row>
    <row r="78" spans="13:18">
      <c r="M78" s="123">
        <v>37941.99</v>
      </c>
      <c r="N78" s="124">
        <f>$M$78/3</f>
        <v>12647.33</v>
      </c>
      <c r="O78" s="124">
        <f t="shared" ref="O78:P78" si="40">$M$78/3</f>
        <v>12647.33</v>
      </c>
      <c r="P78" s="125">
        <f t="shared" si="40"/>
        <v>12647.33</v>
      </c>
      <c r="Q78" s="125">
        <f>N78+O78</f>
        <v>25294.66</v>
      </c>
      <c r="R78" s="12" t="s">
        <v>404</v>
      </c>
    </row>
    <row r="79" spans="17:19">
      <c r="Q79" s="125">
        <f>-Q78</f>
        <v>-25294.66</v>
      </c>
      <c r="R79" s="12" t="s">
        <v>407</v>
      </c>
      <c r="S79" s="14" t="s">
        <v>408</v>
      </c>
    </row>
    <row r="80" ht="11.25" spans="13:16">
      <c r="M80" s="126">
        <f>M78+M74</f>
        <v>113826.01</v>
      </c>
      <c r="N80" s="127">
        <f t="shared" ref="N80:P80" si="41">N78+N74</f>
        <v>37942.0033333333</v>
      </c>
      <c r="O80" s="127">
        <f t="shared" si="41"/>
        <v>37942.0033333333</v>
      </c>
      <c r="P80" s="128">
        <f t="shared" si="41"/>
        <v>37942.0033333333</v>
      </c>
    </row>
    <row r="81" ht="11.25"/>
    <row r="83" spans="12:17">
      <c r="L83" s="129"/>
      <c r="M83" s="130"/>
      <c r="N83" s="130"/>
      <c r="O83" s="130"/>
      <c r="P83" s="130"/>
      <c r="Q83" s="131"/>
    </row>
    <row r="84" spans="13:17">
      <c r="M84" s="131"/>
      <c r="N84" s="130"/>
      <c r="O84" s="130"/>
      <c r="P84" s="130"/>
      <c r="Q84" s="130"/>
    </row>
    <row r="86" spans="11:18">
      <c r="K86" s="129"/>
      <c r="L86" s="129" t="s">
        <v>409</v>
      </c>
      <c r="M86" s="122" t="s">
        <v>401</v>
      </c>
      <c r="N86" s="122" t="s">
        <v>410</v>
      </c>
      <c r="O86" s="10" t="s">
        <v>403</v>
      </c>
      <c r="P86" s="10" t="s">
        <v>411</v>
      </c>
      <c r="R86" s="14"/>
    </row>
    <row r="87" spans="13:18">
      <c r="M87" s="122">
        <v>11</v>
      </c>
      <c r="N87" s="122">
        <v>8</v>
      </c>
      <c r="O87" s="10">
        <v>52</v>
      </c>
      <c r="P87" s="10">
        <v>71</v>
      </c>
      <c r="R87" s="14"/>
    </row>
    <row r="88" spans="11:18">
      <c r="K88" s="122" t="s">
        <v>412</v>
      </c>
      <c r="L88" s="123">
        <v>6328</v>
      </c>
      <c r="M88" s="132">
        <v>980.394366197183</v>
      </c>
      <c r="N88" s="132">
        <v>713.014084507042</v>
      </c>
      <c r="O88" s="133">
        <v>4634.59154929577</v>
      </c>
      <c r="R88" s="12" t="s">
        <v>413</v>
      </c>
    </row>
    <row r="89" spans="11:18">
      <c r="K89" s="122" t="s">
        <v>414</v>
      </c>
      <c r="L89" s="123">
        <v>7910</v>
      </c>
      <c r="M89" s="132">
        <v>1225.49295774648</v>
      </c>
      <c r="N89" s="132">
        <v>891.267605633803</v>
      </c>
      <c r="O89" s="133">
        <v>5793.23943661972</v>
      </c>
      <c r="P89" s="125"/>
      <c r="R89" s="12" t="s">
        <v>415</v>
      </c>
    </row>
    <row r="90" ht="11.25" spans="11:18">
      <c r="K90" s="122"/>
      <c r="L90" s="128">
        <v>14238</v>
      </c>
      <c r="M90" s="134">
        <v>2205.88732394366</v>
      </c>
      <c r="N90" s="134">
        <v>1604.28169014085</v>
      </c>
      <c r="O90" s="128">
        <v>10427.8309859155</v>
      </c>
      <c r="P90" s="125"/>
      <c r="R90" s="14"/>
    </row>
    <row r="91" ht="11.25" spans="11:18">
      <c r="K91" s="130"/>
      <c r="L91" s="123"/>
      <c r="M91" s="133"/>
      <c r="N91" s="133"/>
      <c r="O91" s="133"/>
      <c r="P91" s="125"/>
      <c r="R91" s="14"/>
    </row>
    <row r="92" spans="11:18">
      <c r="K92" s="130"/>
      <c r="L92" s="123"/>
      <c r="M92" s="133"/>
      <c r="N92" s="133"/>
      <c r="O92" s="133"/>
      <c r="P92" s="125"/>
      <c r="R92" s="14"/>
    </row>
    <row r="93" spans="11:18">
      <c r="K93" s="129"/>
      <c r="L93" s="123"/>
      <c r="M93" s="125"/>
      <c r="N93" s="125"/>
      <c r="P93" s="125"/>
      <c r="Q93" s="14"/>
      <c r="R93" s="14"/>
    </row>
    <row r="94" spans="11:18">
      <c r="K94" s="129"/>
      <c r="L94" s="123"/>
      <c r="M94" s="122" t="s">
        <v>401</v>
      </c>
      <c r="N94" s="122" t="s">
        <v>410</v>
      </c>
      <c r="O94" s="122" t="s">
        <v>416</v>
      </c>
      <c r="P94" s="10" t="s">
        <v>403</v>
      </c>
      <c r="Q94" s="10" t="s">
        <v>411</v>
      </c>
      <c r="R94" s="14"/>
    </row>
    <row r="95" spans="11:18">
      <c r="K95" s="129"/>
      <c r="L95" s="129" t="s">
        <v>417</v>
      </c>
      <c r="M95" s="122">
        <v>11</v>
      </c>
      <c r="N95" s="122">
        <v>8</v>
      </c>
      <c r="O95" s="122">
        <v>5</v>
      </c>
      <c r="P95" s="10">
        <v>28</v>
      </c>
      <c r="Q95" s="10">
        <v>52</v>
      </c>
      <c r="R95" s="14"/>
    </row>
    <row r="96" spans="11:18">
      <c r="K96" s="122" t="s">
        <v>412</v>
      </c>
      <c r="L96" s="109">
        <v>15777.84</v>
      </c>
      <c r="M96" s="135">
        <v>3337.62</v>
      </c>
      <c r="N96" s="135">
        <v>2427.36</v>
      </c>
      <c r="O96" s="135">
        <v>1517.1</v>
      </c>
      <c r="P96" s="125">
        <v>8495.76</v>
      </c>
      <c r="R96" s="12" t="s">
        <v>418</v>
      </c>
    </row>
    <row r="97" spans="11:18">
      <c r="K97" s="122" t="s">
        <v>414</v>
      </c>
      <c r="L97" s="123">
        <v>19722.3</v>
      </c>
      <c r="M97" s="135">
        <v>4172.025</v>
      </c>
      <c r="N97" s="135">
        <v>3034.2</v>
      </c>
      <c r="O97" s="135">
        <v>1896.375</v>
      </c>
      <c r="P97" s="125">
        <v>10619.7</v>
      </c>
      <c r="R97" s="12" t="s">
        <v>415</v>
      </c>
    </row>
    <row r="98" spans="11:18">
      <c r="K98" s="129"/>
      <c r="L98" s="123"/>
      <c r="M98" s="135"/>
      <c r="N98" s="135"/>
      <c r="O98" s="136"/>
      <c r="P98" s="125"/>
      <c r="R98" s="14"/>
    </row>
    <row r="99" spans="13:18">
      <c r="M99" s="136"/>
      <c r="N99" s="136"/>
      <c r="O99" s="136"/>
      <c r="R99" s="14"/>
    </row>
    <row r="100" ht="11.25" spans="12:18">
      <c r="L100" s="126">
        <v>35500.14</v>
      </c>
      <c r="M100" s="137">
        <v>7509.645</v>
      </c>
      <c r="N100" s="137">
        <v>5461.56</v>
      </c>
      <c r="O100" s="137">
        <v>3413.475</v>
      </c>
      <c r="P100" s="126">
        <v>19115.46</v>
      </c>
      <c r="Q100" s="125">
        <v>0</v>
      </c>
      <c r="R100" s="14"/>
    </row>
    <row r="101" ht="11.25"/>
  </sheetData>
  <mergeCells count="1">
    <mergeCell ref="S3:S4"/>
  </mergeCells>
  <printOptions gridLines="1"/>
  <pageMargins left="0.708661417322835" right="0.708661417322835" top="0.748031496062992" bottom="0.748031496062992" header="0.31496062992126" footer="0.31496062992126"/>
  <pageSetup paperSize="8" scale="48" pageOrder="overThenDown" orientation="landscape"/>
  <headerFooter/>
  <colBreaks count="1" manualBreakCount="1">
    <brk id="8" max="177" man="1"/>
  </colBreak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67"/>
  <sheetViews>
    <sheetView topLeftCell="A57" workbookViewId="0">
      <selection activeCell="E77" sqref="E77"/>
    </sheetView>
  </sheetViews>
  <sheetFormatPr defaultColWidth="9" defaultRowHeight="14.5"/>
  <cols>
    <col min="1" max="1" width="26.8545454545455" customWidth="1"/>
    <col min="2" max="2" width="34" customWidth="1"/>
    <col min="3" max="3" width="10.5727272727273" customWidth="1"/>
    <col min="4" max="4" width="11.2818181818182" customWidth="1"/>
    <col min="5" max="5" width="31.7090909090909" customWidth="1"/>
    <col min="6" max="6" width="17.4272727272727" customWidth="1"/>
    <col min="7" max="7" width="26.8545454545455" customWidth="1"/>
    <col min="8" max="8" width="19.5727272727273" customWidth="1"/>
    <col min="9" max="9" width="106.136363636364" customWidth="1"/>
    <col min="10" max="10" width="45.8545454545455" customWidth="1"/>
    <col min="23" max="23" width="24.7090909090909" customWidth="1"/>
    <col min="24" max="24" width="17" customWidth="1"/>
  </cols>
  <sheetData>
    <row r="1" spans="9:9">
      <c r="I1" t="s">
        <v>419</v>
      </c>
    </row>
    <row r="2" spans="9:25">
      <c r="I2" t="s">
        <v>420</v>
      </c>
      <c r="K2" s="6" t="s">
        <v>421</v>
      </c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t="s">
        <v>420</v>
      </c>
      <c r="X2" t="s">
        <v>422</v>
      </c>
      <c r="Y2" t="s">
        <v>59</v>
      </c>
    </row>
    <row r="3" spans="2:24">
      <c r="B3" s="1" t="s">
        <v>260</v>
      </c>
      <c r="C3" s="1" t="s">
        <v>85</v>
      </c>
      <c r="D3" s="1" t="s">
        <v>423</v>
      </c>
      <c r="E3" s="1" t="s">
        <v>46</v>
      </c>
      <c r="F3" s="1" t="s">
        <v>262</v>
      </c>
      <c r="G3" s="1" t="s">
        <v>243</v>
      </c>
      <c r="H3" s="1" t="s">
        <v>424</v>
      </c>
      <c r="I3" s="1" t="s">
        <v>425</v>
      </c>
      <c r="J3" s="1" t="s">
        <v>426</v>
      </c>
      <c r="K3" s="9">
        <v>44197</v>
      </c>
      <c r="L3" s="9">
        <v>44228</v>
      </c>
      <c r="M3" s="9">
        <v>44256</v>
      </c>
      <c r="N3" s="9">
        <v>44287</v>
      </c>
      <c r="O3" s="9">
        <v>44317</v>
      </c>
      <c r="P3" s="9">
        <v>44348</v>
      </c>
      <c r="Q3" s="9">
        <v>44378</v>
      </c>
      <c r="R3" s="9">
        <v>44409</v>
      </c>
      <c r="S3" s="9">
        <v>44440</v>
      </c>
      <c r="T3" s="9">
        <v>44470</v>
      </c>
      <c r="U3" s="9">
        <v>44501</v>
      </c>
      <c r="V3" s="9">
        <v>44531</v>
      </c>
      <c r="W3" s="1" t="s">
        <v>427</v>
      </c>
      <c r="X3" s="1" t="s">
        <v>428</v>
      </c>
    </row>
    <row r="4" spans="2:24">
      <c r="B4" s="2" t="s">
        <v>281</v>
      </c>
      <c r="C4" s="3">
        <v>43983</v>
      </c>
      <c r="D4" s="3">
        <v>44255</v>
      </c>
      <c r="E4" s="2" t="s">
        <v>283</v>
      </c>
      <c r="F4" s="4">
        <v>43983</v>
      </c>
      <c r="G4" s="2" t="s">
        <v>284</v>
      </c>
      <c r="H4" s="2">
        <v>11859.93</v>
      </c>
      <c r="I4" s="2">
        <v>9224.39</v>
      </c>
      <c r="J4" s="2">
        <f>H4-I4</f>
        <v>2635.54</v>
      </c>
      <c r="K4" s="2">
        <v>-1317.77</v>
      </c>
      <c r="L4" s="2">
        <v>-1317.77</v>
      </c>
      <c r="M4" s="2"/>
      <c r="N4" s="2"/>
      <c r="O4" s="2"/>
      <c r="P4" s="2"/>
      <c r="Q4" s="2"/>
      <c r="R4" s="2"/>
      <c r="S4" s="2"/>
      <c r="T4" s="2"/>
      <c r="U4" s="2"/>
      <c r="V4" s="2"/>
      <c r="W4" s="2">
        <f>K4+L4+M4+N4+O4+P4+Q4+R4+S4+T4+U4+V4</f>
        <v>-2635.54</v>
      </c>
      <c r="X4" s="2">
        <f>H4-(I4-W4)</f>
        <v>0</v>
      </c>
    </row>
    <row r="5" spans="2:24">
      <c r="B5" s="2" t="s">
        <v>303</v>
      </c>
      <c r="C5" s="3">
        <v>44197</v>
      </c>
      <c r="D5" s="3">
        <v>44286</v>
      </c>
      <c r="E5" s="2" t="s">
        <v>339</v>
      </c>
      <c r="F5" s="4">
        <v>44197</v>
      </c>
      <c r="G5" s="2" t="s">
        <v>340</v>
      </c>
      <c r="H5" s="2">
        <v>29309.43</v>
      </c>
      <c r="I5" s="2">
        <v>0</v>
      </c>
      <c r="J5" s="2" t="s">
        <v>429</v>
      </c>
      <c r="K5" s="2">
        <v>-9769.81</v>
      </c>
      <c r="L5" s="2">
        <v>-9769.81</v>
      </c>
      <c r="M5" s="2">
        <v>-9769.81</v>
      </c>
      <c r="N5" s="2"/>
      <c r="O5" s="2"/>
      <c r="P5" s="2"/>
      <c r="Q5" s="2"/>
      <c r="R5" s="2"/>
      <c r="S5" s="2"/>
      <c r="T5" s="2"/>
      <c r="U5" s="2"/>
      <c r="V5" s="2"/>
      <c r="W5" s="2">
        <f>K5+L5+M5+N5+O5+P5+Q5+R5+S5+T5+U5+V5</f>
        <v>-29309.43</v>
      </c>
      <c r="X5" s="2">
        <f t="shared" ref="X5:X6" si="0">H5-(I5-W5)</f>
        <v>0</v>
      </c>
    </row>
    <row r="6" spans="2:25">
      <c r="B6" s="2" t="s">
        <v>365</v>
      </c>
      <c r="C6" s="3">
        <v>44287</v>
      </c>
      <c r="D6" s="3">
        <v>44651</v>
      </c>
      <c r="E6" s="2" t="s">
        <v>367</v>
      </c>
      <c r="F6" s="4">
        <v>44256</v>
      </c>
      <c r="G6" s="2" t="s">
        <v>368</v>
      </c>
      <c r="H6" s="2">
        <v>24088.25</v>
      </c>
      <c r="I6" s="2">
        <v>0</v>
      </c>
      <c r="J6" s="2" t="s">
        <v>429</v>
      </c>
      <c r="K6" s="2"/>
      <c r="L6" s="2"/>
      <c r="M6" s="2"/>
      <c r="N6" s="2">
        <v>-2007.35</v>
      </c>
      <c r="O6" s="2">
        <v>-2007.35</v>
      </c>
      <c r="P6" s="2">
        <v>-2007.35</v>
      </c>
      <c r="Q6" s="2">
        <v>-2007.35</v>
      </c>
      <c r="R6" s="2">
        <v>-2007.35</v>
      </c>
      <c r="S6" s="2"/>
      <c r="T6" s="2"/>
      <c r="U6" s="2"/>
      <c r="V6" s="2"/>
      <c r="W6" s="2">
        <f>K6+L6+M6+N6+O6+P6+Q6+R6+S6+T6+U6+V6</f>
        <v>-10036.75</v>
      </c>
      <c r="X6" s="2">
        <f t="shared" si="0"/>
        <v>14051.5</v>
      </c>
      <c r="Y6" t="s">
        <v>430</v>
      </c>
    </row>
    <row r="14" spans="2:2">
      <c r="B14" t="s">
        <v>431</v>
      </c>
    </row>
    <row r="15" spans="2:3">
      <c r="B15" t="s">
        <v>237</v>
      </c>
      <c r="C15" t="s">
        <v>432</v>
      </c>
    </row>
    <row r="16" spans="2:3">
      <c r="B16" s="5">
        <v>43983</v>
      </c>
      <c r="C16">
        <v>1317.77</v>
      </c>
    </row>
    <row r="17" spans="2:3">
      <c r="B17" s="5">
        <v>44013</v>
      </c>
      <c r="C17">
        <v>1317.77</v>
      </c>
    </row>
    <row r="18" spans="2:3">
      <c r="B18" s="5">
        <v>44044</v>
      </c>
      <c r="C18">
        <v>1317.77</v>
      </c>
    </row>
    <row r="19" spans="2:3">
      <c r="B19" s="5">
        <v>44075</v>
      </c>
      <c r="C19">
        <v>1317.77</v>
      </c>
    </row>
    <row r="20" spans="2:3">
      <c r="B20" s="5">
        <v>44105</v>
      </c>
      <c r="C20">
        <v>1317.77</v>
      </c>
    </row>
    <row r="21" spans="2:3">
      <c r="B21" s="5">
        <v>44136</v>
      </c>
      <c r="C21">
        <v>1317.77</v>
      </c>
    </row>
    <row r="22" spans="2:3">
      <c r="B22" s="5">
        <v>44166</v>
      </c>
      <c r="C22">
        <v>1317.77</v>
      </c>
    </row>
    <row r="23" spans="2:3">
      <c r="B23" s="5">
        <v>44197</v>
      </c>
      <c r="C23">
        <v>1317.77</v>
      </c>
    </row>
    <row r="24" spans="2:3">
      <c r="B24" s="5">
        <v>44228</v>
      </c>
      <c r="C24">
        <v>1317.77</v>
      </c>
    </row>
    <row r="28" spans="2:2">
      <c r="B28" t="s">
        <v>433</v>
      </c>
    </row>
    <row r="30" spans="2:3">
      <c r="B30" s="6" t="s">
        <v>434</v>
      </c>
      <c r="C30" s="6"/>
    </row>
    <row r="31" spans="2:6">
      <c r="B31" s="6" t="s">
        <v>435</v>
      </c>
      <c r="C31" s="6"/>
      <c r="D31" s="6"/>
      <c r="E31" s="6"/>
      <c r="F31" s="6"/>
    </row>
    <row r="32" spans="2:6">
      <c r="B32" s="6" t="s">
        <v>436</v>
      </c>
      <c r="C32" s="6"/>
      <c r="D32" s="6"/>
      <c r="E32" s="6"/>
      <c r="F32" s="6"/>
    </row>
    <row r="34" spans="2:6">
      <c r="B34" s="6" t="s">
        <v>437</v>
      </c>
      <c r="C34" s="6"/>
      <c r="D34" s="6"/>
      <c r="E34" s="6"/>
      <c r="F34" s="6"/>
    </row>
    <row r="36" spans="2:5">
      <c r="B36" s="6" t="s">
        <v>438</v>
      </c>
      <c r="C36" s="6"/>
      <c r="D36" s="6"/>
      <c r="E36" s="6"/>
    </row>
    <row r="37" spans="2:8">
      <c r="B37" s="6" t="s">
        <v>439</v>
      </c>
      <c r="C37" s="6"/>
      <c r="D37" s="6"/>
      <c r="E37" s="6"/>
      <c r="F37" s="6"/>
      <c r="G37" s="6"/>
      <c r="H37" s="6"/>
    </row>
    <row r="43" spans="9:9">
      <c r="I43" t="s">
        <v>419</v>
      </c>
    </row>
    <row r="44" spans="9:24">
      <c r="I44" t="s">
        <v>420</v>
      </c>
      <c r="K44" s="6" t="s">
        <v>421</v>
      </c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t="s">
        <v>420</v>
      </c>
      <c r="X44" t="s">
        <v>422</v>
      </c>
    </row>
    <row r="45" spans="1:24">
      <c r="A45" s="1" t="s">
        <v>440</v>
      </c>
      <c r="B45" s="1" t="s">
        <v>260</v>
      </c>
      <c r="C45" s="1" t="s">
        <v>85</v>
      </c>
      <c r="D45" s="1" t="s">
        <v>423</v>
      </c>
      <c r="E45" s="1" t="s">
        <v>46</v>
      </c>
      <c r="F45" s="1" t="s">
        <v>262</v>
      </c>
      <c r="G45" s="1" t="s">
        <v>243</v>
      </c>
      <c r="H45" s="1" t="s">
        <v>424</v>
      </c>
      <c r="I45" s="1" t="s">
        <v>425</v>
      </c>
      <c r="J45" s="1" t="s">
        <v>426</v>
      </c>
      <c r="K45" s="9">
        <v>44197</v>
      </c>
      <c r="L45" s="9">
        <v>44228</v>
      </c>
      <c r="M45" s="9">
        <v>44256</v>
      </c>
      <c r="N45" s="9">
        <v>44287</v>
      </c>
      <c r="O45" s="9">
        <v>44317</v>
      </c>
      <c r="P45" s="9">
        <v>44348</v>
      </c>
      <c r="Q45" s="9">
        <v>44378</v>
      </c>
      <c r="R45" s="9">
        <v>44409</v>
      </c>
      <c r="S45" s="9">
        <v>44440</v>
      </c>
      <c r="T45" s="9">
        <v>44470</v>
      </c>
      <c r="U45" s="9">
        <v>44501</v>
      </c>
      <c r="V45" s="9">
        <v>44531</v>
      </c>
      <c r="W45" s="1" t="s">
        <v>427</v>
      </c>
      <c r="X45" s="1" t="s">
        <v>428</v>
      </c>
    </row>
    <row r="46" spans="1:24">
      <c r="A46" s="2" t="s">
        <v>441</v>
      </c>
      <c r="B46" s="2" t="s">
        <v>281</v>
      </c>
      <c r="C46" s="3">
        <v>43983</v>
      </c>
      <c r="D46" s="3">
        <v>44255</v>
      </c>
      <c r="E46" s="2" t="s">
        <v>283</v>
      </c>
      <c r="F46" s="4">
        <v>43983</v>
      </c>
      <c r="G46" s="2" t="s">
        <v>284</v>
      </c>
      <c r="H46" s="2">
        <v>11859.93</v>
      </c>
      <c r="I46" s="2">
        <v>9224.39</v>
      </c>
      <c r="J46" s="2">
        <f>H46-I46</f>
        <v>2635.54</v>
      </c>
      <c r="K46" s="2">
        <v>-1317.77</v>
      </c>
      <c r="L46" s="2">
        <v>-1317.77</v>
      </c>
      <c r="M46" s="2"/>
      <c r="N46" s="2"/>
      <c r="O46" s="2"/>
      <c r="P46" s="2"/>
      <c r="Q46" s="2"/>
      <c r="R46" s="2"/>
      <c r="S46" s="2"/>
      <c r="T46" s="2"/>
      <c r="U46" s="2"/>
      <c r="V46" s="2"/>
      <c r="W46" s="2">
        <f>K46+L46+M46+N46+O46+P46+Q46+R46+S46+T46+U46+V46</f>
        <v>-2635.54</v>
      </c>
      <c r="X46" s="2">
        <f>H46-(I46-W46)</f>
        <v>0</v>
      </c>
    </row>
    <row r="47" spans="1:24">
      <c r="A47" s="2" t="s">
        <v>441</v>
      </c>
      <c r="B47" s="2" t="s">
        <v>303</v>
      </c>
      <c r="C47" s="3">
        <v>44197</v>
      </c>
      <c r="D47" s="3">
        <v>44286</v>
      </c>
      <c r="E47" s="2" t="s">
        <v>339</v>
      </c>
      <c r="F47" s="4">
        <v>44197</v>
      </c>
      <c r="G47" s="2" t="s">
        <v>340</v>
      </c>
      <c r="H47" s="2">
        <v>29309.43</v>
      </c>
      <c r="I47" s="2" t="s">
        <v>442</v>
      </c>
      <c r="J47" s="2">
        <v>0</v>
      </c>
      <c r="K47" s="2">
        <v>-9769.81</v>
      </c>
      <c r="L47" s="2">
        <v>-9769.81</v>
      </c>
      <c r="M47" s="2">
        <v>-9769.81</v>
      </c>
      <c r="N47" s="2"/>
      <c r="O47" s="2"/>
      <c r="P47" s="2"/>
      <c r="Q47" s="2"/>
      <c r="R47" s="2"/>
      <c r="S47" s="2"/>
      <c r="T47" s="2"/>
      <c r="U47" s="2"/>
      <c r="V47" s="2"/>
      <c r="W47" s="2">
        <f>K47+L47+M47+N47+O47+P47+Q47+R47+S47+T47+U47+V47</f>
        <v>-29309.43</v>
      </c>
      <c r="X47" s="2">
        <v>0</v>
      </c>
    </row>
    <row r="48" ht="43.5" spans="1:24">
      <c r="A48" s="2" t="s">
        <v>443</v>
      </c>
      <c r="B48" s="2" t="s">
        <v>444</v>
      </c>
      <c r="C48" s="3">
        <v>44317</v>
      </c>
      <c r="D48" s="3">
        <v>44561</v>
      </c>
      <c r="E48" s="7" t="s">
        <v>445</v>
      </c>
      <c r="F48" s="4">
        <v>44378</v>
      </c>
      <c r="G48" s="2" t="s">
        <v>446</v>
      </c>
      <c r="H48" s="8">
        <v>-8691.53</v>
      </c>
      <c r="I48" s="2" t="s">
        <v>442</v>
      </c>
      <c r="J48" s="2">
        <v>0</v>
      </c>
      <c r="K48" s="2"/>
      <c r="L48" s="2"/>
      <c r="M48" s="2"/>
      <c r="N48" s="2"/>
      <c r="O48" s="2"/>
      <c r="P48" s="2"/>
      <c r="Q48" s="2">
        <v>3259.32</v>
      </c>
      <c r="R48" s="2">
        <v>1086.44</v>
      </c>
      <c r="S48" s="2"/>
      <c r="T48" s="2"/>
      <c r="U48" s="2"/>
      <c r="V48" s="2"/>
      <c r="W48" s="2">
        <f>K48+L48+M48+N48+O48+P48+Q48+R48+S48+T48+U48+V48</f>
        <v>4345.76</v>
      </c>
      <c r="X48" s="2">
        <v>-4345.77</v>
      </c>
    </row>
    <row r="49" ht="43.5" spans="1:24">
      <c r="A49" s="2" t="s">
        <v>441</v>
      </c>
      <c r="B49" s="2" t="s">
        <v>447</v>
      </c>
      <c r="C49" s="3">
        <v>44197</v>
      </c>
      <c r="D49" s="3">
        <v>44561</v>
      </c>
      <c r="E49" s="7" t="s">
        <v>307</v>
      </c>
      <c r="F49" s="4">
        <v>44166</v>
      </c>
      <c r="G49" s="528" t="s">
        <v>308</v>
      </c>
      <c r="H49" s="2">
        <v>3205.13</v>
      </c>
      <c r="I49" s="2" t="s">
        <v>448</v>
      </c>
      <c r="J49" s="2">
        <v>3205.13</v>
      </c>
      <c r="K49" s="2">
        <v>-267.09</v>
      </c>
      <c r="L49" s="2">
        <v>-267.1</v>
      </c>
      <c r="M49" s="2">
        <v>-267.09</v>
      </c>
      <c r="N49" s="2">
        <v>-267.09</v>
      </c>
      <c r="O49" s="2">
        <v>-267.1</v>
      </c>
      <c r="P49" s="2">
        <v>-267.09</v>
      </c>
      <c r="Q49" s="2">
        <v>-267.09</v>
      </c>
      <c r="R49" s="2">
        <v>-267.1</v>
      </c>
      <c r="S49" s="2"/>
      <c r="T49" s="2"/>
      <c r="U49" s="2"/>
      <c r="V49" s="2"/>
      <c r="W49" s="2">
        <f t="shared" ref="W49:W50" si="1">K49+L49+M49+N49+O49+P49+Q49+R49+S49+T49+U49+V49</f>
        <v>-2136.75</v>
      </c>
      <c r="X49" s="2">
        <v>1068.39</v>
      </c>
    </row>
    <row r="50" spans="1:24">
      <c r="A50" s="2" t="s">
        <v>441</v>
      </c>
      <c r="B50" s="2" t="s">
        <v>447</v>
      </c>
      <c r="C50" s="3">
        <v>44197</v>
      </c>
      <c r="D50" s="3">
        <v>44561</v>
      </c>
      <c r="E50" s="2" t="s">
        <v>309</v>
      </c>
      <c r="F50" s="4">
        <v>44166</v>
      </c>
      <c r="G50" s="528" t="s">
        <v>308</v>
      </c>
      <c r="H50" s="2">
        <v>335.42</v>
      </c>
      <c r="I50" s="2" t="s">
        <v>448</v>
      </c>
      <c r="J50" s="2">
        <v>335.42</v>
      </c>
      <c r="K50" s="2">
        <v>-27.95</v>
      </c>
      <c r="L50" s="2">
        <v>-27.95</v>
      </c>
      <c r="M50" s="2">
        <v>-27.95</v>
      </c>
      <c r="N50" s="2">
        <v>-27.95</v>
      </c>
      <c r="O50" s="2">
        <v>-27.95</v>
      </c>
      <c r="P50" s="2">
        <v>-27.95</v>
      </c>
      <c r="Q50" s="2">
        <v>-27.95</v>
      </c>
      <c r="R50" s="2">
        <v>-27.95</v>
      </c>
      <c r="S50" s="2"/>
      <c r="T50" s="2"/>
      <c r="U50" s="2"/>
      <c r="V50" s="2"/>
      <c r="W50" s="2">
        <f t="shared" si="1"/>
        <v>-223.6</v>
      </c>
      <c r="X50" s="2">
        <v>111.82</v>
      </c>
    </row>
    <row r="66" spans="7:7">
      <c r="G66" t="s">
        <v>449</v>
      </c>
    </row>
    <row r="67" spans="7:7">
      <c r="G67">
        <v>8691.53</v>
      </c>
    </row>
  </sheetData>
  <mergeCells count="8">
    <mergeCell ref="K2:V2"/>
    <mergeCell ref="B30:C30"/>
    <mergeCell ref="B31:F31"/>
    <mergeCell ref="B32:F32"/>
    <mergeCell ref="B34:F34"/>
    <mergeCell ref="B36:E36"/>
    <mergeCell ref="B37:H37"/>
    <mergeCell ref="K44:V44"/>
  </mergeCells>
  <pageMargins left="0.7" right="0.7" top="0.75" bottom="0.75" header="0.3" footer="0.3"/>
  <pageSetup paperSize="1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6.2  Accrual 2021</vt:lpstr>
      <vt:lpstr>Accrual</vt:lpstr>
      <vt:lpstr>4 FA Detail (US$)_Jun21</vt:lpstr>
      <vt:lpstr>CIP details</vt:lpstr>
      <vt:lpstr>3.3 Prepayment-10904</vt:lpstr>
      <vt:lpstr>Prepay cal log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Revanth S</dc:creator>
  <cp:lastModifiedBy>roop2590</cp:lastModifiedBy>
  <dcterms:created xsi:type="dcterms:W3CDTF">2021-09-29T12:43:00Z</dcterms:created>
  <dcterms:modified xsi:type="dcterms:W3CDTF">2021-10-22T11:51:41Z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  <property fmtid="{D5CDD505-2E9C-101B-9397-08002B2CF9AE}" pid="4" name="ICV">
    <vt:lpwstr>A0E9FCB2DD2D48CCA90B3E8723768A7E</vt:lpwstr>
  </property>
  <property fmtid="{D5CDD505-2E9C-101B-9397-08002B2CF9AE}" pid="5" name="KSOProductBuildVer">
    <vt:lpwstr>1033-11.2.0.10323</vt:lpwstr>
  </property>
</Properties>
</file>