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rodri/Documents/kickstarter-analysis/"/>
    </mc:Choice>
  </mc:AlternateContent>
  <xr:revisionPtr revIDLastSave="0" documentId="13_ncr:1_{02180C2A-31E8-1A4D-9534-1A691085C572}" xr6:coauthVersionLast="47" xr6:coauthVersionMax="47" xr10:uidLastSave="{00000000-0000-0000-0000-000000000000}"/>
  <bookViews>
    <workbookView xWindow="0" yWindow="0" windowWidth="35840" windowHeight="22400" firstSheet="1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Boxplot" sheetId="9" r:id="rId5"/>
    <sheet name="Hoja4" sheetId="13" r:id="rId6"/>
    <sheet name="Theater Outcomes by Launch Date" sheetId="11" r:id="rId7"/>
    <sheet name="Outcomes Based on Goals" sheetId="12" r:id="rId8"/>
    <sheet name="Kickstarters" sheetId="1" r:id="rId9"/>
    <sheet name="Descriptive Statistics" sheetId="8" r:id="rId10"/>
    <sheet name="Failed US Kickstarters" sheetId="7" r:id="rId11"/>
    <sheet name="Successful US Kickstarters" sheetId="6" r:id="rId12"/>
  </sheets>
  <definedNames>
    <definedName name="_xlnm._FilterDatabase" localSheetId="10" hidden="1">'Failed US Kickstarters'!$A$1:$T$1</definedName>
    <definedName name="_xlnm._FilterDatabase" localSheetId="8" hidden="1">Kickstarters!$A$1:$U$4115</definedName>
    <definedName name="_xlnm._FilterDatabase" localSheetId="11" hidden="1">'Successful US Kickstarters'!$A$1:$T$1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0" r:id="rId13"/>
    <pivotCache cacheId="1" r:id="rId14"/>
    <pivotCache cacheId="1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C2" i="12"/>
  <c r="B13" i="12"/>
  <c r="B2" i="12"/>
  <c r="C14" i="8"/>
  <c r="B14" i="8"/>
  <c r="C7" i="8"/>
  <c r="B7" i="8"/>
  <c r="C13" i="8"/>
  <c r="B13" i="8"/>
  <c r="C12" i="8"/>
  <c r="B12" i="8"/>
  <c r="C11" i="8"/>
  <c r="B11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2" i="5" a="1"/>
  <c r="C2" i="5" s="1"/>
  <c r="B3" i="5"/>
  <c r="B4" i="5"/>
  <c r="B5" i="5"/>
  <c r="B6" i="5"/>
  <c r="B2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12" l="1"/>
  <c r="G2" i="12"/>
  <c r="F3" i="12"/>
  <c r="G6" i="12"/>
  <c r="H2" i="12"/>
  <c r="G8" i="12"/>
  <c r="F2" i="12"/>
  <c r="F7" i="12"/>
  <c r="G9" i="12"/>
  <c r="H9" i="12"/>
  <c r="H11" i="12"/>
  <c r="G12" i="12"/>
  <c r="H12" i="12"/>
  <c r="F11" i="12"/>
  <c r="G13" i="12"/>
  <c r="H13" i="12"/>
  <c r="E2" i="12"/>
  <c r="E3" i="12"/>
  <c r="G3" i="12" s="1"/>
  <c r="E13" i="12"/>
  <c r="F13" i="12" s="1"/>
  <c r="E12" i="12"/>
  <c r="F12" i="12" s="1"/>
  <c r="E11" i="12"/>
  <c r="G11" i="12" s="1"/>
  <c r="E10" i="12"/>
  <c r="H10" i="12" s="1"/>
  <c r="E9" i="12"/>
  <c r="F9" i="12" s="1"/>
  <c r="E8" i="12"/>
  <c r="F8" i="12" s="1"/>
  <c r="E7" i="12"/>
  <c r="G7" i="12" s="1"/>
  <c r="E6" i="12"/>
  <c r="F6" i="12" s="1"/>
  <c r="E5" i="12"/>
  <c r="H5" i="12" s="1"/>
  <c r="E4" i="12"/>
  <c r="F4" i="12" s="1"/>
  <c r="H6" i="12" l="1"/>
  <c r="G5" i="12"/>
  <c r="H4" i="12"/>
  <c r="G4" i="12"/>
  <c r="H8" i="12"/>
  <c r="H7" i="12"/>
  <c r="F10" i="12"/>
  <c r="G10" i="12"/>
  <c r="F5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<sst xmlns="http://schemas.openxmlformats.org/spreadsheetml/2006/main" count="38970" uniqueCount="8417">
  <si>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</si>
  <si>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</si>
  <si>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</si>
  <si>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</si>
  <si>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</si>
  <si>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</si>
  <si>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</si>
  <si>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</si>
  <si>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</si>
  <si>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</si>
  <si>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</si>
  <si>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</si>
  <si>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</si>
  <si>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</si>
  <si>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</si>
  <si>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</si>
  <si>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</si>
  <si>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</si>
  <si>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</si>
  <si>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</si>
  <si>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</si>
  <si>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</si>
  <si>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</si>
  <si>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</si>
  <si>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</si>
  <si>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</si>
  <si>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</si>
  <si>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</si>
  <si>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</si>
  <si>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</si>
  <si>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</si>
  <si>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</si>
  <si>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</si>
  <si>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</si>
  <si>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</si>
  <si>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</si>
  <si>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</si>
  <si>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</si>
  <si>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</si>
  <si>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</si>
  <si>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</si>
  <si>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</si>
  <si>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</si>
  <si>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</si>
  <si>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</si>
  <si>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</si>
  <si>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</si>
  <si>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</si>
  <si>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</si>
  <si>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</si>
  <si>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</si>
  <si>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</si>
  <si>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</si>
  <si>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</si>
  <si>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</si>
  <si>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</si>
  <si>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</si>
  <si>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</si>
  <si>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</si>
  <si>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</si>
  <si>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</si>
  <si>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</si>
  <si>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</si>
  <si>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</si>
  <si>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</si>
  <si>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</si>
  <si>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</si>
  <si>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</si>
  <si>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</si>
  <si>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</si>
  <si>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</si>
  <si>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</si>
  <si>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</si>
  <si>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</si>
  <si>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</si>
  <si>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</si>
  <si>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</si>
  <si>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</si>
  <si>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</si>
  <si>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</si>
  <si>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</si>
  <si>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</si>
  <si>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</si>
  <si>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</si>
  <si>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</si>
  <si>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</si>
  <si>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</si>
  <si>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</si>
  <si>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</si>
  <si>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</si>
  <si>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</si>
  <si>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</si>
  <si>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</si>
  <si>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</si>
  <si>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</si>
  <si>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</si>
  <si>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</si>
  <si>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</si>
  <si>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</si>
  <si>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</si>
  <si>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</si>
  <si>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</si>
  <si>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</si>
  <si>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</si>
  <si>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</si>
  <si>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</si>
  <si>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</si>
  <si>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</si>
  <si>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</si>
  <si>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</si>
  <si>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</si>
  <si>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</si>
  <si>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</si>
  <si>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</si>
  <si>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</si>
  <si>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</si>
  <si>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</si>
  <si>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</si>
  <si>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</si>
  <si>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</si>
  <si>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</si>
  <si>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</si>
  <si>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</si>
  <si>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</si>
  <si>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</si>
  <si>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</si>
  <si>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</si>
  <si>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</si>
  <si>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</si>
  <si>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</si>
  <si>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</si>
  <si>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</si>
  <si>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</si>
  <si>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</si>
  <si>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</si>
  <si>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</si>
  <si>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</si>
  <si>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</si>
  <si>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</si>
  <si>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</si>
  <si>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</si>
  <si>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</si>
  <si>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</si>
  <si>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</si>
  <si>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</si>
  <si>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</si>
  <si>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</si>
  <si>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</si>
  <si>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</si>
  <si>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</si>
  <si>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</si>
  <si>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</si>
  <si>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</si>
  <si>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</si>
  <si>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</si>
  <si>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</si>
  <si>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</si>
  <si>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</si>
  <si>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</si>
  <si>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</si>
  <si>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</si>
  <si>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</si>
  <si>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</si>
  <si>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</si>
  <si>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</si>
  <si>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</si>
  <si>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</si>
  <si>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</si>
  <si>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</si>
  <si>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</si>
  <si>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</si>
  <si>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</si>
  <si>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</si>
  <si>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</si>
  <si>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</si>
  <si>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</si>
  <si>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</si>
  <si>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</si>
  <si>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</si>
  <si>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</si>
  <si>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</si>
  <si>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</si>
  <si>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</si>
  <si>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</si>
  <si>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</si>
  <si>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</si>
  <si>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</si>
  <si>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</si>
  <si>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</si>
  <si>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</si>
  <si>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</si>
  <si>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</si>
  <si>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</si>
  <si>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</si>
  <si>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</si>
  <si>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</si>
  <si>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</si>
  <si>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</si>
  <si>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</si>
  <si>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</si>
  <si>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</si>
  <si>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</si>
  <si>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</si>
  <si>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</si>
  <si>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</si>
  <si>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</si>
  <si>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</si>
  <si>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</si>
  <si>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</si>
  <si>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</si>
  <si>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</si>
  <si>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</si>
  <si>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</si>
  <si>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</si>
  <si>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</si>
  <si>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</si>
  <si>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</si>
  <si>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</si>
  <si>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</si>
  <si>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</si>
  <si>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</si>
  <si>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</si>
  <si>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</si>
  <si>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</si>
  <si>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</si>
  <si>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</si>
  <si>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</si>
  <si>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</si>
  <si>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</si>
  <si>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</si>
  <si>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</si>
  <si>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</si>
  <si>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</si>
  <si>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</si>
  <si>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</si>
  <si>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</si>
  <si>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</si>
  <si>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</si>
  <si>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</si>
  <si>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</si>
  <si>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</si>
  <si>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</si>
  <si>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</si>
  <si>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</si>
  <si>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</si>
  <si>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</si>
  <si>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</si>
  <si>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</si>
  <si>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</si>
  <si>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</si>
  <si>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</si>
  <si>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</si>
  <si>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</si>
  <si>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</si>
  <si>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</si>
  <si>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</si>
  <si>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</si>
  <si>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</si>
  <si>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</si>
  <si>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</si>
  <si>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</si>
  <si>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</si>
  <si>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</si>
  <si>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</si>
  <si>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</si>
  <si>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</si>
  <si>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</si>
  <si>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</si>
  <si>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</si>
  <si>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</si>
  <si>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</si>
  <si>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</si>
  <si>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</si>
  <si>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</si>
  <si>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</si>
  <si>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</si>
  <si>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</si>
  <si>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</si>
  <si>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</si>
  <si>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</si>
  <si>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</si>
  <si>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</si>
  <si>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</si>
  <si>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</si>
  <si>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</si>
  <si>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</si>
  <si>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</si>
  <si>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</si>
  <si>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</si>
  <si>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</si>
  <si>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</si>
  <si>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</si>
  <si>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</si>
  <si>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</si>
  <si>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</si>
  <si>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</si>
  <si>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</si>
  <si>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</si>
  <si>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</si>
  <si>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</si>
  <si>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</si>
  <si>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</si>
  <si>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</si>
  <si>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</si>
  <si>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</si>
  <si>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</si>
  <si>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</si>
  <si>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</si>
  <si>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</si>
  <si>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</si>
  <si>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</si>
  <si>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</si>
  <si>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</si>
  <si>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</si>
  <si>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</si>
  <si>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</si>
  <si>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</si>
  <si>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</si>
  <si>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</si>
  <si>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</si>
  <si>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</si>
  <si>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</si>
  <si>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</si>
  <si>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</si>
  <si>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</si>
  <si>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</si>
  <si>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</si>
  <si>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</si>
  <si>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</si>
  <si>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</si>
  <si>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</si>
  <si>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</si>
  <si>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</si>
  <si>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</si>
  <si>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</si>
  <si>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</si>
  <si>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</si>
  <si>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</si>
  <si>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</si>
  <si>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</si>
  <si>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</si>
  <si>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</si>
  <si>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</si>
  <si>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</si>
  <si>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</si>
  <si>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</si>
  <si>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</si>
  <si>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</si>
  <si>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</si>
  <si>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</si>
  <si>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</si>
  <si>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</si>
  <si>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</si>
  <si>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</si>
  <si>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</si>
  <si>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</si>
  <si>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</si>
  <si>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</si>
  <si>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</si>
  <si>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</si>
  <si>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</si>
  <si>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</si>
  <si>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</si>
  <si>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</si>
  <si>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</si>
  <si>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</si>
  <si>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</si>
  <si>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</si>
  <si>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</si>
  <si>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</si>
  <si>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</si>
  <si>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</si>
  <si>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</si>
  <si>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</si>
  <si>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</si>
  <si>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</si>
  <si>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</si>
  <si>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</si>
  <si>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</si>
  <si>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</si>
  <si>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</si>
  <si>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</si>
  <si>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</si>
  <si>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</si>
  <si>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</si>
  <si>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</si>
  <si>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</si>
  <si>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</si>
  <si>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</si>
  <si>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</si>
  <si>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</si>
  <si>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</si>
  <si>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</si>
  <si>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</si>
  <si>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</si>
  <si>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</si>
  <si>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</si>
  <si>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</si>
  <si>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</si>
  <si>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</si>
  <si>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</si>
  <si>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</si>
  <si>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</si>
  <si>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</si>
  <si>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</si>
  <si>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</si>
  <si>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</si>
  <si>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</si>
  <si>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</si>
  <si>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</si>
  <si>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</si>
  <si>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</si>
  <si>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</si>
  <si>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</si>
  <si>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</si>
  <si>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</si>
  <si>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</si>
  <si>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</si>
  <si>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</si>
  <si>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</si>
  <si>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</si>
  <si>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</si>
  <si>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</si>
  <si>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</si>
  <si>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</si>
  <si>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</si>
  <si>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</si>
  <si>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</si>
  <si>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</si>
  <si>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</si>
  <si>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</si>
  <si>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</si>
  <si>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</si>
  <si>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</si>
  <si>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</si>
  <si>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</si>
  <si>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</si>
  <si>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</si>
  <si>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</si>
  <si>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</si>
  <si>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</si>
  <si>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</si>
  <si>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</si>
  <si>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</si>
  <si>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</si>
  <si>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</si>
  <si>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</si>
  <si>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</si>
  <si>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</si>
  <si>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</si>
  <si>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</si>
  <si>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</si>
  <si>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</si>
  <si>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</si>
  <si>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</si>
  <si>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</si>
  <si>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</si>
  <si>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</si>
  <si>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</si>
  <si>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</si>
  <si>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</si>
  <si>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</si>
  <si>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</si>
  <si>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</si>
  <si>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</si>
  <si>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</si>
  <si>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</si>
  <si>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</si>
  <si>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</si>
  <si>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</si>
  <si>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</si>
  <si>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</si>
  <si>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</si>
  <si>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</si>
  <si>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</si>
  <si>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</si>
  <si>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</si>
  <si>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</si>
  <si>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</si>
  <si>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</si>
  <si>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</si>
  <si>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</si>
  <si>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</si>
  <si>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</si>
  <si>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</si>
  <si>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</si>
  <si>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</si>
  <si>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</si>
  <si>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</si>
  <si>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</si>
  <si>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</si>
  <si>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</si>
  <si>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</si>
  <si>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</si>
  <si>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</si>
  <si>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</si>
  <si>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</si>
  <si>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</si>
  <si>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</si>
  <si>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</si>
  <si>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</si>
  <si>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</si>
  <si>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</si>
  <si>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</si>
  <si>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</si>
  <si>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</si>
  <si>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</si>
  <si>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</si>
  <si>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</si>
  <si>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</si>
  <si>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</si>
  <si>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</si>
  <si>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</si>
  <si>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</si>
  <si>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</si>
  <si>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</si>
  <si>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</si>
  <si>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</si>
  <si>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</si>
  <si>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</si>
  <si>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</si>
  <si>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</si>
  <si>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</si>
  <si>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</si>
  <si>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</si>
  <si>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</si>
  <si>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</si>
  <si>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</si>
  <si>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</si>
  <si>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</si>
  <si>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</si>
  <si>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</si>
  <si>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</si>
  <si>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</si>
  <si>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</si>
  <si>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</si>
  <si>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</si>
  <si>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</si>
  <si>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</si>
  <si>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</si>
  <si>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</si>
  <si>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</si>
  <si>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</si>
  <si>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</si>
  <si>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</si>
  <si>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</si>
  <si>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</si>
  <si>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</si>
  <si>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</si>
  <si>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</si>
  <si>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</si>
  <si>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</si>
  <si>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</si>
  <si>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</si>
  <si>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</si>
  <si>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</si>
  <si>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</si>
  <si>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</si>
  <si>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</si>
  <si>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</si>
  <si>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</si>
  <si>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</si>
  <si>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</si>
  <si>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</si>
  <si>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</si>
  <si>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</si>
  <si>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</si>
  <si>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</si>
  <si>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</si>
  <si>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</si>
  <si>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</si>
  <si>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</si>
  <si>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</si>
  <si>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</si>
  <si>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</si>
  <si>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</si>
  <si>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</si>
  <si>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</si>
  <si>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</si>
  <si>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</si>
  <si>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</si>
  <si>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</si>
  <si>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</si>
  <si>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</si>
  <si>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</si>
  <si>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</si>
  <si>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</si>
  <si>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</si>
  <si>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</si>
  <si>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</si>
  <si>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</si>
  <si>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</si>
  <si>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</si>
  <si>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</si>
  <si>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</si>
  <si>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</si>
  <si>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</si>
  <si>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</si>
  <si>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</si>
  <si>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</si>
  <si>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</si>
  <si>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</si>
  <si>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</si>
  <si>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</si>
  <si>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</si>
  <si>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</si>
  <si>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</si>
  <si>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</si>
  <si>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</si>
  <si>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</si>
  <si>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</si>
  <si>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</si>
  <si>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</si>
  <si>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</si>
  <si>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</si>
  <si>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</si>
  <si>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</si>
  <si>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</si>
  <si>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</si>
  <si>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</si>
  <si>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</si>
  <si>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</si>
  <si>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</si>
  <si>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</si>
  <si>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</si>
  <si>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</si>
  <si>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</si>
  <si>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</si>
  <si>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</si>
  <si>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</si>
  <si>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</si>
  <si>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</si>
  <si>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</si>
  <si>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</si>
  <si>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</si>
  <si>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</si>
  <si>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</si>
  <si>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</si>
  <si>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</si>
  <si>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</si>
  <si>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</si>
  <si>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</si>
  <si>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</si>
  <si>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</si>
  <si>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</si>
  <si>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</si>
  <si>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</si>
  <si>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</si>
  <si>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</si>
  <si>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</si>
  <si>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</si>
  <si>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</si>
  <si>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</si>
  <si>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</si>
  <si>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</si>
  <si>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</si>
  <si>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</si>
  <si>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</si>
  <si>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</si>
  <si>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</si>
  <si>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</si>
  <si>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</si>
  <si>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</si>
  <si>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</si>
  <si>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</si>
  <si>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</si>
  <si>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</si>
  <si>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</si>
  <si>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</si>
  <si>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</si>
  <si>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</si>
  <si>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</si>
  <si>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</si>
  <si>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</si>
  <si>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</si>
  <si>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</si>
  <si>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</si>
  <si>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</si>
  <si>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</si>
  <si>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</si>
  <si>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</si>
  <si>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</si>
  <si>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</si>
  <si>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</si>
  <si>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</si>
  <si>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</si>
  <si>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</si>
  <si>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</si>
  <si>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</si>
  <si>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</si>
  <si>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</si>
  <si>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</si>
  <si>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</si>
  <si>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</si>
  <si>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</si>
  <si>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</si>
  <si>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</si>
  <si>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</si>
  <si>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</si>
  <si>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</si>
  <si>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</si>
  <si>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</si>
  <si>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</si>
  <si>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</si>
  <si>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</si>
  <si>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</si>
  <si>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</si>
  <si>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</si>
  <si>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</si>
  <si>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</si>
  <si>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</si>
  <si>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</si>
  <si>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</si>
  <si>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</si>
  <si>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</si>
  <si>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</si>
  <si>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</si>
  <si>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</si>
  <si>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</si>
  <si>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</si>
  <si>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</si>
  <si>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</si>
  <si>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</si>
  <si>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</si>
  <si>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</si>
  <si>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</si>
  <si>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</si>
  <si>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</si>
  <si>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</si>
  <si>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</si>
  <si>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</si>
  <si>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</si>
  <si>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</si>
  <si>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</si>
  <si>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</si>
  <si>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</si>
  <si>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</si>
  <si>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</si>
  <si>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</si>
  <si>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</si>
  <si>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</si>
  <si>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</si>
  <si>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</si>
  <si>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</si>
  <si>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</si>
  <si>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</si>
  <si>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</si>
  <si>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</si>
  <si>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</si>
  <si>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</si>
  <si>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</si>
  <si>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</si>
  <si>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</si>
  <si>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</si>
  <si>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</si>
  <si>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</si>
  <si>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</si>
  <si>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</si>
  <si>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</si>
  <si>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</si>
  <si>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</si>
  <si>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</si>
  <si>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</si>
  <si>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</si>
  <si>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</si>
  <si>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</si>
  <si>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</si>
  <si>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</si>
  <si>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</si>
  <si>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</si>
  <si>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</si>
  <si>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</si>
  <si>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</si>
  <si>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</si>
  <si>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</si>
  <si>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</si>
  <si>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</si>
  <si>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</si>
  <si>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</si>
  <si>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</si>
  <si>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</si>
  <si>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</si>
  <si>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</si>
  <si>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</si>
  <si>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</si>
  <si>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</si>
  <si>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</si>
  <si>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</si>
  <si>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</si>
  <si>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</si>
  <si>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</si>
  <si>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</si>
  <si>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</si>
  <si>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</si>
  <si>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</si>
  <si>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</si>
  <si>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</si>
  <si>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</si>
  <si>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</si>
  <si>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</si>
  <si>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</si>
  <si>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</si>
  <si>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</si>
  <si>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</si>
  <si>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</si>
  <si>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</si>
  <si>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</si>
  <si>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</si>
  <si>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</si>
  <si>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</si>
  <si>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</si>
  <si>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</si>
  <si>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</si>
  <si>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</si>
  <si>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</si>
  <si>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</si>
  <si>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</si>
  <si>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</si>
  <si>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</si>
  <si>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</si>
  <si>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</si>
  <si>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</si>
  <si>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</si>
  <si>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</si>
  <si>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</si>
  <si>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</si>
  <si>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</si>
  <si>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</si>
  <si>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</si>
  <si>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</si>
  <si>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</si>
  <si>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</si>
  <si>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</si>
  <si>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</si>
  <si>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</si>
  <si>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</si>
  <si>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</si>
  <si>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</si>
  <si>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</si>
  <si>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</si>
  <si>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</si>
  <si>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</si>
  <si>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</si>
  <si>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</si>
  <si>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</si>
  <si>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</si>
  <si>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</si>
  <si>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</si>
  <si>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</si>
  <si>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</si>
  <si>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</si>
  <si>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</si>
  <si>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</si>
  <si>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</si>
  <si>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</si>
  <si>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</si>
  <si>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</si>
  <si>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</si>
  <si>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</si>
  <si>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</si>
  <si>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</si>
  <si>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</si>
  <si>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</si>
  <si>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</si>
  <si>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</si>
  <si>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</si>
  <si>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</si>
  <si>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</si>
  <si>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</si>
  <si>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</si>
  <si>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</si>
  <si>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</si>
  <si>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</si>
  <si>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</si>
  <si>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</si>
  <si>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</si>
  <si>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</si>
  <si>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</si>
  <si>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</si>
  <si>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</si>
  <si>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</si>
  <si>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</si>
  <si>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</si>
  <si>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</si>
  <si>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</si>
  <si>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</si>
  <si>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</si>
  <si>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</si>
  <si>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</si>
  <si>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</si>
  <si>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</si>
  <si>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</si>
  <si>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</si>
  <si>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</si>
  <si>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</si>
  <si>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</si>
  <si>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</si>
  <si>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</si>
  <si>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</si>
  <si>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</si>
  <si>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</si>
  <si>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</si>
  <si>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</si>
  <si>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</si>
  <si>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</si>
  <si>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</si>
  <si>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</si>
  <si>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</si>
  <si>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</si>
  <si>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</si>
  <si>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</si>
  <si>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</si>
  <si>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</si>
  <si>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</si>
  <si>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</si>
  <si>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</si>
  <si>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</si>
  <si>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</si>
  <si>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</si>
  <si>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</si>
  <si>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</si>
  <si>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</si>
  <si>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</si>
  <si>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</si>
  <si>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</si>
  <si>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</si>
  <si>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</si>
  <si>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</si>
  <si>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</si>
  <si>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</si>
  <si>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</si>
  <si>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</si>
  <si>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</si>
  <si>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</si>
  <si>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</si>
  <si>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</si>
  <si>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</si>
  <si>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</si>
  <si>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</si>
  <si>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</si>
  <si>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</si>
  <si>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</si>
  <si>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</si>
  <si>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</si>
  <si>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</si>
  <si>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</si>
  <si>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</si>
  <si>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</si>
  <si>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</si>
  <si>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</si>
  <si>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</si>
  <si>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</si>
  <si>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</si>
  <si>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</si>
  <si>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</si>
  <si>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</si>
  <si>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</si>
  <si>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</si>
  <si>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</si>
  <si>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</si>
  <si>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</si>
  <si>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</si>
  <si>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</si>
  <si>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</si>
  <si>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</si>
  <si>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</si>
  <si>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</si>
  <si>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</si>
  <si>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</si>
  <si>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</si>
  <si>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</si>
  <si>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</si>
  <si>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</si>
  <si>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</si>
  <si>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</si>
  <si>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</si>
  <si>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</si>
  <si>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</si>
  <si>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</si>
  <si>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</si>
  <si>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</si>
  <si>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</si>
  <si>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</si>
  <si>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</si>
  <si>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</si>
  <si>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</si>
  <si>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</si>
  <si>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</si>
  <si>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</si>
  <si>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</si>
  <si>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</si>
  <si>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</si>
  <si>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</si>
  <si>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</si>
  <si>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</si>
  <si>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</si>
  <si>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</si>
  <si>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</si>
  <si>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</si>
  <si>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</si>
  <si>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</si>
  <si>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</si>
  <si>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</si>
  <si>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</si>
  <si>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</si>
  <si>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</si>
  <si>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</si>
  <si>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</si>
  <si>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</si>
  <si>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</si>
  <si>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</si>
  <si>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</si>
  <si>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</si>
  <si>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</si>
  <si>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</si>
  <si>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</si>
  <si>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</si>
  <si>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</si>
  <si>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</si>
  <si>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</si>
  <si>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</si>
  <si>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</si>
  <si>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</si>
  <si>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</si>
  <si>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</si>
  <si>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</si>
  <si>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</si>
  <si>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</si>
  <si>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</si>
  <si>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</si>
  <si>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</si>
  <si>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</si>
  <si>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</si>
  <si>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</si>
  <si>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</si>
  <si>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</si>
  <si>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</si>
  <si>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</si>
  <si>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</si>
  <si>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</si>
  <si>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</si>
  <si>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</si>
  <si>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</si>
  <si>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</si>
  <si>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</si>
  <si>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</si>
  <si>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</si>
  <si>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</si>
  <si>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</si>
  <si>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</si>
  <si>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</si>
  <si>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</si>
  <si>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</si>
  <si>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</si>
  <si>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</si>
  <si>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</si>
  <si>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</si>
  <si>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</si>
  <si>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</si>
  <si>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</si>
  <si>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</si>
  <si>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</si>
  <si>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</si>
  <si>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</si>
  <si>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</si>
  <si>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</si>
  <si>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</si>
  <si>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</si>
  <si>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</si>
  <si>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</si>
  <si>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</si>
  <si>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</si>
  <si>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</si>
  <si>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</si>
  <si>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</si>
  <si>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</si>
  <si>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</si>
  <si>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</si>
  <si>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</si>
  <si>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</si>
  <si>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</si>
  <si>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</si>
  <si>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</si>
  <si>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</si>
  <si>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</si>
  <si>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</si>
  <si>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</si>
  <si>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</si>
  <si>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</si>
  <si>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</si>
  <si>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</si>
  <si>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</si>
  <si>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</si>
  <si>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</si>
  <si>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</si>
  <si>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</si>
  <si>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</si>
  <si>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</si>
  <si>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</si>
  <si>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</si>
  <si>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</si>
  <si>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</si>
  <si>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</si>
  <si>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</si>
  <si>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</si>
  <si>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</si>
  <si>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</si>
  <si>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</si>
  <si>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</si>
  <si>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</si>
  <si>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</si>
  <si>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</si>
  <si>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</si>
  <si>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</si>
  <si>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</si>
  <si>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</si>
  <si>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</si>
  <si>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</si>
  <si>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</si>
  <si>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</si>
  <si>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</si>
  <si>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</si>
  <si>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</si>
  <si>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</si>
  <si>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</si>
  <si>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</si>
  <si>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</si>
  <si>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</si>
  <si>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</si>
  <si>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</si>
  <si>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</si>
  <si>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</si>
  <si>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</si>
  <si>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</si>
  <si>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</si>
  <si>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</si>
  <si>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</si>
  <si>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</si>
  <si>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</si>
  <si>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</si>
  <si>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</si>
  <si>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</si>
  <si>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</si>
  <si>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</si>
  <si>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</si>
  <si>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</si>
  <si>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</si>
  <si>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</si>
  <si>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</si>
  <si>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</si>
  <si>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</si>
  <si>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</si>
  <si>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</si>
  <si>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</si>
  <si>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</si>
  <si>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</si>
  <si>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</si>
  <si>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</si>
  <si>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</si>
  <si>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</si>
  <si>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</si>
  <si>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</si>
  <si>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</si>
  <si>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</si>
  <si>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</si>
  <si>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</si>
  <si>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</si>
  <si>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</si>
  <si>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</si>
  <si>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</si>
  <si>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</si>
  <si>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</si>
  <si>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</si>
  <si>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</si>
  <si>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</si>
  <si>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</si>
  <si>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</si>
  <si>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</si>
  <si>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</si>
  <si>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</si>
  <si>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</si>
  <si>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</si>
  <si>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</si>
  <si>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</si>
  <si>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</si>
  <si>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</si>
  <si>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</si>
  <si>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</si>
  <si>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</si>
  <si>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</si>
  <si>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</si>
  <si>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</si>
  <si>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</si>
  <si>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</si>
  <si>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</si>
  <si>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</si>
  <si>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</si>
  <si>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</si>
  <si>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</si>
  <si>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</si>
  <si>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</si>
  <si>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</si>
  <si>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</si>
  <si>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</si>
  <si>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</si>
  <si>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</si>
  <si>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</si>
  <si>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</si>
  <si>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</si>
  <si>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</si>
  <si>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</si>
  <si>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</si>
  <si>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</si>
  <si>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</si>
  <si>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</si>
  <si>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</si>
  <si>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</si>
  <si>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</si>
  <si>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</si>
  <si>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</si>
  <si>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</si>
  <si>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</si>
  <si>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</si>
  <si>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</si>
  <si>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</si>
  <si>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</si>
  <si>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</si>
  <si>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</si>
  <si>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</si>
  <si>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</si>
  <si>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</si>
  <si>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</si>
  <si>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</si>
  <si>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</si>
  <si>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</si>
  <si>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</si>
  <si>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</si>
  <si>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</si>
  <si>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</si>
  <si>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</si>
  <si>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</si>
  <si>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</si>
  <si>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</si>
  <si>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</si>
  <si>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</si>
  <si>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</si>
  <si>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</si>
  <si>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</si>
  <si>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</si>
  <si>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</si>
  <si>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</si>
  <si>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</si>
  <si>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</si>
  <si>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</si>
  <si>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</si>
  <si>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</si>
  <si>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</si>
  <si>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</si>
  <si>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</si>
  <si>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</si>
  <si>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</si>
  <si>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</si>
  <si>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</si>
  <si>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</si>
  <si>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</si>
  <si>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</si>
  <si>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</si>
  <si>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</si>
  <si>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</si>
  <si>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</si>
  <si>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</si>
  <si>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</si>
  <si>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</si>
  <si>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</si>
  <si>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</si>
  <si>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</si>
  <si>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</si>
  <si>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</si>
  <si>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</si>
  <si>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</si>
  <si>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</si>
  <si>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</si>
  <si>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</si>
  <si>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</si>
  <si>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</si>
  <si>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</si>
  <si>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</si>
  <si>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</si>
  <si>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</si>
  <si>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</si>
  <si>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</si>
  <si>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</si>
  <si>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</si>
  <si>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</si>
  <si>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</si>
  <si>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</si>
  <si>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</si>
  <si>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</si>
  <si>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</si>
  <si>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</si>
  <si>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</si>
  <si>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</si>
  <si>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</si>
  <si>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</si>
  <si>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</si>
  <si>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</si>
  <si>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</si>
  <si>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</si>
  <si>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</si>
  <si>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</si>
  <si>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</si>
  <si>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</si>
  <si>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</si>
  <si>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</si>
  <si>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</si>
  <si>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</si>
  <si>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</si>
  <si>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</si>
  <si>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</si>
  <si>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</si>
  <si>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</si>
  <si>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</si>
  <si>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</si>
  <si>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</si>
  <si>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</si>
  <si>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</si>
  <si>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</si>
  <si>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</si>
  <si>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</si>
  <si>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</si>
  <si>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</si>
  <si>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</si>
  <si>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</si>
  <si>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</si>
  <si>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</si>
  <si>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</si>
  <si>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</si>
  <si>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</si>
  <si>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</si>
  <si>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</si>
  <si>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</si>
  <si>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</si>
  <si>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</si>
  <si>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</si>
  <si>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</si>
  <si>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</si>
  <si>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</si>
  <si>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</si>
  <si>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</si>
  <si>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</si>
  <si>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</si>
  <si>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</si>
  <si>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</si>
  <si>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</si>
  <si>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</si>
  <si>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</si>
  <si>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</si>
  <si>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</si>
  <si>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</si>
  <si>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</si>
  <si>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</si>
  <si>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</si>
  <si>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</si>
  <si>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</si>
  <si>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</si>
  <si>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</si>
  <si>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</si>
  <si>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</si>
  <si>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</si>
  <si>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</si>
  <si>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</si>
  <si>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</si>
  <si>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</si>
  <si>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</si>
  <si>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</si>
  <si>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</si>
  <si>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</si>
  <si>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</si>
  <si>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</si>
  <si>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</si>
  <si>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</si>
  <si>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</si>
  <si>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</si>
  <si>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</si>
  <si>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</si>
  <si>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</si>
  <si>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</si>
  <si>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</si>
  <si>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</si>
  <si>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</si>
  <si>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</si>
  <si>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</si>
  <si>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</si>
  <si>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</si>
  <si>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</si>
  <si>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</si>
  <si>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</si>
  <si>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</si>
  <si>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</si>
  <si>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</si>
  <si>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</si>
  <si>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</si>
  <si>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</si>
  <si>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</si>
  <si>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</si>
  <si>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</si>
  <si>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</si>
  <si>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</si>
  <si>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</si>
  <si>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</si>
  <si>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</si>
  <si>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</si>
  <si>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</si>
  <si>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</si>
  <si>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</si>
  <si>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</si>
  <si>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</si>
  <si>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</si>
  <si>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</si>
  <si>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</si>
  <si>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</si>
  <si>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</si>
  <si>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</si>
  <si>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</si>
  <si>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</si>
  <si>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</si>
  <si>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</si>
  <si>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</si>
  <si>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</si>
  <si>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</si>
  <si>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</si>
  <si>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</si>
  <si>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</si>
  <si>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</si>
  <si>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</si>
  <si>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</si>
  <si>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</si>
  <si>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</si>
  <si>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</si>
  <si>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</si>
  <si>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</si>
  <si>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</si>
  <si>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</si>
  <si>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</si>
  <si>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</si>
  <si>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</si>
  <si>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</si>
  <si>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</si>
  <si>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</si>
  <si>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</si>
  <si>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</si>
  <si>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</si>
  <si>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</si>
  <si>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</si>
  <si>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</si>
  <si>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</si>
  <si>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</si>
  <si>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</si>
  <si>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</si>
  <si>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</si>
  <si>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</si>
  <si>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</si>
  <si>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</si>
  <si>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</si>
  <si>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</si>
  <si>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</si>
  <si>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</si>
  <si>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</si>
  <si>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</si>
  <si>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</si>
  <si>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</si>
  <si>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</si>
  <si>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</si>
  <si>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</si>
  <si>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</si>
  <si>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</si>
  <si>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</si>
  <si>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</si>
  <si>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</si>
  <si>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</si>
  <si>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</si>
  <si>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</si>
  <si>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</si>
  <si>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</si>
  <si>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</si>
  <si>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</si>
  <si>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</si>
  <si>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</si>
  <si>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</si>
  <si>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</si>
  <si>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</si>
  <si>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</si>
  <si>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</si>
  <si>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</si>
  <si>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</si>
  <si>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</si>
  <si>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</si>
  <si>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</si>
  <si>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</si>
  <si>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</si>
  <si>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</si>
  <si>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</si>
  <si>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</si>
  <si>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</si>
  <si>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</si>
  <si>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</si>
  <si>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</si>
  <si>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</si>
  <si>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</si>
  <si>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</si>
  <si>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</si>
  <si>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</si>
  <si>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</si>
  <si>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</si>
  <si>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</si>
  <si>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</si>
  <si>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</si>
  <si>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</si>
  <si>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</si>
  <si>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</si>
  <si>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</si>
  <si>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</si>
  <si>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</si>
  <si>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</si>
  <si>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</si>
  <si>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</si>
  <si>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</si>
  <si>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</si>
  <si>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</si>
  <si>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</si>
  <si>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</si>
  <si>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</si>
  <si>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</si>
  <si>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</si>
  <si>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</si>
  <si>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</si>
  <si>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</si>
  <si>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</si>
  <si>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</si>
  <si>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</si>
  <si>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</si>
  <si>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</si>
  <si>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</si>
  <si>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</si>
  <si>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</si>
  <si>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</si>
  <si>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</si>
  <si>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</si>
  <si>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</si>
  <si>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</si>
  <si>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</si>
  <si>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</si>
  <si>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</si>
  <si>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</si>
  <si>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</si>
  <si>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</si>
  <si>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</si>
  <si>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</si>
  <si>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</si>
  <si>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</si>
  <si>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</si>
  <si>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</si>
  <si>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</si>
  <si>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</si>
  <si>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</si>
  <si>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</si>
  <si>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</si>
  <si>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</si>
  <si>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</si>
  <si>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</si>
  <si>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</si>
  <si>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</si>
  <si>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</si>
  <si>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</si>
  <si>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</si>
  <si>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</si>
  <si>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</si>
  <si>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</si>
  <si>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</si>
  <si>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</si>
  <si>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</si>
  <si>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</si>
  <si>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</si>
  <si>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</si>
  <si>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</si>
  <si>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</si>
  <si>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</si>
  <si>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</si>
  <si>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</si>
  <si>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</si>
  <si>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</si>
  <si>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</si>
  <si>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</si>
  <si>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</si>
  <si>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</si>
  <si>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</si>
  <si>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</si>
  <si>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</si>
  <si>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</si>
  <si>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</si>
  <si>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</si>
  <si>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</si>
  <si>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</si>
  <si>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</si>
  <si>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</si>
  <si>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</si>
  <si>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</si>
  <si>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</si>
  <si>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</si>
  <si>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</si>
  <si>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</si>
  <si>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</si>
  <si>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</si>
  <si>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</si>
  <si>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</si>
  <si>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</si>
  <si>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</si>
  <si>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</si>
  <si>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</si>
  <si>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</si>
  <si>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</si>
  <si>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</si>
  <si>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</si>
  <si>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</si>
  <si>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</si>
  <si>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</si>
  <si>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</si>
  <si>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</si>
  <si>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</si>
  <si>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</si>
  <si>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</si>
  <si>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</si>
  <si>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</si>
  <si>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</si>
  <si>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</si>
  <si>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</si>
  <si>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</si>
  <si>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</si>
  <si>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</si>
  <si>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</si>
  <si>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</si>
  <si>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</si>
  <si>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</si>
  <si>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</si>
  <si>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</si>
  <si>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</si>
  <si>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</si>
  <si>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</si>
  <si>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</si>
  <si>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</si>
  <si>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</si>
  <si>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</si>
  <si>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</si>
  <si>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</si>
  <si>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</si>
  <si>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</si>
  <si>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</si>
  <si>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</si>
  <si>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</si>
  <si>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</si>
  <si>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</si>
  <si>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</si>
  <si>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</si>
  <si>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</si>
  <si>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</si>
  <si>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</si>
  <si>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</si>
  <si>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</si>
  <si>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</si>
  <si>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</si>
  <si>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</si>
  <si>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</si>
  <si>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</si>
  <si>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</si>
  <si>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</si>
  <si>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</si>
  <si>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</si>
  <si>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</si>
  <si>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</si>
  <si>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</si>
  <si>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</si>
  <si>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</si>
  <si>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</si>
  <si>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</si>
  <si>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</si>
  <si>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</si>
  <si>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</si>
  <si>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</si>
  <si>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</si>
  <si>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</si>
  <si>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</si>
  <si>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</si>
  <si>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</si>
  <si>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</si>
  <si>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</si>
  <si>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</si>
  <si>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</si>
  <si>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</si>
  <si>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</si>
  <si>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</si>
  <si>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</si>
  <si>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</si>
  <si>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</si>
  <si>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</si>
  <si>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</si>
  <si>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</si>
  <si>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</si>
  <si>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</si>
  <si>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</si>
  <si>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</si>
  <si>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</si>
  <si>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</si>
  <si>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</si>
  <si>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</si>
  <si>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</si>
  <si>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</si>
  <si>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</si>
  <si>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</si>
  <si>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</si>
  <si>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</si>
  <si>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</si>
  <si>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</si>
  <si>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</si>
  <si>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</si>
  <si>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</si>
  <si>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</si>
  <si>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</si>
  <si>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</si>
  <si>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</si>
  <si>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</si>
  <si>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</si>
  <si>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</si>
  <si>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</si>
  <si>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</si>
  <si>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</si>
  <si>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</si>
  <si>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</si>
  <si>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</si>
  <si>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</si>
  <si>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</si>
  <si>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</si>
  <si>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</si>
  <si>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</si>
  <si>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</si>
  <si>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</si>
  <si>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</si>
  <si>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</si>
  <si>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</si>
  <si>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</si>
  <si>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</si>
  <si>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</si>
  <si>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</si>
  <si>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</si>
  <si>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</si>
  <si>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</si>
  <si>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</si>
  <si>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</si>
  <si>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</si>
  <si>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</si>
  <si>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</si>
  <si>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</si>
  <si>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</si>
  <si>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</si>
  <si>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</si>
  <si>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</si>
  <si>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</si>
  <si>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</si>
  <si>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</si>
  <si>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</si>
  <si>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</si>
  <si>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</si>
  <si>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</si>
  <si>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</si>
  <si>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</si>
  <si>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</si>
  <si>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</si>
  <si>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</si>
  <si>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</si>
  <si>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</si>
  <si>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</si>
  <si>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</si>
  <si>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</si>
  <si>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</si>
  <si>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</si>
  <si>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</si>
  <si>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</si>
  <si>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</si>
  <si>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</si>
  <si>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</si>
  <si>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</si>
  <si>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</si>
  <si>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</si>
  <si>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</si>
  <si>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</si>
  <si>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</si>
  <si>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</si>
  <si>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</si>
  <si>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</si>
  <si>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</si>
  <si>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</si>
  <si>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</si>
  <si>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</si>
  <si>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</si>
  <si>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</si>
  <si>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</si>
  <si>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</si>
  <si>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</si>
  <si>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</si>
  <si>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</si>
  <si>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</si>
  <si>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</si>
  <si>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</si>
  <si>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</si>
  <si>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</si>
  <si>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</si>
  <si>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</si>
  <si>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</si>
  <si>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</si>
  <si>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</si>
  <si>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</si>
  <si>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</si>
  <si>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</si>
  <si>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</si>
  <si>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</si>
  <si>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</si>
  <si>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</si>
  <si>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</si>
  <si>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</si>
  <si>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</si>
  <si>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</si>
  <si>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</si>
  <si>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</si>
  <si>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</si>
  <si>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</si>
  <si>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</si>
  <si>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</si>
  <si>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</si>
  <si>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</si>
  <si>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</si>
  <si>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</si>
  <si>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</si>
  <si>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</si>
  <si>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</si>
  <si>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</si>
  <si>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</si>
  <si>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</si>
  <si>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</si>
  <si>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</si>
  <si>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</si>
  <si>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</si>
  <si>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</si>
  <si>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</si>
  <si>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</si>
  <si>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</si>
  <si>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</si>
  <si>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</si>
  <si>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</si>
  <si>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</si>
  <si>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</si>
  <si>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</si>
  <si>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</si>
  <si>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</si>
  <si>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</si>
  <si>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</si>
  <si>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</si>
  <si>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</si>
  <si>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</si>
  <si>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</si>
  <si>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</si>
  <si>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</si>
  <si>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</si>
  <si>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</si>
  <si>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</si>
  <si>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</si>
  <si>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</si>
  <si>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</si>
  <si>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</si>
  <si>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</si>
  <si>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</si>
  <si>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</si>
  <si>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</si>
  <si>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</si>
  <si>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</si>
  <si>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</si>
  <si>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</si>
  <si>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</si>
  <si>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</si>
  <si>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</si>
  <si>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</si>
  <si>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</si>
  <si>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</si>
  <si>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</si>
  <si>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</si>
  <si>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</si>
  <si>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</si>
  <si>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</si>
  <si>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</si>
  <si>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</si>
  <si>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</si>
  <si>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</si>
  <si>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</si>
  <si>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</si>
  <si>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</si>
  <si>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</si>
  <si>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</si>
  <si>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</si>
  <si>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</si>
  <si>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</si>
  <si>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</si>
  <si>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</si>
  <si>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</si>
  <si>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</si>
  <si>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</si>
  <si>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</si>
  <si>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</si>
  <si>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</si>
  <si>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</si>
  <si>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</si>
  <si>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</si>
  <si>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</si>
  <si>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</si>
  <si>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</si>
  <si>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</si>
  <si>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</si>
  <si>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</si>
  <si>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</si>
  <si>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</si>
  <si>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</si>
  <si>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</si>
  <si>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</si>
  <si>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</si>
  <si>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</si>
  <si>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</si>
  <si>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</si>
  <si>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</si>
  <si>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</si>
  <si>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</si>
  <si>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</si>
  <si>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</si>
  <si>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</si>
  <si>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</si>
  <si>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</si>
  <si>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</si>
  <si>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</si>
  <si>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</si>
  <si>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</si>
  <si>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</si>
  <si>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</si>
  <si>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</si>
  <si>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</si>
  <si>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</si>
  <si>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</si>
  <si>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</si>
  <si>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</si>
  <si>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</si>
  <si>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</si>
  <si>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</si>
  <si>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</si>
  <si>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</si>
  <si>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</si>
  <si>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</si>
  <si>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</si>
  <si>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</si>
  <si>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</si>
  <si>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</si>
  <si>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</si>
  <si>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</si>
  <si>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</si>
  <si>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</si>
  <si>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</si>
  <si>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</si>
  <si>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</si>
  <si>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</si>
  <si>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</si>
  <si>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</si>
  <si>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</si>
  <si>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</si>
  <si>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</si>
  <si>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</si>
  <si>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</si>
  <si>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</si>
  <si>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</si>
  <si>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</si>
  <si>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</si>
  <si>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</si>
  <si>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</si>
  <si>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</si>
  <si>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</si>
  <si>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</si>
  <si>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</si>
  <si>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</si>
  <si>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</si>
  <si>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</si>
  <si>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</si>
  <si>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</si>
  <si>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</si>
  <si>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</si>
  <si>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</si>
  <si>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</si>
  <si>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</si>
  <si>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</si>
  <si>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</si>
  <si>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</si>
  <si>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</si>
  <si>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</si>
  <si>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</si>
  <si>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</si>
  <si>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</si>
  <si>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</si>
  <si>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</si>
  <si>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</si>
  <si>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</si>
  <si>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</si>
  <si>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</si>
  <si>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</si>
  <si>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</si>
  <si>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</si>
  <si>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</si>
  <si>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</si>
  <si>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</si>
  <si>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</si>
  <si>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</si>
  <si>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</si>
  <si>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</si>
  <si>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</si>
  <si>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</si>
  <si>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</si>
  <si>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</si>
  <si>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</si>
  <si>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</si>
  <si>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</si>
  <si>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</si>
  <si>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</si>
  <si>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</si>
  <si>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</si>
  <si>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</si>
  <si>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</si>
  <si>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</si>
  <si>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</si>
  <si>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</si>
  <si>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</si>
  <si>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</si>
  <si>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</si>
  <si>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</si>
  <si>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</si>
  <si>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</si>
  <si>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</si>
  <si>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</si>
  <si>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</si>
  <si>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</si>
  <si>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</si>
  <si>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</si>
  <si>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</si>
  <si>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</si>
  <si>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</si>
  <si>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</si>
  <si>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</si>
  <si>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</si>
  <si>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</si>
  <si>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</si>
  <si>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</si>
  <si>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</si>
  <si>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</si>
  <si>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</si>
  <si>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</si>
  <si>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</si>
  <si>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</si>
  <si>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</si>
  <si>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</si>
  <si>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</si>
  <si>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</si>
  <si>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</si>
  <si>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</si>
  <si>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</si>
  <si>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</si>
  <si>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</si>
  <si>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</si>
  <si>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</si>
  <si>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</si>
  <si>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</si>
  <si>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</si>
  <si>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</si>
  <si>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</si>
  <si>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</si>
  <si>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</si>
  <si>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</si>
  <si>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</si>
  <si>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</si>
  <si>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</si>
  <si>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</si>
  <si>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</si>
  <si>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</si>
  <si>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</si>
  <si>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</si>
  <si>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</si>
  <si>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</si>
  <si>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</si>
  <si>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</si>
  <si>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</si>
  <si>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</si>
  <si>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</si>
  <si>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</si>
  <si>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</si>
  <si>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</si>
  <si>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</si>
  <si>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</si>
  <si>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</si>
  <si>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</si>
  <si>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</si>
  <si>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</si>
  <si>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</si>
  <si>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</si>
  <si>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</si>
  <si>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</si>
  <si>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</si>
  <si>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</si>
  <si>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</si>
  <si>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</si>
  <si>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</si>
  <si>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</si>
  <si>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</si>
  <si>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</si>
  <si>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</si>
  <si>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</si>
  <si>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</si>
  <si>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</si>
  <si>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</si>
  <si>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</si>
  <si>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</si>
  <si>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</si>
  <si>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</si>
  <si>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</si>
  <si>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</si>
  <si>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</si>
  <si>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</si>
  <si>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</si>
  <si>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</si>
  <si>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</si>
  <si>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</si>
  <si>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</si>
  <si>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</si>
  <si>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</si>
  <si>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</si>
  <si>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</si>
  <si>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</si>
  <si>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</si>
  <si>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</si>
  <si>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</si>
  <si>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</si>
  <si>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</si>
  <si>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</si>
  <si>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</si>
  <si>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</si>
  <si>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</si>
  <si>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</si>
  <si>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</si>
  <si>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</si>
  <si>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</si>
  <si>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</si>
  <si>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</si>
  <si>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</si>
  <si>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</si>
  <si>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</si>
  <si>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</si>
  <si>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</si>
  <si>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</si>
  <si>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</si>
  <si>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</si>
  <si>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</si>
  <si>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</si>
  <si>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</si>
  <si>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</si>
  <si>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</si>
  <si>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</si>
  <si>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</si>
  <si>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</si>
  <si>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</si>
  <si>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</si>
  <si>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</si>
  <si>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</si>
  <si>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</si>
  <si>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</si>
  <si>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</si>
  <si>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</si>
  <si>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</si>
  <si>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</si>
  <si>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</si>
  <si>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</si>
  <si>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</si>
  <si>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</si>
  <si>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</si>
  <si>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</si>
  <si>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</si>
  <si>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</si>
  <si>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</si>
  <si>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</si>
  <si>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</si>
  <si>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</si>
  <si>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</si>
  <si>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</si>
  <si>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</si>
  <si>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</si>
  <si>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</si>
  <si>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</si>
  <si>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</si>
  <si>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</si>
  <si>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</si>
  <si>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</si>
  <si>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</si>
  <si>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</si>
  <si>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</si>
  <si>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</si>
  <si>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</si>
  <si>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</si>
  <si>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</si>
  <si>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</si>
  <si>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</si>
  <si>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</si>
  <si>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</si>
  <si>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</si>
  <si>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</si>
  <si>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</si>
  <si>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</si>
  <si>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</si>
  <si>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</si>
  <si>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</si>
  <si>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</si>
  <si>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</si>
  <si>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</si>
  <si>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</si>
  <si>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</si>
  <si>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</si>
  <si>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</si>
  <si>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</si>
  <si>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</si>
  <si>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</si>
  <si>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</si>
  <si>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</si>
  <si>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</si>
  <si>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</si>
  <si>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</si>
  <si>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</si>
  <si>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</si>
  <si>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</si>
  <si>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</si>
  <si>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</si>
  <si>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</si>
  <si>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</si>
  <si>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</si>
  <si>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</si>
  <si>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</si>
  <si>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</si>
  <si>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</si>
  <si>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</si>
  <si>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</si>
  <si>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</si>
  <si>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</si>
  <si>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</si>
  <si>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</si>
  <si>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</si>
  <si>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</si>
  <si>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</si>
  <si>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</si>
  <si>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</si>
  <si>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</si>
  <si>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</si>
  <si>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</si>
  <si>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</si>
  <si>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</si>
  <si>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</si>
  <si>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</si>
  <si>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</si>
  <si>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</si>
  <si>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</si>
  <si>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</si>
  <si>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</si>
  <si>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</si>
  <si>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</si>
  <si>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</si>
  <si>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</si>
  <si>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</si>
  <si>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</si>
  <si>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</si>
  <si>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</si>
  <si>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</si>
  <si>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</si>
  <si>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</si>
  <si>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</si>
  <si>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</si>
  <si>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</si>
  <si>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</si>
  <si>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</si>
  <si>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</si>
  <si>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</si>
  <si>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</si>
  <si>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</si>
  <si>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</si>
  <si>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</si>
  <si>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</si>
  <si>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</si>
  <si>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</si>
  <si>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</si>
  <si>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</si>
  <si>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</si>
  <si>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</si>
  <si>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</si>
  <si>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</si>
  <si>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</si>
  <si>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</si>
  <si>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</si>
  <si>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</si>
  <si>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</si>
  <si>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</si>
  <si>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</si>
  <si>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</si>
  <si>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</si>
  <si>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</si>
  <si>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</si>
  <si>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</si>
  <si>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</si>
  <si>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</si>
  <si>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</si>
  <si>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</si>
  <si>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</si>
  <si>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</si>
  <si>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</si>
  <si>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</si>
  <si>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</si>
  <si>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</si>
  <si>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</si>
  <si>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</si>
  <si>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</si>
  <si>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</si>
  <si>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</si>
  <si>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</si>
  <si>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</si>
  <si>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</si>
  <si>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</si>
  <si>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</si>
  <si>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</si>
  <si>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</si>
  <si>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</si>
  <si>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</si>
  <si>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</si>
  <si>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</si>
  <si>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</si>
  <si>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</si>
  <si>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</si>
  <si>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</si>
  <si>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</si>
  <si>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</si>
  <si>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</si>
  <si>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</si>
  <si>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</si>
  <si>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</si>
  <si>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</si>
  <si>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</si>
  <si>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</si>
  <si>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</si>
  <si>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</si>
  <si>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</si>
  <si>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</si>
  <si>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</si>
  <si>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</si>
  <si>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</si>
  <si>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</si>
  <si>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</si>
  <si>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</si>
  <si>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</si>
  <si>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</si>
  <si>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</si>
  <si>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</si>
  <si>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</si>
  <si>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</si>
  <si>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</si>
  <si>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</si>
  <si>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</si>
  <si>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</si>
  <si>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</si>
  <si>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</si>
  <si>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</si>
  <si>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</si>
  <si>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</si>
  <si>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</si>
  <si>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</si>
  <si>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</si>
  <si>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</si>
  <si>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</si>
  <si>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</si>
  <si>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</si>
  <si>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</si>
  <si>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</si>
  <si>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</si>
  <si>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</si>
  <si>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</si>
  <si>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</si>
  <si>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</si>
  <si>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</si>
  <si>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</si>
  <si>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</si>
  <si>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</si>
  <si>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</si>
  <si>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</si>
  <si>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</si>
  <si>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</si>
  <si>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</si>
  <si>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</si>
  <si>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</si>
  <si>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</si>
  <si>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</si>
  <si>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</si>
  <si>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</si>
  <si>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</si>
  <si>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</si>
  <si>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</si>
  <si>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</si>
  <si>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</si>
  <si>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</si>
  <si>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</si>
  <si>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</si>
  <si>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</si>
  <si>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</si>
  <si>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</si>
  <si>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</si>
  <si>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</si>
  <si>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</si>
  <si>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</si>
  <si>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</si>
  <si>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</si>
  <si>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</si>
  <si>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</si>
  <si>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</si>
  <si>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</si>
  <si>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</si>
  <si>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</si>
  <si>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</si>
  <si>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</si>
  <si>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</si>
  <si>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</si>
  <si>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</si>
  <si>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</si>
  <si>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</si>
  <si>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</si>
  <si>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</si>
  <si>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</si>
  <si>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</si>
  <si>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</si>
  <si>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</si>
  <si>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</si>
  <si>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</si>
  <si>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</si>
  <si>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</si>
  <si>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</si>
  <si>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</si>
  <si>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</si>
  <si>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</si>
  <si>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</si>
  <si>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</si>
  <si>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</si>
  <si>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</si>
  <si>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</si>
  <si>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</si>
  <si>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</si>
  <si>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</si>
  <si>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</si>
  <si>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</si>
  <si>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</si>
  <si>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</si>
  <si>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</si>
  <si>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</si>
  <si>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</si>
  <si>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</si>
  <si>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</si>
  <si>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</si>
  <si>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</si>
  <si>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</si>
  <si>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</si>
  <si>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</si>
  <si>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</si>
  <si>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</si>
  <si>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</si>
  <si>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</si>
  <si>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</si>
  <si>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</si>
  <si>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</si>
  <si>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</si>
  <si>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</si>
  <si>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</si>
  <si>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</si>
  <si>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</si>
  <si>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</si>
  <si>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</si>
  <si>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</si>
  <si>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</si>
  <si>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</si>
  <si>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</si>
  <si>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</si>
  <si>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</si>
  <si>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</si>
  <si>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</si>
  <si>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</si>
  <si>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</si>
  <si>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</si>
  <si>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</si>
  <si>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</si>
  <si>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</si>
  <si>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</si>
  <si>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</si>
  <si>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</si>
  <si>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</si>
  <si>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</si>
  <si>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</si>
  <si>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</si>
  <si>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</si>
  <si>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</si>
  <si>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</si>
  <si>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</si>
  <si>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</si>
  <si>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</si>
  <si>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</si>
  <si>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</si>
  <si>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</si>
  <si>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</si>
  <si>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</si>
  <si>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</si>
  <si>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</si>
  <si>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</si>
  <si>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</si>
  <si>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</si>
  <si>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</si>
  <si>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</si>
  <si>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</si>
  <si>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</si>
  <si>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</si>
  <si>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</si>
  <si>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</si>
  <si>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</si>
  <si>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</si>
  <si>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</si>
  <si>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</si>
  <si>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</si>
  <si>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</si>
  <si>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</si>
  <si>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</si>
  <si>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</si>
  <si>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</si>
  <si>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</si>
  <si>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</si>
  <si>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</si>
  <si>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</si>
  <si>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</si>
  <si>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</si>
  <si>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</si>
  <si>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</si>
  <si>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</si>
  <si>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</si>
  <si>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</si>
  <si>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</si>
  <si>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</si>
  <si>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</si>
  <si>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</si>
  <si>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</si>
  <si>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</si>
  <si>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</si>
  <si>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</si>
  <si>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</si>
  <si>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</si>
  <si>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</si>
  <si>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</si>
  <si>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</si>
  <si>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</si>
  <si>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</si>
  <si>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</si>
  <si>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</si>
  <si>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</si>
  <si>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</si>
  <si>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</si>
  <si>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</si>
  <si>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</si>
  <si>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</si>
  <si>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</si>
  <si>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</si>
  <si>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</si>
  <si>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</si>
  <si>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</si>
  <si>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</si>
  <si>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</si>
  <si>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</si>
  <si>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</si>
  <si>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</si>
  <si>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</si>
  <si>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</si>
  <si>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</si>
  <si>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</si>
  <si>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</si>
  <si>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</si>
  <si>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</si>
  <si>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</si>
  <si>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</si>
  <si>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</si>
  <si>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</si>
  <si>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</si>
  <si>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</si>
  <si>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</si>
  <si>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</si>
  <si>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</si>
  <si>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</si>
  <si>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</si>
  <si>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</si>
  <si>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</si>
  <si>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</si>
  <si>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</si>
  <si>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</si>
  <si>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</si>
  <si>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</si>
  <si>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</si>
  <si>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</si>
  <si>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</si>
  <si>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</si>
  <si>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</si>
  <si>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</si>
  <si>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</si>
  <si>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</si>
  <si>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</si>
  <si>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</si>
  <si>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</si>
  <si>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</si>
  <si>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</si>
  <si>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</si>
  <si>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</si>
  <si>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</si>
  <si>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</si>
  <si>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</si>
  <si>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</si>
  <si>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</si>
  <si>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</si>
  <si>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</si>
  <si>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</si>
  <si>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</si>
  <si>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</si>
  <si>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</si>
  <si>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</si>
  <si>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</si>
  <si>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</si>
  <si>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</si>
  <si>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</si>
  <si>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</si>
  <si>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</si>
  <si>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</si>
  <si>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</si>
  <si>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</si>
  <si>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</si>
  <si>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</si>
  <si>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</si>
  <si>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</si>
  <si>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</si>
  <si>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</si>
  <si>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</si>
  <si>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</si>
  <si>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</si>
  <si>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</si>
  <si>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</si>
  <si>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</si>
  <si>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</si>
  <si>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</si>
  <si>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</si>
  <si>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</si>
  <si>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</si>
  <si>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</si>
  <si>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</si>
  <si>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</si>
  <si>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</si>
  <si>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</si>
  <si>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</si>
  <si>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</si>
  <si>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</si>
  <si>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</si>
  <si>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</si>
  <si>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</si>
  <si>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</si>
  <si>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</si>
  <si>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</si>
  <si>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</si>
  <si>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</si>
  <si>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</si>
  <si>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</si>
  <si>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</si>
  <si>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</si>
  <si>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</si>
  <si>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</si>
  <si>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</si>
  <si>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</si>
  <si>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</si>
  <si>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</si>
  <si>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</si>
  <si>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</si>
  <si>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</si>
  <si>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</si>
  <si>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</si>
  <si>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</si>
  <si>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</si>
  <si>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</si>
  <si>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</si>
  <si>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</si>
  <si>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</si>
  <si>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</si>
  <si>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</si>
  <si>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</si>
  <si>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</si>
  <si>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</si>
  <si>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</si>
  <si>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</si>
  <si>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</si>
  <si>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</si>
  <si>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</si>
  <si>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</si>
  <si>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</si>
  <si>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</si>
  <si>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</si>
  <si>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</si>
  <si>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</si>
  <si>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</si>
  <si>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</si>
  <si>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</si>
  <si>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</si>
  <si>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</si>
  <si>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</si>
  <si>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</si>
  <si>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</si>
  <si>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</si>
  <si>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</si>
  <si>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</si>
  <si>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</si>
  <si>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</si>
  <si>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</si>
  <si>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</si>
  <si>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</si>
  <si>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</si>
  <si>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</si>
  <si>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</si>
  <si>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</si>
  <si>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</si>
  <si>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</si>
  <si>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</si>
  <si>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</si>
  <si>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</si>
  <si>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</si>
  <si>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</si>
  <si>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</si>
  <si>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</si>
  <si>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</si>
  <si>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</si>
  <si>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</si>
  <si>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</si>
  <si>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</si>
  <si>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</si>
  <si>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</si>
  <si>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</si>
  <si>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</si>
  <si>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</si>
  <si>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</si>
  <si>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</si>
  <si>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</si>
  <si>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</si>
  <si>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</si>
  <si>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</si>
  <si>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</si>
  <si>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</si>
  <si>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</si>
  <si>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</si>
  <si>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</si>
  <si>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</si>
  <si>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</si>
  <si>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</si>
  <si>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</si>
  <si>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</si>
  <si>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</si>
  <si>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</si>
  <si>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</si>
  <si>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</si>
  <si>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</si>
  <si>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</si>
  <si>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</si>
  <si>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</si>
  <si>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</si>
  <si>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</si>
  <si>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</si>
  <si>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</si>
  <si>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</si>
  <si>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</si>
  <si>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</si>
  <si>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</si>
  <si>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</si>
  <si>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</si>
  <si>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</si>
  <si>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</si>
  <si>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</si>
  <si>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</si>
  <si>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</si>
  <si>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</si>
  <si>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</si>
  <si>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</si>
  <si>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</si>
  <si>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</si>
  <si>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</si>
  <si>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</si>
  <si>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</si>
  <si>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</si>
  <si>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</si>
  <si>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</si>
  <si>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</si>
  <si>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</si>
  <si>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</si>
  <si>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</si>
  <si>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</si>
  <si>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</si>
  <si>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</si>
  <si>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</si>
  <si>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</si>
  <si>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</si>
  <si>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</si>
  <si>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</si>
  <si>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</si>
  <si>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</si>
  <si>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</si>
  <si>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</si>
  <si>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</si>
  <si>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</si>
  <si>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</si>
  <si>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</si>
  <si>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</si>
  <si>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</si>
  <si>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</si>
  <si>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</si>
  <si>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</si>
  <si>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</si>
  <si>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</si>
  <si>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</si>
  <si>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</si>
  <si>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</si>
  <si>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</si>
  <si>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</si>
  <si>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</si>
  <si>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</si>
  <si>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</si>
  <si>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</si>
  <si>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</si>
  <si>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</si>
  <si>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</si>
  <si>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</si>
  <si>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</si>
  <si>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</si>
  <si>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</si>
  <si>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</si>
  <si>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</si>
  <si>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</si>
  <si>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</si>
  <si>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</si>
  <si>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</si>
  <si>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</si>
  <si>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</si>
  <si>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</si>
  <si>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</si>
  <si>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</si>
  <si>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</si>
  <si>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</si>
  <si>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</si>
  <si>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</si>
  <si>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</si>
  <si>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</si>
  <si>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</si>
  <si>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</si>
  <si>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</si>
  <si>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</si>
  <si>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</si>
  <si>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</si>
  <si>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</si>
  <si>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</si>
  <si>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</si>
  <si>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</si>
  <si>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</si>
  <si>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</si>
  <si>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</si>
  <si>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</si>
  <si>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</si>
  <si>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</si>
  <si>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</si>
  <si>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</si>
  <si>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</si>
  <si>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</si>
  <si>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</si>
  <si>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</si>
  <si>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</si>
  <si>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</si>
  <si>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</si>
  <si>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</si>
  <si>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</si>
  <si>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</si>
  <si>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</si>
  <si>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</si>
  <si>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</si>
  <si>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</si>
  <si>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</si>
  <si>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</si>
  <si>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</si>
  <si>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</si>
  <si>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</si>
  <si>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</si>
  <si>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</si>
  <si>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</si>
  <si>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</si>
  <si>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</si>
  <si>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</si>
  <si>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</si>
  <si>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</si>
  <si>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</si>
  <si>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</si>
  <si>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</si>
  <si>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</si>
  <si>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</si>
  <si>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</si>
  <si>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</si>
  <si>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</si>
  <si>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</si>
  <si>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</si>
  <si>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</si>
  <si>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</si>
  <si>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</si>
  <si>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</si>
  <si>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</si>
  <si>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</si>
  <si>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</si>
  <si>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</si>
  <si>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</si>
  <si>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</si>
  <si>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</si>
  <si>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</si>
  <si>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</si>
  <si>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</si>
  <si>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</si>
  <si>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</si>
  <si>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</si>
  <si>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</si>
  <si>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</si>
  <si>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</si>
  <si>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</si>
  <si>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</si>
  <si>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</si>
  <si>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</si>
  <si>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</si>
  <si>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</si>
  <si>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</si>
  <si>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</si>
  <si>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</si>
  <si>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</si>
  <si>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</si>
  <si>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</si>
  <si>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</si>
  <si>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</si>
  <si>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</si>
  <si>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</si>
  <si>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</si>
  <si>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</si>
  <si>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</si>
  <si>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</si>
  <si>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</si>
  <si>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</si>
  <si>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</si>
  <si>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</si>
  <si>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</si>
  <si>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</si>
  <si>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</si>
  <si>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</si>
  <si>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</si>
  <si>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</si>
  <si>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</si>
  <si>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</si>
  <si>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</si>
  <si>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</si>
  <si>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</si>
  <si>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</si>
  <si>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</si>
  <si>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</si>
  <si>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</si>
  <si>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</si>
  <si>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</si>
  <si>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</si>
  <si>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</si>
  <si>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</si>
  <si>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</si>
  <si>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</si>
  <si>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</si>
  <si>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</si>
  <si>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</si>
  <si>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</si>
  <si>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</si>
  <si>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</si>
  <si>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</si>
  <si>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</si>
  <si>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</si>
  <si>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</si>
  <si>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</si>
  <si>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</si>
  <si>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</si>
  <si>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</si>
  <si>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</si>
  <si>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</si>
  <si>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</si>
  <si>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</si>
  <si>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</si>
  <si>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</si>
  <si>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</si>
  <si>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</si>
  <si>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</si>
  <si>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</si>
  <si>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</si>
  <si>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</si>
  <si>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</si>
  <si>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</si>
  <si>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</si>
  <si>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</si>
  <si>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</si>
  <si>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</si>
  <si>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</si>
  <si>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</si>
  <si>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</si>
  <si>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</si>
  <si>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</si>
  <si>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</si>
  <si>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</si>
  <si>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</si>
  <si>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</si>
  <si>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</si>
  <si>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</si>
  <si>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</si>
  <si>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</si>
  <si>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</si>
  <si>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</si>
  <si>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</si>
  <si>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</si>
  <si>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</si>
  <si>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</si>
  <si>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</si>
  <si>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</si>
  <si>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</si>
  <si>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</si>
  <si>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</si>
  <si>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</si>
  <si>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</si>
  <si>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</si>
  <si>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</si>
  <si>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</si>
  <si>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</si>
  <si>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</si>
  <si>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</si>
  <si>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</si>
  <si>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</si>
  <si>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</si>
  <si>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</si>
  <si>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</si>
  <si>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</si>
  <si>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</si>
  <si>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</si>
  <si>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</si>
  <si>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</si>
  <si>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</si>
  <si>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</si>
  <si>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</si>
  <si>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</si>
  <si>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</si>
  <si>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</si>
  <si>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</si>
  <si>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</si>
  <si>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</si>
  <si>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</si>
  <si>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</si>
  <si>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</si>
  <si>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</si>
  <si>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</si>
  <si>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</si>
  <si>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</si>
  <si>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</si>
  <si>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</si>
  <si>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</si>
  <si>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</si>
  <si>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</si>
  <si>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</si>
  <si>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</si>
  <si>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</si>
  <si>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</si>
  <si>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</si>
  <si>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</si>
  <si>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</si>
  <si>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</si>
  <si>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</si>
  <si>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</si>
  <si>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</si>
  <si>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</si>
  <si>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</si>
  <si>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</si>
  <si>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</si>
  <si>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</si>
  <si>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</si>
  <si>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</si>
  <si>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</si>
  <si>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</si>
  <si>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</si>
  <si>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</si>
  <si>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</si>
  <si>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</si>
  <si>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</si>
  <si>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</si>
  <si>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</si>
  <si>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</si>
  <si>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</si>
  <si>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</si>
  <si>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</si>
  <si>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</si>
  <si>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</si>
  <si>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</si>
  <si>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</si>
  <si>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</si>
  <si>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</si>
  <si>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</si>
  <si>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</si>
  <si>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</si>
  <si>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</si>
  <si>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</si>
  <si>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</si>
  <si>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</si>
  <si>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</si>
  <si>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</si>
  <si>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</si>
  <si>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</si>
  <si>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</si>
  <si>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</si>
  <si>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</si>
  <si>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</si>
  <si>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</si>
  <si>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</si>
  <si>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</si>
  <si>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</si>
  <si>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</si>
  <si>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</si>
  <si>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</si>
  <si>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</si>
  <si>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</si>
  <si>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</si>
  <si>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</si>
  <si>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</si>
  <si>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</si>
  <si>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</si>
  <si>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</si>
  <si>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</si>
  <si>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</si>
  <si>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</si>
  <si>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</si>
  <si>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</si>
  <si>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</si>
  <si>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</si>
  <si>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</si>
  <si>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</si>
  <si>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</si>
  <si>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</si>
  <si>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</si>
  <si>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</si>
  <si>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</si>
  <si>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</si>
  <si>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</si>
  <si>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</si>
  <si>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</si>
  <si>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</si>
  <si>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</si>
  <si>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</si>
  <si>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</si>
  <si>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</si>
  <si>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</si>
  <si>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</si>
  <si>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</si>
  <si>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</si>
  <si>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</si>
  <si>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</si>
  <si>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</si>
  <si>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</si>
  <si>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</si>
  <si>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</si>
  <si>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</si>
  <si>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</si>
  <si>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</si>
  <si>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</si>
  <si>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</si>
  <si>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</si>
  <si>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</si>
  <si>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</si>
  <si>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</si>
  <si>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</si>
  <si>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</si>
  <si>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</si>
  <si>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</si>
  <si>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</si>
  <si>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</si>
  <si>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</si>
  <si>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</si>
  <si>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</si>
  <si>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</si>
  <si>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</si>
  <si>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</si>
  <si>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</si>
  <si>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</si>
  <si>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</si>
  <si>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</si>
  <si>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</si>
  <si>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</si>
  <si>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</si>
  <si>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</si>
  <si>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</si>
  <si>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</si>
  <si>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</si>
  <si>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</si>
  <si>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</si>
  <si>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</si>
  <si>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</si>
  <si>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</si>
  <si>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</si>
  <si>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</si>
  <si>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</si>
  <si>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</si>
  <si>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</si>
  <si>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</si>
  <si>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</si>
  <si>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</si>
  <si>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</si>
  <si>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</si>
  <si>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</si>
  <si>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</si>
  <si>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</si>
  <si>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</si>
  <si>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</si>
  <si>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</si>
  <si>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</si>
  <si>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</si>
  <si>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</si>
  <si>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</si>
  <si>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</si>
  <si>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</si>
  <si>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</si>
  <si>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</si>
  <si>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</si>
  <si>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</si>
  <si>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</si>
  <si>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</si>
  <si>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</si>
  <si>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</si>
  <si>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</si>
  <si>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</si>
  <si>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</si>
  <si>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</si>
  <si>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</si>
  <si>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</si>
  <si>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</si>
  <si>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</si>
  <si>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</si>
  <si>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</si>
  <si>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</si>
  <si>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</si>
  <si>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</si>
  <si>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</si>
  <si>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</si>
  <si>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</si>
  <si>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</si>
  <si>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</si>
  <si>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</si>
  <si>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</si>
  <si>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</si>
  <si>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</si>
  <si>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</si>
  <si>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</si>
  <si>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</si>
  <si>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</si>
  <si>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</si>
  <si>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</si>
  <si>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</si>
  <si>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</si>
  <si>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</si>
  <si>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</si>
  <si>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</si>
  <si>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</si>
  <si>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</si>
  <si>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</si>
  <si>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</si>
  <si>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</si>
  <si>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</si>
  <si>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</si>
  <si>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</si>
  <si>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</si>
  <si>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</si>
  <si>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</si>
  <si>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</si>
  <si>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</si>
  <si>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</si>
  <si>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</si>
  <si>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</si>
  <si>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</si>
  <si>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</si>
  <si>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</si>
  <si>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</si>
  <si>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</si>
  <si>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</si>
  <si>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</si>
  <si>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</si>
  <si>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</si>
  <si>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</si>
  <si>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</si>
  <si>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</si>
  <si>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</si>
  <si>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</si>
  <si>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</si>
  <si>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</si>
  <si>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</si>
  <si>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</si>
  <si>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</si>
  <si>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</si>
  <si>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</si>
  <si>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</si>
  <si>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</si>
  <si>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</si>
  <si>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</si>
  <si>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</si>
  <si>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</si>
  <si>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</si>
  <si>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</si>
  <si>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</si>
  <si>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</si>
  <si>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</si>
  <si>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</si>
  <si>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</si>
  <si>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</si>
  <si>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</si>
  <si>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</si>
  <si>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</si>
  <si>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</si>
  <si>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</si>
  <si>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</si>
  <si>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</si>
  <si>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</si>
  <si>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</si>
  <si>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</si>
  <si>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</si>
  <si>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</si>
  <si>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</si>
  <si>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</si>
  <si>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</si>
  <si>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</si>
  <si>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</si>
  <si>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</si>
  <si>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</si>
  <si>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</si>
  <si>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</si>
  <si>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</si>
  <si>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</si>
  <si>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</si>
  <si>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</si>
  <si>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</si>
  <si>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</si>
  <si>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</si>
  <si>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</si>
  <si>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</si>
  <si>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</si>
  <si>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</si>
  <si>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</si>
  <si>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</si>
  <si>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</si>
  <si>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</si>
  <si>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</si>
  <si>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</si>
  <si>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</si>
  <si>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</si>
  <si>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</si>
  <si>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</si>
  <si>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</si>
  <si>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</si>
  <si>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</si>
  <si>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</si>
  <si>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</si>
  <si>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</si>
  <si>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</si>
  <si>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</si>
  <si>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</si>
  <si>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</si>
  <si>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</si>
  <si>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</si>
  <si>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</si>
  <si>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</si>
  <si>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</si>
  <si>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</si>
  <si>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</si>
  <si>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</si>
  <si>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</si>
  <si>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</si>
  <si>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</si>
  <si>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</si>
  <si>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</si>
  <si>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</si>
  <si>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</si>
  <si>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</si>
  <si>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</si>
  <si>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</si>
  <si>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</si>
  <si>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</si>
  <si>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</si>
  <si>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</si>
  <si>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</si>
  <si>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</si>
  <si>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</si>
  <si>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</si>
  <si>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</si>
  <si>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</si>
  <si>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</si>
  <si>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</si>
  <si>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</si>
  <si>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</si>
  <si>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</si>
  <si>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</si>
  <si>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</si>
  <si>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</si>
  <si>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</si>
  <si>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</si>
  <si>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</si>
  <si>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</si>
  <si>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</si>
  <si>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</si>
  <si>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</si>
  <si>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</si>
  <si>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</si>
  <si>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</si>
  <si>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</si>
  <si>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</si>
  <si>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</si>
  <si>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</si>
  <si>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</si>
  <si>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</si>
  <si>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</si>
  <si>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</si>
  <si>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</si>
  <si>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</si>
  <si>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</si>
  <si>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</si>
  <si>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</si>
  <si>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</si>
  <si>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</si>
  <si>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</si>
  <si>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</si>
  <si>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</si>
  <si>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</si>
  <si>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</si>
  <si>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</si>
  <si>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</si>
  <si>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</si>
  <si>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</si>
  <si>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</si>
  <si>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</si>
  <si>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</si>
  <si>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</si>
  <si>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</si>
  <si>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</si>
  <si>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</si>
  <si>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</si>
  <si>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</si>
  <si>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</si>
  <si>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</si>
  <si>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</si>
  <si>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</si>
  <si>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</si>
  <si>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</si>
  <si>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</si>
  <si>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</si>
  <si>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</si>
  <si>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</si>
  <si>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</si>
  <si>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</si>
  <si>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</si>
  <si>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</si>
  <si>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</si>
  <si>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</si>
  <si>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</si>
  <si>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</si>
  <si>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</si>
  <si>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</si>
  <si>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</si>
  <si>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</si>
  <si>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</si>
  <si>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</si>
  <si>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</si>
  <si>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</si>
  <si>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</si>
  <si>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</si>
  <si>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</si>
  <si>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</si>
  <si>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</si>
  <si>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</si>
  <si>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</si>
  <si>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</si>
  <si>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</si>
  <si>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</si>
  <si>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</si>
  <si>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</si>
  <si>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</si>
  <si>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</si>
  <si>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</si>
  <si>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</si>
  <si>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</si>
  <si>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</si>
  <si>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</si>
  <si>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</si>
  <si>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</si>
  <si>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</si>
  <si>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</si>
  <si>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</si>
  <si>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</si>
  <si>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</si>
  <si>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</si>
  <si>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</si>
  <si>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</si>
  <si>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</si>
  <si>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</si>
  <si>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</si>
  <si>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</si>
  <si>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</si>
  <si>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</si>
  <si>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</si>
  <si>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</si>
  <si>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</si>
  <si>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</si>
  <si>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</si>
  <si>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</si>
  <si>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</si>
  <si>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</si>
  <si>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</si>
  <si>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</si>
  <si>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</si>
  <si>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</si>
  <si>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</si>
  <si>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</si>
  <si>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</si>
  <si>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</si>
  <si>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</si>
  <si>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</si>
  <si>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</si>
  <si>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</si>
  <si>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</si>
  <si>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</si>
  <si>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</si>
  <si>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</si>
  <si>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</si>
  <si>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</si>
  <si>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</si>
  <si>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</si>
  <si>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</si>
  <si>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</si>
  <si>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</si>
  <si>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</si>
  <si>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</si>
  <si>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</si>
  <si>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</si>
  <si>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</si>
  <si>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</si>
  <si>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</si>
  <si>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</si>
  <si>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</si>
  <si>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</si>
  <si>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</si>
  <si>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</si>
  <si>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</si>
  <si>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</si>
  <si>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</si>
  <si>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</si>
  <si>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</si>
  <si>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</si>
  <si>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</si>
  <si>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</si>
  <si>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</si>
  <si>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</si>
  <si>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</si>
  <si>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</si>
  <si>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</si>
  <si>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</si>
  <si>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</si>
  <si>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</si>
  <si>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</si>
  <si>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</si>
  <si>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</si>
  <si>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</si>
  <si>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</si>
  <si>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</si>
  <si>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</si>
  <si>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</si>
  <si>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</si>
  <si>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</si>
  <si>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</si>
  <si>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</si>
  <si>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</si>
  <si>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</si>
  <si>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</si>
  <si>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</si>
  <si>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</si>
  <si>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</si>
  <si>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</si>
  <si>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</si>
  <si>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</si>
  <si>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</si>
  <si>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</si>
  <si>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</si>
  <si>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</si>
  <si>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</si>
  <si>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</si>
  <si>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</si>
  <si>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</si>
  <si>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</si>
  <si>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</si>
  <si>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</si>
  <si>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</si>
  <si>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</si>
  <si>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</si>
  <si>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</si>
  <si>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</si>
  <si>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</si>
  <si>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</si>
  <si>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</si>
  <si>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</si>
  <si>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</si>
  <si>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</si>
  <si>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</si>
  <si>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</si>
  <si>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</si>
  <si>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</si>
  <si>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</si>
  <si>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</si>
  <si>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</si>
  <si>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</si>
  <si>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</si>
  <si>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</si>
  <si>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</si>
  <si>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</si>
  <si>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</si>
  <si>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</si>
  <si>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</si>
  <si>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</si>
  <si>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</si>
  <si>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</si>
  <si>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</si>
  <si>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</si>
  <si>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</si>
  <si>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</si>
  <si>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</si>
  <si>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</si>
  <si>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</si>
  <si>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</si>
  <si>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</si>
  <si>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</si>
  <si>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</si>
  <si>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</si>
  <si>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</si>
  <si>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</si>
  <si>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</si>
  <si>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</si>
  <si>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</si>
  <si>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</si>
  <si>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</si>
  <si>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</si>
  <si>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</si>
  <si>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</si>
  <si>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</si>
  <si>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</si>
  <si>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</si>
  <si>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</si>
  <si>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</si>
  <si>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</si>
  <si>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</si>
  <si>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</si>
  <si>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</si>
  <si>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</si>
  <si>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</si>
  <si>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</si>
  <si>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</si>
  <si>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</si>
  <si>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</si>
  <si>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</si>
  <si>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</si>
  <si>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</si>
  <si>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</si>
  <si>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</si>
  <si>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</si>
  <si>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</si>
  <si>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</si>
  <si>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</si>
  <si>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</si>
  <si>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</si>
  <si>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</si>
  <si>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</si>
  <si>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</si>
  <si>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</si>
  <si>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</si>
  <si>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</si>
  <si>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</si>
  <si>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</si>
  <si>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</si>
  <si>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</si>
  <si>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</si>
  <si>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</si>
  <si>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</si>
  <si>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</si>
  <si>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</si>
  <si>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</si>
  <si>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</si>
  <si>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</si>
  <si>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</si>
  <si>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</si>
  <si>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</si>
  <si>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</si>
  <si>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</si>
  <si>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</si>
  <si>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</si>
  <si>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</si>
  <si>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</si>
  <si>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</si>
  <si>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</si>
  <si>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</si>
  <si>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</si>
  <si>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</si>
  <si>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</si>
  <si>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</si>
  <si>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</si>
  <si>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</si>
  <si>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</si>
  <si>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</si>
  <si>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</si>
  <si>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</si>
  <si>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</si>
  <si>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</si>
  <si>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</si>
  <si>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</si>
  <si>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</si>
  <si>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</si>
  <si>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</si>
  <si>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</si>
  <si>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</si>
  <si>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</si>
  <si>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</si>
  <si>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</si>
  <si>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</si>
  <si>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</si>
  <si>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</si>
  <si>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</si>
  <si>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</si>
  <si>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</si>
  <si>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</si>
  <si>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</si>
  <si>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</si>
  <si>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</si>
  <si>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</si>
  <si>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</si>
  <si>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</si>
  <si>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</si>
  <si>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</si>
  <si>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</si>
  <si>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</si>
  <si>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</si>
  <si>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</si>
  <si>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</si>
  <si>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</si>
  <si>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</si>
  <si>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</si>
  <si>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</si>
  <si>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</si>
  <si>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</si>
  <si>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</si>
  <si>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</si>
  <si>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</si>
  <si>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</si>
  <si>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</si>
  <si>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</si>
  <si>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</si>
  <si>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</si>
  <si>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</si>
  <si>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</si>
  <si>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</si>
  <si>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</si>
  <si>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</si>
  <si>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</si>
  <si>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</si>
  <si>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</si>
  <si>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</si>
  <si>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</si>
  <si>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</si>
  <si>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</si>
  <si>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</si>
  <si>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</si>
  <si>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</si>
  <si>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</si>
  <si>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</si>
  <si>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</si>
  <si>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</si>
  <si>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</si>
  <si>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</si>
  <si>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</si>
  <si>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</si>
  <si>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</si>
  <si>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</si>
  <si>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</si>
  <si>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</si>
  <si>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</si>
  <si>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</si>
  <si>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</si>
  <si>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</si>
  <si>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</si>
  <si>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</si>
  <si>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</si>
  <si>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</si>
  <si>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</si>
  <si>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</si>
  <si>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</si>
  <si>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</si>
  <si>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</si>
  <si>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</si>
  <si>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</si>
  <si>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</si>
  <si>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</si>
  <si>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</si>
  <si>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</si>
  <si>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</si>
  <si>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</si>
  <si>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</si>
  <si>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</si>
  <si>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</si>
  <si>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</si>
  <si>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</si>
  <si>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</si>
  <si>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</si>
  <si>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</si>
  <si>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</si>
  <si>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</si>
  <si>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</si>
  <si>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</si>
  <si>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</si>
  <si>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</si>
  <si>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</si>
  <si>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</si>
  <si>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</si>
  <si>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</si>
  <si>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</si>
  <si>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</si>
  <si>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</si>
  <si>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</si>
  <si>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</si>
  <si>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</si>
  <si>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</si>
  <si>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</si>
  <si>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</si>
  <si>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</si>
  <si>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</si>
  <si>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</si>
  <si>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</si>
  <si>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</si>
  <si>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</si>
  <si>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</si>
  <si>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</si>
  <si>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</si>
  <si>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</si>
  <si>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</si>
  <si>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</si>
  <si>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</si>
  <si>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</si>
  <si>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</si>
  <si>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</si>
  <si>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</si>
  <si>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</si>
  <si>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</si>
  <si>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</si>
  <si>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</si>
  <si>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</si>
  <si>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</si>
  <si>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</si>
  <si>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</si>
  <si>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</si>
  <si>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</si>
  <si>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</si>
  <si>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</si>
  <si>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</si>
  <si>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</si>
  <si>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</si>
  <si>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</si>
  <si>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</si>
  <si>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</si>
  <si>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</si>
  <si>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</si>
  <si>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</si>
  <si>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</si>
  <si>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</si>
  <si>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</si>
  <si>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</si>
  <si>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</si>
  <si>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</si>
  <si>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</si>
  <si>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</si>
  <si>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</si>
  <si>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</si>
  <si>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</si>
  <si>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</si>
  <si>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</si>
  <si>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</si>
  <si>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</si>
  <si>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</si>
  <si>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</si>
  <si>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</si>
  <si>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</si>
  <si>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</si>
  <si>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</si>
  <si>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</si>
  <si>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</si>
  <si>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</si>
  <si>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</si>
  <si>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</si>
  <si>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</si>
  <si>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</si>
  <si>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</si>
  <si>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</si>
  <si>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</si>
  <si>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</si>
  <si>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</si>
  <si>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</si>
  <si>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</si>
  <si>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</si>
  <si>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</si>
  <si>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</si>
  <si>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</si>
  <si>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</si>
  <si>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</si>
  <si>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</si>
  <si>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</si>
  <si>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</si>
  <si>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</si>
  <si>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</si>
  <si>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</si>
  <si>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</si>
  <si>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</si>
  <si>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</si>
  <si>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</si>
  <si>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</si>
  <si>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</si>
  <si>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</si>
  <si>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</si>
  <si>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</si>
  <si>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</si>
  <si>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</si>
  <si>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</si>
  <si>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</si>
  <si>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</si>
  <si>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</si>
  <si>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</si>
  <si>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</si>
  <si>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</si>
  <si>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</si>
  <si>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</si>
  <si>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</si>
  <si>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</si>
  <si>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</si>
  <si>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</si>
  <si>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</si>
  <si>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</si>
  <si>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</si>
  <si>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</si>
  <si>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</si>
  <si>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</si>
  <si>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</si>
  <si>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</si>
  <si>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</si>
  <si>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</si>
  <si>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</si>
  <si>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</si>
  <si>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</si>
  <si>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</si>
  <si>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</si>
  <si>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</si>
  <si>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</si>
  <si>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</si>
  <si>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</si>
  <si>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</si>
  <si>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</si>
  <si>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</si>
  <si>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</si>
  <si>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</si>
  <si>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</si>
  <si>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</si>
  <si>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</si>
  <si>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</si>
  <si>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</si>
  <si>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</si>
  <si>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</si>
  <si>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</si>
  <si>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</si>
  <si>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</si>
  <si>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</si>
  <si>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</si>
  <si>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</si>
  <si>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</si>
  <si>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</si>
  <si>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</si>
  <si>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</si>
  <si>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</si>
  <si>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</si>
  <si>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</si>
  <si>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</si>
  <si>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</si>
  <si>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</si>
  <si>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</si>
  <si>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</si>
  <si>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</si>
  <si>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</si>
  <si>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</si>
  <si>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</si>
  <si>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</si>
  <si>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</si>
  <si>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</si>
  <si>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</si>
  <si>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</si>
  <si>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</si>
  <si>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</si>
  <si>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</si>
  <si>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</si>
  <si>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</si>
  <si>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</si>
  <si>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</si>
  <si>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</si>
  <si>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</si>
  <si>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</si>
  <si>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</si>
  <si>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</si>
  <si>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</si>
  <si>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</si>
  <si>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</si>
  <si>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</si>
  <si>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</si>
  <si>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</si>
  <si>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</si>
  <si>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</si>
  <si>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</si>
  <si>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</si>
  <si>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</si>
  <si>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</si>
  <si>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</si>
  <si>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</si>
  <si>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</si>
  <si>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</si>
  <si>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</si>
  <si>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</si>
  <si>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</si>
  <si>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</si>
  <si>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</si>
  <si>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</si>
  <si>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</si>
  <si>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</si>
  <si>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</si>
  <si>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</si>
  <si>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</si>
  <si>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</si>
  <si>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</si>
  <si>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</si>
  <si>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</si>
  <si>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</si>
  <si>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</si>
  <si>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</si>
  <si>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</si>
  <si>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</si>
  <si>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</si>
  <si>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</si>
  <si>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</si>
  <si>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</si>
  <si>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</si>
  <si>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</si>
  <si>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</si>
  <si>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</si>
  <si>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</si>
  <si>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</si>
  <si>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</si>
  <si>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</si>
  <si>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</si>
  <si>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</si>
  <si>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</si>
  <si>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</si>
  <si>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</si>
  <si>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</si>
  <si>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</si>
  <si>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</si>
  <si>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</si>
  <si>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</si>
  <si>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</si>
  <si>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</si>
  <si>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</si>
  <si>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</si>
  <si>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</si>
  <si>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</si>
  <si>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</si>
  <si>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</si>
  <si>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</si>
  <si>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</si>
  <si>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</si>
  <si>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</si>
  <si>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</si>
  <si>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</si>
  <si>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</si>
  <si>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</si>
  <si>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</si>
  <si>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</si>
  <si>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</si>
  <si>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</si>
  <si>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</si>
  <si>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</si>
  <si>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</si>
  <si>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</si>
  <si>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</si>
  <si>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</si>
  <si>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</si>
  <si>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</si>
  <si>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</si>
  <si>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</si>
  <si>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</si>
  <si>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</si>
  <si>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</si>
  <si>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</si>
  <si>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</si>
  <si>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</si>
  <si>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</si>
  <si>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</si>
  <si>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</si>
  <si>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</si>
  <si>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</si>
  <si>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</si>
  <si>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</si>
  <si>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</si>
  <si>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</si>
  <si>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</si>
  <si>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</si>
  <si>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</si>
  <si>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</si>
  <si>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</si>
  <si>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</si>
  <si>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</si>
  <si>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</si>
  <si>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</si>
  <si>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</si>
  <si>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</si>
  <si>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</si>
  <si>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</si>
  <si>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</si>
  <si>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</si>
  <si>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</si>
  <si>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</si>
  <si>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</si>
  <si>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</si>
  <si>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</si>
  <si>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</si>
  <si>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</si>
  <si>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</si>
  <si>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</si>
  <si>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</si>
  <si>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</si>
  <si>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</si>
  <si>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</si>
  <si>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</si>
  <si>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</si>
  <si>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</si>
  <si>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</si>
  <si>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</si>
  <si>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</si>
  <si>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</si>
  <si>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</si>
  <si>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</si>
  <si>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</si>
  <si>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</si>
  <si>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</si>
  <si>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</si>
  <si>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</si>
  <si>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</si>
  <si>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</si>
  <si>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</si>
  <si>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</si>
  <si>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</si>
  <si>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</si>
  <si>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</si>
  <si>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</si>
  <si>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</si>
  <si>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</si>
  <si>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</si>
  <si>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</si>
  <si>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</si>
  <si>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</si>
  <si>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</si>
  <si>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</si>
  <si>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</si>
  <si>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</si>
  <si>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</si>
  <si>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</si>
  <si>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</si>
  <si>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</si>
  <si>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</si>
  <si>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</si>
  <si>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</si>
  <si>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</si>
  <si>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</si>
  <si>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</si>
  <si>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</si>
  <si>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</si>
  <si>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</si>
  <si>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</si>
  <si>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</si>
  <si>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</si>
  <si>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</si>
  <si>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</si>
  <si>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</si>
  <si>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</si>
  <si>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</si>
  <si>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</si>
  <si>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</si>
  <si>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</si>
  <si>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</si>
  <si>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</si>
  <si>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</si>
  <si>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</si>
  <si>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</si>
  <si>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</si>
  <si>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</si>
  <si>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</si>
  <si>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</si>
  <si>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</si>
  <si>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</si>
  <si>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</si>
  <si>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</si>
  <si>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</si>
  <si>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</si>
  <si>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</si>
  <si>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</si>
  <si>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</si>
  <si>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</si>
  <si>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</si>
  <si>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</si>
  <si>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</si>
  <si>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</si>
  <si>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</si>
  <si>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</si>
  <si>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</si>
  <si>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</si>
  <si>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</si>
  <si>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</si>
  <si>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</si>
  <si>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</si>
  <si>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</si>
  <si>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</si>
  <si>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</si>
  <si>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</si>
  <si>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</si>
  <si>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</si>
  <si>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</si>
  <si>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</si>
  <si>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</si>
  <si>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</si>
  <si>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</si>
  <si>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</si>
  <si>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</si>
  <si>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</si>
  <si>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</si>
  <si>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</si>
  <si>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</si>
  <si>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</si>
  <si>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</si>
  <si>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</si>
  <si>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</si>
  <si>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</si>
  <si>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</si>
  <si>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</si>
  <si>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</si>
  <si>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</si>
  <si>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</si>
  <si>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</si>
  <si>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</si>
  <si>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</si>
  <si>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</si>
  <si>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</si>
  <si>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</si>
  <si>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</si>
  <si>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</si>
  <si>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</si>
  <si>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</si>
  <si>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</si>
  <si>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</si>
  <si>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</si>
  <si>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</si>
  <si>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</si>
  <si>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</si>
  <si>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</si>
  <si>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</si>
  <si>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</si>
  <si>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</si>
  <si>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</si>
  <si>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</si>
  <si>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</si>
  <si>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</si>
  <si>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</si>
  <si>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</si>
  <si>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</si>
  <si>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</si>
  <si>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</si>
  <si>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</si>
  <si>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</si>
  <si>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</si>
  <si>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</si>
  <si>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</si>
  <si>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</si>
  <si>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</si>
  <si>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</si>
  <si>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</si>
  <si>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</si>
  <si>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</si>
  <si>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</si>
  <si>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</si>
  <si>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</si>
  <si>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</si>
  <si>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</si>
  <si>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</si>
  <si>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</si>
  <si>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</si>
  <si>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</si>
  <si>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</si>
  <si>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</si>
  <si>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</si>
  <si>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</si>
  <si>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</si>
  <si>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</si>
  <si>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</si>
  <si>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</si>
  <si>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</si>
  <si>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</si>
  <si>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</si>
  <si>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</si>
  <si>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</si>
  <si>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</si>
  <si>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</si>
  <si>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</si>
  <si>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</si>
  <si>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</si>
  <si>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</si>
  <si>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</si>
  <si>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</si>
  <si>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</si>
  <si>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</si>
  <si>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</si>
  <si>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</si>
  <si>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</si>
  <si>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</si>
  <si>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</si>
  <si>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</si>
  <si>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</si>
  <si>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</si>
  <si>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</si>
  <si>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</si>
  <si>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</si>
  <si>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</si>
  <si>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</si>
  <si>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</si>
  <si>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</si>
  <si>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</si>
  <si>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</si>
  <si>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</si>
  <si>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</si>
  <si>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</si>
  <si>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</si>
  <si>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</si>
  <si>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</si>
  <si>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</si>
  <si>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</si>
  <si>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</si>
  <si>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</si>
  <si>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</si>
  <si>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</si>
  <si>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</si>
  <si>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</si>
  <si>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</si>
  <si>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</si>
  <si>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</si>
  <si>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</si>
  <si>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</si>
  <si>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</si>
  <si>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</si>
  <si>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</si>
  <si>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</si>
  <si>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</si>
  <si>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</si>
  <si>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</si>
  <si>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</si>
  <si>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</si>
  <si>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</si>
  <si>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</si>
  <si>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</si>
  <si>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</si>
  <si>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</si>
  <si>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</si>
  <si>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</si>
  <si>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</si>
  <si>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</si>
  <si>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</si>
  <si>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</si>
  <si>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</si>
  <si>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</si>
  <si>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</si>
  <si>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</si>
  <si>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</si>
  <si>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</si>
  <si>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</si>
  <si>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</si>
  <si>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</si>
  <si>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</si>
  <si>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</si>
  <si>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</si>
  <si>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</si>
  <si>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</si>
  <si>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</si>
  <si>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</si>
  <si>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</si>
  <si>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</si>
  <si>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</si>
  <si>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</si>
  <si>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</si>
  <si>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</si>
  <si>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</si>
  <si>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</si>
  <si>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</si>
  <si>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</si>
  <si>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</si>
  <si>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</si>
  <si>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</si>
  <si>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</si>
  <si>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</si>
  <si>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</si>
  <si>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</si>
  <si>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</si>
  <si>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</si>
  <si>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</si>
  <si>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</si>
  <si>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</si>
  <si>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</si>
  <si>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</si>
  <si>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</si>
  <si>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</si>
  <si>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</si>
  <si>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</si>
  <si>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</si>
  <si>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</si>
  <si>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</si>
  <si>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</si>
  <si>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</si>
  <si>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</si>
  <si>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</si>
  <si>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</si>
  <si>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</si>
  <si>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</si>
  <si>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</si>
  <si>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</si>
  <si>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</si>
  <si>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</si>
  <si>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</si>
  <si>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</si>
  <si>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</si>
  <si>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</si>
  <si>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</si>
  <si>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</si>
  <si>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</si>
  <si>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</si>
  <si>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</si>
  <si>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</si>
  <si>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</si>
  <si>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</si>
  <si>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</si>
  <si>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</si>
  <si>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</si>
  <si>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</si>
  <si>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</si>
  <si>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</si>
  <si>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</si>
  <si>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</si>
  <si>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</si>
  <si>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</si>
  <si>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</si>
  <si>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</si>
  <si>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</si>
  <si>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</si>
  <si>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</si>
  <si>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</si>
  <si>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</si>
  <si>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</si>
  <si>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</si>
  <si>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</si>
  <si>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</si>
  <si>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</si>
  <si>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</si>
  <si>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</si>
  <si>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</si>
  <si>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</si>
  <si>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</si>
  <si>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</si>
  <si>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</si>
  <si>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</si>
  <si>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</si>
  <si>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</si>
  <si>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</si>
  <si>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</si>
  <si>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</si>
  <si>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</si>
  <si>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</si>
  <si>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</si>
  <si>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</si>
  <si>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</si>
  <si>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</si>
  <si>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</si>
  <si>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</si>
  <si>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</si>
  <si>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</si>
  <si>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</si>
  <si>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</si>
  <si>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</si>
  <si>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</si>
  <si>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</si>
  <si>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</si>
  <si>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</si>
  <si>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</si>
  <si>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</si>
  <si>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</si>
  <si>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</si>
  <si>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</si>
  <si>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</si>
  <si>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</si>
  <si>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</si>
  <si>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</si>
  <si>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</si>
  <si>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</si>
  <si>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</si>
  <si>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</si>
  <si>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</si>
  <si>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</si>
  <si>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</si>
  <si>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</si>
  <si>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</si>
  <si>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</si>
  <si>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</si>
  <si>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</si>
  <si>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</si>
  <si>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</si>
  <si>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</si>
  <si>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</si>
  <si>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</si>
  <si>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</si>
  <si>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</si>
  <si>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</si>
  <si>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</si>
  <si>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</si>
  <si>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</si>
  <si>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</si>
  <si>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</si>
  <si>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</si>
  <si>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</si>
  <si>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</si>
  <si>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</si>
  <si>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</si>
  <si>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</si>
  <si>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</si>
  <si>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</si>
  <si>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</si>
  <si>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</si>
  <si>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</si>
  <si>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</si>
  <si>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</si>
  <si>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</si>
  <si>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</si>
  <si>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</si>
  <si>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</si>
  <si>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</si>
  <si>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</si>
  <si>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</si>
  <si>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</si>
  <si>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</si>
  <si>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</si>
  <si>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</si>
  <si>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</si>
  <si>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</si>
  <si>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</si>
  <si>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</si>
  <si>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</si>
  <si>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</si>
  <si>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</si>
  <si>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</si>
  <si>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</si>
  <si>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</si>
  <si>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</si>
  <si>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</si>
  <si>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</si>
  <si>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</si>
  <si>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</si>
  <si>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</si>
  <si>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</si>
  <si>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</si>
  <si>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</si>
  <si>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</si>
  <si>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</si>
  <si>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</si>
  <si>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</si>
  <si>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</si>
  <si>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</si>
  <si>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</si>
  <si>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</si>
  <si>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</si>
  <si>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</si>
  <si>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</si>
  <si>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</si>
  <si>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</si>
  <si>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</si>
  <si>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</si>
  <si>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</si>
  <si>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</si>
  <si>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</si>
  <si>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</si>
  <si>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</si>
  <si>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</si>
  <si>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</si>
  <si>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</si>
  <si>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</si>
  <si>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</si>
  <si>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</si>
  <si>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</si>
  <si>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</si>
  <si>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</si>
  <si>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</si>
  <si>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</si>
  <si>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</si>
  <si>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</si>
  <si>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</si>
  <si>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</si>
  <si>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</si>
  <si>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</si>
  <si>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</si>
  <si>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</si>
  <si>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</si>
  <si>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</si>
  <si>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</si>
  <si>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</si>
  <si>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</si>
  <si>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</si>
  <si>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</si>
  <si>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</si>
  <si>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</si>
  <si>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</si>
  <si>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</si>
  <si>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</si>
  <si>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</si>
  <si>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</si>
  <si>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</si>
  <si>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</si>
  <si>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</si>
  <si>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</si>
  <si>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</si>
  <si>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</si>
  <si>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</si>
  <si>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</si>
  <si>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</si>
  <si>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</si>
  <si>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</si>
  <si>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</si>
  <si>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</si>
  <si>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</si>
  <si>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</si>
  <si>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</si>
  <si>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</si>
  <si>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</si>
  <si>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</si>
  <si>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</si>
  <si>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</si>
  <si>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</si>
  <si>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</si>
  <si>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</si>
  <si>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</si>
  <si>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</si>
  <si>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</si>
  <si>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</si>
  <si>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</si>
  <si>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</si>
  <si>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</si>
  <si>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</si>
  <si>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</si>
  <si>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</si>
  <si>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</si>
  <si>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</si>
  <si>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</si>
  <si>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</si>
  <si>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</si>
  <si>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</si>
  <si>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</si>
  <si>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</si>
  <si>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</si>
  <si>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</si>
  <si>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</si>
  <si>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</si>
  <si>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</si>
  <si>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</si>
  <si>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</si>
  <si>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</si>
  <si>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</si>
  <si>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</si>
  <si>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</si>
  <si>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</si>
  <si>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</si>
  <si>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</si>
  <si>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</si>
  <si>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</si>
  <si>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</si>
  <si>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</si>
  <si>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</si>
  <si>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</si>
  <si>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</si>
  <si>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</si>
  <si>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</si>
  <si>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</si>
  <si>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</si>
  <si>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</si>
  <si>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</si>
  <si>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</si>
  <si>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</si>
  <si>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</si>
  <si>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</si>
  <si>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</si>
  <si>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</si>
  <si>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</si>
  <si>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</si>
  <si>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</si>
  <si>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</si>
  <si>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</si>
  <si>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</si>
  <si>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</si>
  <si>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</si>
  <si>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</si>
  <si>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</si>
  <si>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</si>
  <si>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</si>
  <si>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</si>
  <si>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</si>
  <si>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</si>
  <si>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</si>
  <si>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</si>
  <si>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</si>
  <si>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</si>
  <si>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</si>
  <si>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</si>
  <si>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</si>
  <si>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</si>
  <si>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</si>
  <si>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</si>
  <si>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</si>
  <si>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</si>
  <si>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</si>
  <si>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</si>
  <si>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</si>
  <si>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</si>
  <si>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</si>
  <si>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</si>
  <si>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</si>
  <si>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</si>
  <si>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</si>
  <si>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</si>
  <si>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</si>
  <si>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</si>
  <si>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</si>
  <si>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</si>
  <si>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</si>
  <si>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</si>
  <si>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</si>
  <si>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</si>
  <si>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</si>
  <si>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</si>
  <si>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</si>
  <si>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</si>
  <si>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</si>
  <si>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</si>
  <si>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</si>
  <si>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</si>
  <si>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</si>
  <si>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</si>
  <si>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</si>
  <si>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</si>
  <si>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</si>
  <si>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</si>
  <si>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</si>
  <si>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</si>
  <si>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</si>
  <si>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</si>
  <si>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</si>
  <si>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</si>
  <si>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</si>
  <si>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</si>
  <si>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</si>
  <si>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</si>
  <si>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</si>
  <si>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</si>
  <si>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</si>
  <si>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</si>
  <si>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</si>
  <si>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</si>
  <si>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</si>
  <si>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</si>
  <si>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</si>
  <si>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</si>
  <si>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</si>
  <si>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</si>
  <si>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</si>
  <si>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</si>
  <si>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</si>
  <si>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</si>
  <si>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</si>
  <si>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</si>
  <si>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</si>
  <si>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</si>
  <si>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</si>
  <si>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</si>
  <si>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</si>
  <si>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</si>
  <si>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</si>
  <si>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</si>
  <si>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</si>
  <si>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</si>
  <si>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</si>
  <si>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</si>
  <si>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</si>
  <si>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</si>
  <si>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</si>
  <si>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</si>
  <si>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</si>
  <si>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</si>
  <si>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</si>
  <si>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</si>
  <si>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</si>
  <si>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</si>
  <si>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</si>
  <si>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</si>
  <si>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</si>
  <si>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</si>
  <si>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</si>
  <si>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</si>
  <si>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</si>
  <si>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</si>
  <si>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</si>
  <si>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</si>
  <si>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</si>
  <si>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</si>
  <si>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</si>
  <si>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</si>
  <si>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</si>
  <si>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</si>
  <si>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</si>
  <si>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</si>
  <si>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</si>
  <si>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</si>
  <si>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</si>
  <si>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</si>
  <si>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</si>
  <si>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</si>
  <si>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</si>
  <si>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</si>
  <si>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</si>
  <si>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</si>
  <si>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</si>
  <si>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</si>
  <si>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</si>
  <si>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</si>
  <si>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</si>
  <si>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</si>
  <si>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</si>
  <si>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</si>
  <si>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</si>
  <si>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</si>
  <si>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</si>
  <si>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</si>
  <si>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</si>
  <si>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</si>
  <si>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</si>
  <si>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</si>
  <si>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</si>
  <si>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</si>
  <si>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</si>
  <si>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</si>
  <si>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</si>
  <si>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</si>
  <si>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</si>
  <si>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</si>
  <si>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</si>
  <si>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</si>
  <si>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</si>
  <si>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</si>
  <si>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</si>
  <si>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</si>
  <si>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</si>
  <si>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</si>
  <si>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</si>
  <si>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</si>
  <si>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</si>
  <si>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</si>
  <si>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</si>
  <si>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</si>
  <si>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</si>
  <si>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</si>
  <si>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</si>
  <si>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</si>
  <si>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</si>
  <si>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</si>
  <si>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</si>
  <si>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</si>
  <si>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</si>
  <si>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</si>
  <si>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</si>
  <si>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</si>
  <si>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</si>
  <si>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</si>
  <si>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</si>
  <si>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</si>
  <si>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</si>
  <si>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</si>
  <si>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</si>
  <si>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</si>
  <si>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</si>
  <si>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</si>
  <si>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</si>
  <si>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</si>
  <si>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</si>
  <si>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</si>
  <si>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</si>
  <si>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</si>
  <si>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</si>
  <si>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</si>
  <si>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</si>
  <si>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</si>
  <si>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</si>
  <si>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</si>
  <si>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</si>
  <si>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</si>
  <si>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</si>
  <si>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</si>
  <si>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</si>
  <si>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</si>
  <si>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</si>
  <si>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</si>
  <si>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</si>
  <si>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</si>
  <si>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</si>
  <si>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</si>
  <si>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</si>
  <si>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</si>
  <si>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</si>
  <si>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</si>
  <si>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</si>
  <si>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</si>
  <si>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</si>
  <si>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</si>
  <si>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</si>
  <si>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</si>
  <si>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</si>
  <si>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</si>
  <si>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</si>
  <si>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</si>
  <si>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</si>
  <si>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</si>
  <si>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</si>
  <si>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</si>
  <si>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</si>
  <si>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</si>
  <si>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</si>
  <si>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</si>
  <si>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</si>
  <si>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</si>
  <si>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</si>
  <si>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</si>
  <si>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</si>
  <si>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</si>
  <si>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</si>
  <si>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</si>
  <si>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</si>
  <si>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</si>
  <si>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</si>
  <si>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</si>
  <si>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</si>
  <si>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</si>
  <si>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</si>
  <si>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</si>
  <si>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</si>
  <si>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</si>
  <si>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</si>
  <si>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</si>
  <si>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</si>
  <si>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</si>
  <si>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</si>
  <si>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</si>
  <si>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</si>
  <si>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</si>
  <si>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</si>
  <si>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</si>
  <si>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</si>
  <si>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</si>
  <si>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</si>
  <si>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</si>
  <si>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</si>
  <si>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</si>
  <si>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</si>
  <si>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</si>
  <si>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</si>
  <si>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</si>
  <si>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</si>
  <si>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</si>
  <si>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</si>
  <si>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</si>
  <si>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</si>
  <si>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</si>
  <si>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</si>
  <si>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</si>
  <si>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</si>
  <si>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</si>
  <si>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</si>
  <si>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</si>
  <si>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</si>
  <si>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</si>
  <si>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</si>
  <si>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</si>
  <si>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</si>
  <si>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</si>
  <si>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</si>
  <si>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</si>
  <si>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</si>
  <si>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</si>
  <si>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</si>
  <si>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</si>
  <si>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</si>
  <si>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</si>
  <si>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</si>
  <si>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</si>
  <si>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</si>
  <si>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</si>
  <si>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</si>
  <si>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</si>
  <si>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</si>
  <si>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</si>
  <si>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</si>
  <si>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</si>
  <si>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</si>
  <si>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</si>
  <si>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</si>
  <si>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</si>
  <si>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</si>
  <si>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</si>
  <si>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</si>
  <si>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</si>
  <si>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</si>
  <si>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</si>
  <si>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</si>
  <si>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</si>
  <si>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</si>
  <si>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</si>
  <si>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</si>
  <si>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</si>
  <si>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</si>
  <si>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</si>
  <si>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</si>
  <si>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</si>
  <si>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</si>
  <si>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</si>
  <si>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</si>
  <si>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</si>
  <si>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</si>
  <si>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</si>
  <si>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</si>
  <si>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</si>
  <si>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</si>
  <si>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</si>
  <si>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</si>
  <si>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</si>
  <si>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</si>
  <si>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</si>
  <si>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</si>
  <si>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</si>
  <si>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</si>
  <si>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</si>
  <si>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</si>
  <si>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</si>
  <si>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</si>
  <si>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</si>
  <si>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</si>
  <si>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</si>
  <si>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</si>
  <si>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</si>
  <si>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</si>
  <si>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</si>
  <si>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</si>
  <si>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</si>
  <si>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</si>
  <si>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</si>
  <si>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</si>
  <si>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</si>
  <si>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</si>
  <si>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</si>
  <si>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</si>
  <si>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</si>
  <si>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</si>
  <si>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</si>
  <si>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</si>
  <si>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</si>
  <si>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</si>
  <si>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</si>
  <si>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</si>
  <si>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</si>
  <si>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</si>
  <si>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</si>
  <si>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</si>
  <si>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</si>
  <si>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</si>
  <si>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</si>
  <si>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</si>
  <si>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</si>
  <si>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</si>
  <si>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</si>
  <si>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</si>
  <si>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</si>
  <si>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</si>
  <si>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</si>
  <si>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</si>
  <si>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</si>
  <si>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</si>
  <si>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</si>
  <si>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</si>
  <si>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</si>
  <si>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</si>
  <si>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</si>
  <si>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</si>
  <si>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</si>
  <si>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</si>
  <si>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</si>
  <si>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</si>
  <si>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</si>
  <si>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</si>
  <si>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</si>
  <si>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</si>
  <si>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</si>
  <si>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</si>
  <si>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</si>
  <si>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</si>
  <si>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</si>
  <si>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</si>
  <si>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</si>
  <si>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</si>
  <si>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</si>
  <si>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</si>
  <si>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</si>
  <si>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</si>
  <si>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</si>
  <si>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</si>
  <si>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</si>
  <si>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</si>
  <si>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</si>
  <si>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</si>
  <si>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</si>
  <si>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</si>
  <si>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</si>
  <si>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</si>
  <si>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</si>
  <si>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</si>
  <si>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</si>
  <si>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</si>
  <si>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</si>
  <si>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</si>
  <si>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</si>
  <si>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</si>
  <si>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</si>
  <si>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</si>
  <si>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</si>
  <si>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</si>
  <si>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</si>
  <si>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</si>
  <si>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</si>
  <si>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</si>
  <si>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</si>
  <si>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</si>
  <si>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</si>
  <si>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</si>
  <si>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</si>
  <si>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</si>
  <si>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</si>
  <si>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</si>
  <si>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</si>
  <si>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</si>
  <si>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</si>
  <si>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</si>
  <si>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</si>
  <si>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</si>
  <si>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</si>
  <si>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</si>
  <si>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</si>
  <si>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</si>
  <si>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</si>
  <si>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</si>
  <si>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</si>
  <si>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</si>
  <si>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</si>
  <si>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</si>
  <si>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</si>
  <si>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</si>
  <si>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</si>
  <si>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</si>
  <si>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</si>
  <si>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</si>
  <si>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</si>
  <si>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</si>
  <si>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</si>
  <si>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</si>
  <si>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</si>
  <si>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</si>
  <si>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</si>
  <si>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</si>
  <si>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</si>
  <si>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</si>
  <si>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</si>
  <si>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</si>
  <si>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</si>
  <si>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</si>
  <si>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</si>
  <si>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</si>
  <si>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</si>
  <si>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</si>
  <si>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</si>
  <si>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</si>
  <si>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</si>
  <si>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</si>
  <si>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</si>
  <si>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</si>
  <si>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</si>
  <si>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</si>
  <si>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</si>
  <si>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</si>
  <si>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</si>
  <si>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</si>
  <si>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</si>
  <si>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</si>
  <si>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</si>
  <si>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</si>
  <si>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</si>
  <si>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</si>
  <si>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</si>
  <si>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</si>
  <si>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</si>
  <si>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</si>
  <si>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</si>
  <si>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</si>
  <si>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</si>
  <si>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</si>
  <si>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</si>
  <si>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</si>
  <si>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</si>
  <si>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</si>
  <si>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</si>
  <si>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</si>
  <si>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</si>
  <si>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</si>
  <si>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</si>
  <si>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</si>
  <si>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</si>
  <si>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</si>
  <si>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</si>
  <si>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</si>
  <si>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</si>
  <si>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</si>
  <si>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</si>
  <si>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</si>
  <si>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</si>
  <si>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</si>
  <si>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</si>
  <si>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</si>
  <si>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</si>
  <si>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</si>
  <si>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</si>
  <si>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</si>
  <si>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</si>
  <si>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</si>
  <si>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</si>
  <si>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</si>
  <si>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</si>
  <si>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</si>
  <si>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</si>
  <si>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</si>
  <si>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</si>
  <si>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</si>
  <si>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</si>
  <si>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</si>
  <si>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</si>
  <si>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</si>
  <si>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</si>
  <si>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</si>
  <si>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</si>
  <si>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</si>
  <si>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</si>
  <si>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</si>
  <si>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</si>
  <si>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</si>
  <si>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</si>
  <si>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</si>
  <si>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</si>
  <si>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</si>
  <si>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</si>
  <si>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</si>
  <si>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</si>
  <si>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</si>
  <si>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</si>
  <si>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</si>
  <si>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</si>
  <si>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</si>
  <si>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</si>
  <si>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</si>
  <si>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</si>
  <si>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</si>
  <si>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</si>
  <si>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</si>
  <si>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</si>
  <si>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</si>
  <si>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</si>
  <si>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</si>
  <si>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</si>
  <si>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</si>
  <si>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</si>
  <si>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</si>
  <si>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</si>
  <si>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</si>
  <si>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</si>
  <si>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</si>
  <si>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</si>
  <si>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</si>
  <si>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</si>
  <si>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</si>
  <si>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</si>
  <si>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</si>
  <si>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</si>
  <si>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</si>
  <si>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</si>
  <si>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</si>
  <si>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</si>
  <si>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</si>
  <si>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</si>
  <si>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</si>
  <si>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</si>
  <si>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</si>
  <si>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</si>
  <si>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</si>
  <si>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</si>
  <si>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</si>
  <si>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</si>
  <si>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</si>
  <si>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</si>
  <si>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</si>
  <si>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</si>
  <si>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</si>
  <si>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</si>
  <si>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</si>
  <si>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</si>
  <si>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</si>
  <si>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</si>
  <si>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</si>
  <si>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</si>
  <si>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</si>
  <si>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</si>
  <si>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</si>
  <si>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</si>
  <si>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</si>
  <si>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</si>
  <si>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</si>
  <si>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</si>
  <si>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</si>
  <si>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</si>
  <si>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</si>
  <si>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</si>
  <si>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</si>
  <si>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</si>
  <si>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</si>
  <si>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</si>
  <si>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</si>
  <si>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</si>
  <si>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</si>
  <si>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</si>
  <si>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</si>
  <si>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</si>
  <si>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</si>
  <si>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</si>
  <si>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</si>
  <si>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</si>
  <si>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</si>
  <si>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</si>
  <si>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</si>
  <si>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</si>
  <si>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</si>
  <si>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</si>
  <si>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</si>
  <si>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</si>
  <si>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</si>
  <si>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</si>
  <si>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</si>
  <si>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</si>
  <si>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</si>
  <si>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</si>
  <si>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</si>
  <si>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</si>
  <si>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</si>
  <si>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</si>
  <si>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</si>
  <si>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</si>
  <si>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</si>
  <si>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</si>
  <si>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</si>
  <si>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</si>
  <si>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</si>
  <si>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</si>
  <si>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</si>
  <si>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</si>
  <si>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</si>
  <si>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</si>
  <si>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</si>
  <si>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</si>
  <si>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</si>
  <si>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</si>
  <si>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</si>
  <si>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</si>
  <si>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</si>
  <si>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</si>
  <si>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</si>
  <si>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</si>
  <si>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</si>
  <si>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</si>
  <si>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</si>
  <si>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</si>
  <si>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</si>
  <si>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</si>
  <si>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</si>
  <si>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</si>
  <si>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</si>
  <si>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</si>
  <si>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</si>
  <si>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</si>
  <si>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</si>
  <si>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</si>
  <si>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</si>
  <si>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</si>
  <si>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</si>
  <si>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</si>
  <si>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</si>
  <si>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</si>
  <si>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</si>
  <si>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</si>
  <si>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</si>
  <si>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</si>
  <si>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</si>
  <si>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</si>
  <si>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</si>
  <si>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</si>
  <si>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</si>
  <si>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</si>
  <si>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</si>
  <si>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</si>
  <si>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</si>
  <si>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</si>
  <si>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</si>
  <si>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</si>
  <si>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</si>
  <si>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</si>
  <si>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</si>
  <si>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</si>
  <si>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</si>
  <si>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</si>
  <si>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</si>
  <si>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</si>
  <si>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</si>
  <si>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</si>
  <si>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</si>
  <si>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</si>
  <si>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</si>
  <si>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</si>
  <si>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</si>
  <si>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</si>
  <si>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</si>
  <si>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</si>
  <si>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</si>
  <si>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</si>
  <si>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</si>
  <si>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</si>
  <si>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</si>
  <si>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</si>
  <si>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</si>
  <si>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</si>
  <si>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</si>
  <si>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</si>
  <si>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</si>
  <si>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</si>
  <si>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</si>
  <si>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</si>
  <si>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</si>
  <si>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</si>
  <si>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</si>
  <si>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</si>
  <si>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</si>
  <si>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</si>
  <si>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</si>
  <si>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</si>
  <si>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</si>
  <si>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</si>
  <si>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</si>
  <si>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</si>
  <si>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</si>
  <si>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</si>
  <si>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</si>
  <si>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</si>
  <si>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</si>
  <si>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</si>
  <si>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</si>
  <si>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</si>
  <si>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</si>
  <si>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</si>
  <si>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</si>
  <si>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</si>
  <si>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</si>
  <si>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</si>
  <si>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</si>
  <si>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</si>
  <si>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</si>
  <si>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</si>
  <si>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</si>
  <si>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</si>
  <si>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</si>
  <si>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</si>
  <si>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</si>
  <si>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</si>
  <si>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</si>
  <si>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</si>
  <si>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</si>
  <si>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</si>
  <si>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</si>
  <si>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</si>
  <si>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</si>
  <si>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</si>
  <si>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</si>
  <si>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</si>
  <si>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</si>
  <si>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</si>
  <si>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</si>
  <si>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</si>
  <si>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</si>
  <si>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</si>
  <si>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</si>
  <si>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</si>
  <si>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</si>
  <si>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</si>
  <si>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</si>
  <si>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</si>
  <si>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</si>
  <si>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</si>
  <si>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</si>
  <si>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</si>
  <si>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</si>
  <si>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</si>
  <si>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</si>
  <si>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</si>
  <si>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</si>
  <si>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</si>
  <si>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</si>
  <si>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</si>
  <si>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</si>
  <si>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</si>
  <si>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</si>
  <si>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</si>
  <si>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</si>
  <si>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</si>
  <si>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</si>
  <si>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</si>
  <si>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</si>
  <si>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</si>
  <si>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</si>
  <si>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</si>
  <si>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</si>
  <si>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</si>
  <si>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</si>
  <si>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</si>
  <si>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</si>
  <si>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</si>
  <si>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</si>
  <si>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</si>
  <si>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</si>
  <si>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</si>
  <si>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</si>
  <si>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</si>
  <si>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</si>
  <si>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</si>
  <si>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</si>
  <si>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</si>
  <si>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</si>
  <si>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</si>
  <si>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</si>
  <si>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</si>
  <si>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</si>
  <si>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</si>
  <si>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</si>
  <si>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</si>
  <si>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</si>
  <si>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</si>
  <si>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</si>
  <si>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</si>
  <si>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</si>
  <si>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</si>
  <si>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</si>
  <si>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</si>
  <si>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</si>
  <si>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</si>
  <si>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</si>
  <si>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</si>
  <si>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</si>
  <si>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</si>
  <si>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</si>
  <si>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</si>
  <si>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</si>
  <si>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</si>
  <si>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</si>
  <si>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</si>
  <si>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</si>
  <si>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</si>
  <si>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</si>
  <si>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</si>
  <si>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</si>
  <si>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</si>
  <si>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</si>
  <si>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</si>
  <si>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</si>
  <si>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</si>
  <si>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</si>
  <si>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</si>
  <si>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</si>
  <si>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</si>
  <si>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</si>
  <si>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</si>
  <si>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</si>
  <si>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</si>
  <si>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</si>
  <si>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</si>
  <si>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</si>
  <si>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</si>
  <si>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</si>
  <si>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</si>
  <si>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</si>
  <si>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</si>
  <si>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</si>
  <si>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</si>
  <si>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</si>
  <si>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</si>
  <si>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</si>
  <si>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</si>
  <si>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</si>
  <si>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</si>
  <si>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</si>
  <si>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</si>
  <si>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</si>
  <si>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</si>
  <si>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</si>
  <si>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</si>
  <si>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</si>
  <si>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</si>
  <si>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</si>
  <si>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</si>
  <si>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</si>
  <si>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</si>
  <si>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</si>
  <si>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</si>
  <si>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</si>
  <si>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</si>
  <si>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</si>
  <si>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</si>
  <si>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</si>
  <si>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</si>
  <si>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</si>
  <si>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</si>
  <si>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</si>
  <si>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</si>
  <si>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</si>
  <si>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</si>
  <si>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</si>
  <si>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</si>
  <si>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</si>
  <si>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</si>
  <si>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</si>
  <si>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</si>
  <si>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</si>
  <si>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</si>
  <si>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</si>
  <si>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</si>
  <si>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</si>
  <si>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</si>
  <si>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</si>
  <si>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</si>
  <si>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</si>
  <si>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</si>
  <si>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</si>
  <si>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</si>
  <si>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</si>
  <si>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</si>
  <si>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</si>
  <si>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</si>
  <si>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</si>
  <si>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</si>
  <si>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</si>
  <si>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</si>
  <si>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</si>
  <si>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</si>
  <si>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</si>
  <si>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</si>
  <si>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</si>
  <si>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</si>
  <si>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</si>
  <si>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</si>
  <si>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</si>
  <si>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</si>
  <si>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</si>
  <si>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</si>
  <si>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</si>
  <si>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</si>
  <si>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</si>
  <si>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</si>
  <si>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</si>
  <si>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</si>
  <si>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</si>
  <si>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</si>
  <si>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</si>
  <si>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</si>
  <si>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</si>
  <si>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</si>
  <si>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</si>
  <si>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</si>
  <si>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</si>
  <si>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</si>
  <si>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</si>
  <si>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</si>
  <si>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</si>
  <si>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</si>
  <si>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</si>
  <si>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</si>
  <si>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</si>
  <si>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</si>
  <si>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</si>
  <si>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</si>
  <si>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</si>
  <si>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</si>
  <si>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</si>
  <si>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</si>
  <si>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</si>
  <si>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</si>
  <si>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</si>
  <si>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</si>
  <si>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</si>
  <si>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</si>
  <si>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</si>
  <si>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</si>
  <si>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</si>
  <si>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</si>
  <si>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</si>
  <si>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</si>
  <si>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</si>
  <si>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</si>
  <si>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</si>
  <si>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</si>
  <si>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</si>
  <si>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</si>
  <si>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</si>
  <si>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</si>
  <si>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</si>
  <si>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</si>
  <si>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</si>
  <si>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</si>
  <si>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</si>
  <si>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</si>
  <si>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</si>
  <si>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</si>
  <si>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</si>
  <si>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</si>
  <si>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</si>
  <si>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</si>
  <si>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</si>
  <si>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</si>
  <si>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</si>
  <si>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</si>
  <si>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</si>
  <si>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</si>
  <si>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</si>
  <si>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</si>
  <si>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</si>
  <si>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</si>
  <si>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</si>
  <si>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</si>
  <si>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</si>
  <si>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</si>
  <si>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</si>
  <si>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</si>
  <si>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</si>
  <si>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</si>
  <si>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</si>
  <si>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</si>
  <si>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</si>
  <si>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</si>
  <si>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</si>
  <si>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</si>
  <si>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</si>
  <si>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</si>
  <si>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</si>
  <si>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</si>
  <si>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</si>
  <si>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</si>
  <si>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</si>
  <si>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</si>
  <si>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</si>
  <si>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</si>
  <si>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</si>
  <si>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</si>
  <si>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</si>
  <si>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</si>
  <si>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</si>
  <si>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</si>
  <si>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</si>
  <si>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</si>
  <si>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</si>
  <si>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</si>
  <si>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</si>
  <si>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</si>
  <si>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</si>
  <si>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</si>
  <si>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</si>
  <si>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</si>
  <si>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</si>
  <si>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</si>
  <si>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</si>
  <si>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</si>
  <si>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</si>
  <si>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</si>
  <si>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</si>
  <si>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</si>
  <si>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</si>
  <si>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</si>
  <si>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</si>
  <si>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</si>
  <si>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</si>
  <si>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</si>
  <si>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</si>
  <si>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</si>
  <si>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</si>
  <si>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</si>
  <si>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</si>
  <si>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</si>
  <si>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</si>
  <si>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</si>
  <si>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</si>
  <si>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</si>
  <si>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</si>
  <si>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</si>
  <si>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</si>
  <si>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</si>
  <si>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</si>
  <si>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</si>
  <si>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</si>
  <si>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</si>
  <si>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</si>
  <si>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</si>
  <si>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</si>
  <si>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</si>
  <si>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</si>
  <si>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</si>
  <si>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</si>
  <si>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</si>
  <si>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</si>
  <si>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</si>
  <si>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</si>
  <si>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</si>
  <si>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</si>
  <si>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</si>
  <si>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</si>
  <si>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</si>
  <si>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</si>
  <si>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</si>
  <si>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</si>
  <si>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</si>
  <si>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</si>
  <si>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</si>
  <si>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</si>
  <si>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</si>
  <si>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</si>
  <si>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</si>
  <si>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</si>
  <si>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</si>
  <si>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</si>
  <si>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</si>
  <si>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</si>
  <si>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</si>
  <si>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</si>
  <si>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</si>
  <si>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</si>
  <si>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</si>
  <si>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</si>
  <si>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</si>
  <si>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</si>
  <si>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</si>
  <si>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</si>
  <si>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</si>
  <si>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</si>
  <si>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</si>
  <si>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</si>
  <si>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</si>
  <si>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</si>
  <si>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</si>
  <si>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</si>
  <si>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</si>
  <si>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</si>
  <si>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</si>
  <si>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</si>
  <si>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</si>
  <si>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</si>
  <si>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</si>
  <si>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</si>
  <si>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</si>
  <si>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</si>
  <si>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</si>
  <si>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</si>
  <si>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</si>
  <si>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</si>
  <si>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</si>
  <si>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</si>
  <si>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</si>
  <si>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</si>
  <si>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</si>
  <si>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</si>
  <si>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</si>
  <si>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</si>
  <si>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</si>
  <si>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</si>
  <si>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</si>
  <si>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</si>
  <si>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</si>
  <si>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</si>
  <si>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</si>
  <si>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</si>
  <si>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</si>
  <si>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</si>
  <si>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</si>
  <si>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</si>
  <si>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</si>
  <si>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</si>
  <si>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</si>
  <si>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</si>
  <si>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</si>
  <si>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</si>
  <si>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</si>
  <si>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</si>
  <si>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</si>
  <si>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</si>
  <si>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</si>
  <si>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</si>
  <si>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</si>
  <si>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</si>
  <si>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</si>
  <si>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</si>
  <si>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</si>
  <si>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</si>
  <si>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</si>
  <si>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</si>
  <si>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</si>
  <si>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</si>
  <si>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</si>
  <si>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</si>
  <si>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</si>
  <si>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</si>
  <si>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</si>
  <si>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</si>
  <si>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</si>
  <si>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</si>
  <si>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</si>
  <si>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</si>
  <si>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</si>
  <si>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</si>
  <si>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</si>
  <si>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</si>
  <si>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</si>
  <si>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</si>
  <si>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</si>
  <si>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</si>
  <si>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</si>
  <si>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</si>
  <si>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</si>
  <si>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</si>
  <si>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</si>
  <si>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</si>
  <si>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</si>
  <si>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</si>
  <si>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</si>
  <si>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</si>
  <si>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</si>
  <si>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</si>
  <si>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</si>
  <si>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</si>
  <si>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</si>
  <si>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</si>
  <si>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</si>
  <si>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</si>
  <si>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</si>
  <si>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</si>
  <si>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</si>
  <si>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</si>
  <si>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</si>
  <si>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</si>
  <si>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</si>
  <si>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</si>
  <si>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</si>
  <si>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</si>
  <si>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</si>
  <si>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</si>
  <si>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</si>
  <si>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</si>
  <si>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</si>
  <si>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</si>
  <si>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</si>
  <si>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</si>
  <si>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</si>
  <si>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</si>
  <si>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</si>
  <si>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</si>
  <si>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</si>
  <si>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</si>
  <si>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</si>
  <si>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</si>
  <si>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</si>
  <si>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</si>
  <si>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</si>
  <si>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</si>
  <si>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</si>
  <si>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</si>
  <si>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</si>
  <si>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</si>
  <si>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</si>
  <si>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</si>
  <si>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</si>
  <si>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</si>
  <si>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</si>
  <si>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</si>
  <si>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</si>
  <si>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</si>
  <si>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</si>
  <si>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</si>
  <si>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</si>
  <si>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</si>
  <si>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</si>
  <si>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</si>
  <si>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</si>
  <si>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</si>
  <si>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</si>
  <si>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</si>
  <si>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</si>
  <si>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</si>
  <si>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</si>
  <si>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</si>
  <si>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</si>
  <si>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</si>
  <si>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</si>
  <si>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</si>
  <si>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</si>
  <si>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</si>
  <si>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</si>
  <si>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</si>
  <si>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</si>
  <si>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</si>
  <si>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</si>
  <si>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</si>
  <si>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</si>
  <si>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</si>
  <si>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</si>
  <si>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</si>
  <si>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</si>
  <si>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</si>
  <si>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</si>
  <si>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</si>
  <si>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</si>
  <si>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</si>
  <si>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</si>
  <si>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</si>
  <si>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</si>
  <si>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</si>
  <si>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</si>
  <si>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</si>
  <si>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</si>
  <si>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</si>
  <si>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</si>
  <si>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</si>
  <si>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</si>
  <si>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</si>
  <si>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</si>
  <si>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</si>
  <si>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</si>
  <si>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</si>
  <si>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</si>
  <si>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</si>
  <si>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</si>
  <si>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</si>
  <si>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</si>
  <si>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</si>
  <si>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</si>
  <si>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</si>
  <si>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</si>
  <si>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</si>
  <si>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</si>
  <si>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</si>
  <si>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</si>
  <si>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</si>
  <si>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</si>
  <si>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</si>
  <si>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</si>
  <si>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</si>
  <si>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</si>
  <si>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</si>
  <si>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</si>
  <si>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</si>
  <si>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</si>
  <si>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</si>
  <si>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</si>
  <si>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</si>
  <si>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</si>
  <si>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</si>
  <si>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</si>
  <si>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</si>
  <si>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</si>
  <si>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</si>
  <si>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</si>
  <si>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</si>
  <si>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</si>
  <si>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</si>
  <si>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</si>
  <si>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</si>
  <si>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</si>
  <si>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</si>
  <si>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</si>
  <si>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</si>
  <si>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</si>
  <si>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</si>
  <si>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</si>
  <si>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</si>
  <si>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</si>
  <si>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</si>
  <si>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</si>
  <si>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</si>
  <si>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</si>
  <si>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</si>
  <si>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</si>
  <si>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</si>
  <si>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</si>
  <si>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</si>
  <si>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</si>
  <si>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</si>
  <si>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</si>
  <si>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</si>
  <si>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</si>
  <si>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</si>
  <si>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</si>
  <si>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</si>
  <si>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</si>
  <si>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</si>
  <si>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</si>
  <si>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</si>
  <si>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</si>
  <si>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</si>
  <si>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</si>
  <si>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</si>
  <si>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</si>
  <si>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</si>
  <si>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</si>
  <si>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</si>
  <si>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</si>
  <si>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</si>
  <si>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</si>
  <si>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</si>
  <si>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</si>
  <si>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</si>
  <si>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</si>
  <si>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</si>
  <si>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</si>
  <si>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</si>
  <si>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</si>
  <si>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</si>
  <si>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</si>
  <si>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</si>
  <si>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</si>
  <si>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</si>
  <si>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</si>
  <si>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</si>
  <si>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</si>
  <si>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</si>
  <si>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</si>
  <si>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</si>
  <si>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</si>
  <si>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</si>
  <si>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</si>
  <si>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</si>
  <si>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</si>
  <si>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</si>
  <si>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</si>
  <si>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</si>
  <si>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</si>
  <si>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</si>
  <si>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</si>
  <si>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</si>
  <si>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</si>
  <si>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</si>
  <si>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</si>
  <si>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</si>
  <si>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</si>
  <si>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</si>
  <si>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</si>
  <si>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</si>
  <si>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</si>
  <si>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</si>
  <si>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</si>
  <si>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</si>
  <si>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</si>
  <si>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</si>
  <si>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</si>
  <si>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</si>
  <si>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</si>
  <si>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</si>
  <si>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</si>
  <si>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</si>
  <si>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</si>
  <si>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</si>
  <si>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</si>
  <si>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</si>
  <si>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</si>
  <si>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</si>
  <si>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</si>
  <si>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</si>
  <si>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</si>
  <si>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</si>
  <si>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</si>
  <si>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</si>
  <si>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</si>
  <si>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</si>
  <si>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</si>
  <si>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</si>
  <si>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</si>
  <si>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</si>
  <si>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</si>
  <si>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</si>
  <si>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</si>
  <si>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</si>
  <si>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</si>
  <si>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</si>
  <si>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</si>
  <si>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</si>
  <si>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</si>
  <si>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</si>
  <si>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</si>
  <si>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</si>
  <si>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</si>
  <si>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</si>
  <si>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</si>
  <si>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</si>
  <si>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</si>
  <si>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</si>
  <si>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</si>
  <si>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</si>
  <si>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</si>
  <si>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</si>
  <si>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</si>
  <si>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</si>
  <si>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</si>
  <si>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</si>
  <si>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</si>
  <si>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</si>
  <si>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</si>
  <si>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</si>
  <si>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</si>
  <si>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</si>
  <si>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</si>
  <si>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</si>
  <si>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</si>
  <si>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</si>
  <si>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</si>
  <si>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</si>
  <si>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</si>
  <si>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</si>
  <si>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</si>
  <si>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</si>
  <si>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</si>
  <si>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</si>
  <si>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</si>
  <si>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</si>
  <si>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</si>
  <si>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</si>
  <si>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</si>
  <si>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</si>
  <si>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</si>
  <si>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</si>
  <si>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</si>
  <si>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</si>
  <si>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</si>
  <si>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</si>
  <si>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</si>
  <si>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</si>
  <si>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</si>
  <si>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</si>
  <si>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</si>
  <si>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</si>
  <si>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</si>
  <si>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</si>
  <si>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</si>
  <si>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</si>
  <si>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</si>
  <si>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</si>
  <si>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</si>
  <si>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</si>
  <si>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</si>
  <si>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</si>
  <si>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</si>
  <si>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</si>
  <si>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</si>
  <si>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</si>
  <si>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</si>
  <si>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</si>
  <si>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</si>
  <si>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</si>
  <si>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</si>
  <si>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</si>
  <si>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</si>
  <si>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</si>
  <si>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</si>
  <si>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</si>
  <si>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</si>
  <si>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</si>
  <si>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</si>
  <si>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</si>
  <si>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</si>
  <si>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</si>
  <si>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</si>
  <si>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</si>
  <si>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</si>
  <si>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</si>
  <si>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</si>
  <si>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</si>
  <si>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</si>
  <si>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</si>
  <si>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</si>
  <si>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</si>
  <si>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</si>
  <si>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</si>
  <si>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</si>
  <si>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</si>
  <si>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</si>
  <si>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</si>
  <si>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</si>
  <si>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</si>
  <si>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</si>
  <si>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</si>
  <si>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</si>
  <si>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</si>
  <si>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</si>
  <si>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</si>
  <si>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</si>
  <si>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</si>
  <si>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</si>
  <si>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</si>
  <si>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</si>
  <si>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</si>
  <si>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</si>
  <si>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</si>
  <si>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</si>
  <si>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</si>
  <si>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</si>
  <si>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</si>
  <si>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</si>
  <si>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</si>
  <si>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</si>
  <si>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</si>
  <si>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</si>
  <si>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</si>
  <si>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</si>
  <si>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</si>
  <si>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</si>
  <si>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</si>
  <si>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</si>
  <si>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</si>
  <si>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</si>
  <si>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</si>
  <si>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</si>
  <si>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</si>
  <si>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</si>
  <si>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</si>
  <si>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</si>
  <si>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</si>
  <si>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</si>
  <si>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</si>
  <si>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</si>
  <si>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</si>
  <si>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</si>
  <si>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</si>
  <si>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</si>
  <si>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</si>
  <si>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</si>
  <si>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</si>
  <si>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</si>
  <si>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</si>
  <si>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</si>
  <si>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</si>
  <si>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</si>
  <si>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</si>
  <si>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</si>
  <si>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</si>
  <si>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</si>
  <si>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</si>
  <si>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</si>
  <si>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</si>
  <si>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</si>
  <si>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</si>
  <si>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</si>
  <si>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</si>
  <si>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</si>
  <si>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</si>
  <si>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</si>
  <si>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</si>
  <si>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</si>
  <si>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</si>
  <si>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</si>
  <si>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</si>
  <si>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</si>
  <si>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</si>
  <si>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</si>
  <si>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</si>
  <si>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</si>
  <si>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</si>
  <si>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</si>
  <si>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</si>
  <si>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</si>
  <si>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</si>
  <si>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</si>
  <si>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</si>
  <si>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</si>
  <si>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</si>
  <si>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</si>
  <si>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</si>
  <si>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</si>
  <si>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</si>
  <si>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</si>
  <si>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</si>
  <si>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</si>
  <si>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</si>
  <si>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</si>
  <si>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</si>
  <si>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</si>
  <si>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</si>
  <si>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</si>
  <si>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</si>
  <si>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</si>
  <si>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</si>
  <si>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</si>
  <si>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</si>
  <si>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</si>
  <si>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</si>
  <si>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</si>
  <si>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</si>
  <si>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</si>
  <si>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</si>
  <si>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</si>
  <si>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</si>
  <si>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</si>
  <si>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</si>
  <si>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</si>
  <si>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</si>
  <si>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</si>
  <si>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</si>
  <si>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</si>
  <si>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</si>
  <si>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</si>
  <si>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</si>
  <si>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</si>
  <si>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</si>
  <si>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</si>
  <si>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</si>
  <si>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</si>
  <si>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</si>
  <si>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</si>
  <si>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</si>
  <si>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</si>
  <si>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</si>
  <si>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</si>
  <si>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</si>
  <si>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</si>
  <si>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</si>
  <si>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</si>
  <si>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</si>
  <si>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</si>
  <si>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</si>
  <si>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</si>
  <si>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</si>
  <si>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</si>
  <si>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</si>
  <si>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</si>
  <si>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</si>
  <si>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</si>
  <si>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</si>
  <si>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</si>
  <si>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</si>
  <si>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</si>
  <si>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</si>
  <si>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</si>
  <si>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</si>
  <si>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</si>
  <si>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</si>
  <si>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</si>
  <si>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</si>
  <si>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</si>
  <si>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</si>
  <si>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</si>
  <si>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</si>
  <si>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</si>
  <si>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</si>
  <si>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</si>
  <si>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</si>
  <si>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</si>
  <si>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</si>
  <si>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</si>
  <si>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</si>
  <si>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</si>
  <si>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</si>
  <si>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</si>
  <si>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</si>
  <si>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</si>
  <si>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</si>
  <si>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</si>
  <si>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</si>
  <si>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</si>
  <si>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</si>
  <si>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</si>
  <si>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</si>
  <si>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</si>
  <si>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</si>
  <si>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</si>
  <si>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</si>
  <si>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</si>
  <si>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</si>
  <si>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</si>
  <si>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</si>
  <si>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</si>
  <si>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</si>
  <si>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</si>
  <si>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</si>
  <si>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</si>
  <si>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</si>
  <si>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</si>
  <si>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</si>
  <si>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</si>
  <si>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</si>
  <si>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</si>
  <si>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</si>
  <si>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</si>
  <si>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</si>
  <si>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</si>
  <si>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</si>
  <si>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</si>
  <si>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</si>
  <si>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</si>
  <si>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</si>
  <si>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</si>
  <si>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</si>
  <si>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</si>
  <si>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</si>
  <si>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</si>
  <si>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</si>
  <si>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</si>
  <si>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</si>
  <si>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</si>
  <si>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</si>
  <si>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</si>
  <si>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</si>
  <si>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</si>
  <si>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</si>
  <si>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</si>
  <si>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</si>
  <si>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</si>
  <si>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</si>
  <si>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</si>
  <si>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</si>
  <si>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</si>
  <si>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</si>
  <si>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</si>
  <si>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</si>
  <si>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</si>
  <si>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</si>
  <si>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</si>
  <si>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</si>
  <si>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</si>
  <si>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</si>
  <si>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</si>
  <si>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</si>
  <si>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</si>
  <si>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</si>
  <si>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</si>
  <si>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</si>
  <si>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</si>
  <si>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</si>
  <si>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</si>
  <si>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</si>
  <si>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</si>
  <si>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</si>
  <si>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</si>
  <si>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</si>
  <si>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</si>
  <si>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</si>
  <si>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</si>
  <si>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</si>
  <si>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</si>
  <si>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</si>
  <si>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</si>
  <si>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</si>
  <si>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</si>
  <si>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</si>
  <si>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</si>
  <si>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</si>
  <si>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</si>
  <si>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</si>
  <si>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</si>
  <si>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</si>
  <si>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</si>
  <si>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</si>
  <si>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</si>
  <si>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</si>
  <si>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</si>
  <si>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</si>
  <si>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</si>
  <si>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</si>
  <si>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</si>
  <si>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</si>
  <si>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</si>
  <si>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</si>
  <si>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</si>
  <si>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</si>
  <si>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</si>
  <si>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</si>
  <si>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</si>
  <si>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</si>
  <si>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</si>
  <si>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</si>
  <si>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</si>
  <si>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</si>
  <si>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</si>
  <si>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</si>
  <si>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</si>
  <si>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</si>
  <si>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</si>
  <si>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</si>
  <si>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</si>
  <si>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</si>
  <si>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</si>
  <si>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</si>
  <si>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</si>
  <si>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</si>
  <si>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</si>
  <si>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</si>
  <si>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</si>
  <si>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</si>
  <si>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</si>
  <si>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</si>
  <si>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</si>
  <si>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</si>
  <si>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</si>
  <si>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</si>
  <si>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</si>
  <si>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</si>
  <si>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</si>
  <si>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</si>
  <si>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</si>
  <si>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</si>
  <si>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</si>
  <si>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</si>
  <si>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</si>
  <si>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</si>
  <si>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</si>
  <si>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</si>
  <si>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</si>
  <si>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</si>
  <si>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</si>
  <si>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</si>
  <si>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</si>
  <si>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</si>
  <si>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</si>
  <si>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</si>
  <si>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</si>
  <si>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</si>
  <si>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</si>
  <si>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</si>
  <si>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</si>
  <si>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</si>
  <si>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</si>
  <si>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</si>
  <si>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</si>
  <si>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</si>
  <si>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</si>
  <si>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</si>
  <si>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</si>
  <si>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</si>
  <si>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</si>
  <si>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</si>
  <si>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</si>
  <si>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</si>
  <si>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</si>
  <si>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</si>
  <si>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</si>
  <si>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</si>
  <si>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</si>
  <si>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</si>
  <si>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</si>
  <si>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</si>
  <si>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</si>
  <si>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</si>
  <si>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</si>
  <si>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</si>
  <si>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</si>
  <si>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</si>
  <si>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</si>
  <si>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</si>
  <si>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</si>
  <si>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</si>
  <si>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</si>
  <si>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</si>
  <si>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</si>
  <si>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</si>
  <si>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</si>
  <si>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</si>
  <si>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</si>
  <si>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</si>
  <si>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</si>
  <si>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</si>
  <si>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</si>
  <si>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</si>
  <si>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</si>
  <si>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</si>
  <si>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</si>
  <si>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</si>
  <si>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</si>
  <si>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</si>
  <si>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</si>
  <si>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</si>
  <si>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</si>
  <si>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</si>
  <si>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</si>
  <si>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</si>
  <si>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</si>
  <si>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</si>
  <si>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</si>
  <si>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</si>
  <si>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</si>
  <si>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</si>
  <si>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</si>
  <si>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</si>
  <si>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</si>
  <si>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</si>
  <si>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</si>
  <si>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</si>
  <si>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</si>
  <si>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</si>
  <si>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</si>
  <si>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</si>
  <si>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</si>
  <si>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</si>
  <si>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</si>
  <si>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</si>
  <si>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</si>
  <si>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</si>
  <si>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</si>
  <si>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</si>
  <si>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</si>
  <si>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</si>
  <si>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</si>
  <si>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</si>
  <si>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</si>
  <si>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</si>
  <si>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</si>
  <si>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</si>
  <si>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</si>
  <si>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</si>
  <si>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</si>
  <si>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</si>
  <si>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</si>
  <si>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</si>
  <si>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</si>
  <si>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</si>
  <si>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</si>
  <si>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</si>
  <si>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</si>
  <si>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</si>
  <si>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</si>
  <si>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</si>
  <si>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</si>
  <si>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</si>
  <si>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</si>
  <si>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</si>
  <si>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</si>
  <si>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</si>
  <si>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</si>
  <si>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</si>
  <si>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</si>
  <si>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</si>
  <si>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</si>
  <si>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</si>
  <si>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</si>
  <si>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</si>
  <si>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</si>
  <si>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</si>
  <si>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</si>
  <si>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</si>
  <si>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</si>
  <si>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</si>
  <si>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</si>
  <si>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</si>
  <si>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</si>
  <si>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</si>
  <si>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</si>
  <si>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</si>
  <si>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</si>
  <si>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</si>
  <si>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</si>
  <si>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</si>
  <si>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</si>
  <si>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</si>
  <si>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</si>
  <si>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</si>
  <si>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</si>
  <si>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</si>
  <si>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</si>
  <si>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</si>
  <si>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</si>
  <si>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</si>
  <si>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</si>
  <si>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</si>
  <si>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</si>
  <si>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</si>
  <si>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</si>
  <si>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</si>
  <si>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</si>
  <si>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</si>
  <si>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</si>
  <si>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</si>
  <si>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</si>
  <si>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</si>
  <si>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</si>
  <si>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</si>
  <si>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</si>
  <si>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</si>
  <si>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</si>
  <si>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</si>
  <si>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</si>
  <si>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</si>
  <si>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</si>
  <si>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</si>
  <si>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</si>
  <si>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</si>
  <si>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</si>
  <si>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</si>
  <si>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</si>
  <si>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</si>
  <si>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</si>
  <si>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</si>
  <si>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</si>
  <si>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</si>
  <si>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</si>
  <si>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</si>
  <si>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</si>
  <si>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</si>
  <si>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</si>
  <si>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</si>
  <si>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</si>
  <si>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</si>
  <si>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</si>
  <si>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</si>
  <si>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</si>
  <si>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</si>
  <si>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</si>
  <si>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</si>
  <si>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</si>
  <si>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</si>
  <si>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</si>
  <si>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</si>
  <si>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</si>
  <si>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</si>
  <si>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</si>
  <si>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</si>
  <si>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</si>
  <si>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</si>
  <si>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</si>
  <si>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</si>
  <si>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</si>
  <si>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</si>
  <si>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</si>
  <si>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</si>
  <si>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</si>
  <si>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</si>
  <si>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</si>
  <si>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</si>
  <si>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</si>
  <si>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</si>
  <si>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</si>
  <si>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</si>
  <si>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</si>
  <si>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</si>
  <si>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</si>
  <si>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</si>
  <si>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</si>
  <si>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</si>
  <si>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</si>
  <si>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</si>
  <si>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</si>
  <si>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</si>
  <si>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</si>
  <si>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</si>
  <si>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</si>
  <si>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</si>
  <si>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</si>
  <si>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</si>
  <si>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</si>
  <si>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</si>
  <si>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</si>
  <si>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</si>
  <si>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</si>
  <si>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</si>
  <si>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</si>
  <si>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</si>
  <si>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</si>
  <si>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</si>
  <si>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</si>
  <si>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</si>
  <si>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</si>
  <si>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</si>
  <si>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</si>
  <si>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</si>
  <si>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</si>
  <si>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</si>
  <si>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</si>
  <si>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</si>
  <si>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</si>
  <si>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</si>
  <si>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</si>
  <si>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</si>
  <si>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</si>
  <si>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</si>
  <si>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</si>
  <si>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</si>
  <si>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</si>
  <si>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</si>
  <si>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</si>
  <si>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</si>
  <si>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</si>
  <si>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</si>
  <si>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</si>
  <si>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</si>
  <si>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</si>
  <si>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</si>
  <si>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</si>
  <si>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</si>
  <si>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</si>
  <si>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</si>
  <si>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</si>
  <si>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</si>
  <si>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</si>
  <si>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</si>
  <si>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</si>
  <si>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</si>
  <si>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</si>
  <si>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</si>
  <si>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</si>
  <si>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</si>
  <si>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</si>
  <si>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</si>
  <si>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</si>
  <si>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</si>
  <si>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</si>
  <si>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</si>
  <si>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</si>
  <si>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</si>
  <si>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</si>
  <si>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</si>
  <si>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</si>
  <si>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</si>
  <si>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</si>
  <si>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</si>
  <si>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</si>
  <si>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</si>
  <si>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</si>
  <si>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</si>
  <si>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</si>
  <si>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</si>
  <si>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</si>
  <si>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</si>
  <si>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</si>
  <si>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</si>
  <si>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</si>
  <si>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</si>
  <si>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</si>
  <si>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</si>
  <si>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</si>
  <si>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</si>
  <si>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</si>
  <si>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</si>
  <si>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</si>
  <si>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</si>
  <si>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</si>
  <si>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</si>
  <si>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</si>
  <si>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</si>
  <si>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</si>
  <si>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</si>
  <si>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</si>
  <si>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</si>
  <si>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</si>
  <si>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</si>
  <si>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</si>
  <si>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</si>
  <si>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</si>
  <si>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</si>
  <si>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</si>
  <si>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</si>
  <si>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</si>
  <si>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</si>
  <si>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</si>
  <si>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</si>
  <si>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</si>
  <si>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</si>
  <si>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</si>
  <si>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</si>
  <si>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</si>
  <si>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</si>
  <si>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</si>
  <si>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</si>
  <si>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</si>
  <si>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</si>
  <si>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</si>
  <si>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</si>
  <si>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</si>
  <si>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</si>
  <si>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</si>
  <si>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</si>
  <si>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</si>
  <si>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</si>
  <si>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</si>
  <si>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</si>
  <si>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</si>
  <si>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</si>
  <si>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</si>
  <si>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</si>
  <si>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</si>
  <si>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</si>
  <si>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</si>
  <si>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</si>
  <si>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</si>
  <si>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</si>
  <si>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</si>
  <si>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</si>
  <si>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</si>
  <si>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</si>
  <si>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</si>
  <si>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</si>
  <si>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</si>
  <si>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</si>
  <si>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</si>
  <si>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</si>
  <si>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</si>
  <si>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</si>
  <si>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</si>
  <si>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</si>
  <si>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</si>
  <si>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</si>
  <si>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</si>
  <si>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</si>
  <si>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</si>
  <si>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</si>
  <si>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</si>
  <si>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</si>
  <si>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</si>
  <si>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</si>
  <si>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</si>
  <si>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</si>
  <si>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</si>
  <si>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</si>
  <si>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</si>
  <si>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</si>
  <si>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</si>
  <si>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</si>
  <si>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</si>
  <si>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</si>
  <si>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</si>
  <si>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</si>
  <si>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</si>
  <si>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</si>
  <si>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</si>
  <si>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</si>
  <si>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</si>
  <si>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</si>
  <si>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</si>
  <si>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</si>
  <si>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</si>
  <si>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</si>
  <si>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</si>
  <si>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</si>
  <si>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</si>
  <si>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</si>
  <si>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</si>
  <si>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</si>
  <si>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</si>
  <si>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</si>
  <si>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</si>
  <si>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</si>
  <si>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</si>
  <si>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</si>
  <si>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</si>
  <si>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</si>
  <si>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</si>
  <si>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</si>
  <si>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</si>
  <si>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</si>
  <si>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</si>
  <si>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</si>
  <si>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</si>
  <si>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</si>
  <si>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</si>
  <si>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</si>
  <si>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</si>
  <si>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</si>
  <si>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</si>
  <si>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</si>
  <si>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</si>
  <si>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</si>
  <si>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</si>
  <si>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</si>
  <si>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</si>
  <si>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</si>
  <si>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</si>
  <si>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</si>
  <si>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</si>
  <si>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</si>
  <si>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</si>
  <si>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</si>
  <si>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</si>
  <si>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</si>
  <si>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</si>
  <si>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</si>
  <si>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</si>
  <si>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</si>
  <si>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</si>
  <si>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</si>
  <si>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</si>
  <si>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</si>
  <si>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</si>
  <si>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</si>
  <si>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</si>
  <si>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</si>
  <si>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</si>
  <si>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</si>
  <si>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</si>
  <si>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</si>
  <si>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</si>
  <si>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</si>
  <si>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</si>
  <si>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</si>
  <si>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</si>
  <si>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</si>
  <si>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</si>
  <si>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</si>
  <si>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</si>
  <si>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</si>
  <si>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</si>
  <si>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</si>
  <si>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</si>
  <si>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</si>
  <si>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</si>
  <si>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</si>
  <si>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</si>
  <si>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</si>
  <si>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</si>
  <si>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</si>
  <si>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</si>
  <si>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</si>
  <si>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</si>
  <si>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</si>
  <si>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</si>
  <si>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</si>
  <si>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</si>
  <si>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</si>
  <si>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</si>
  <si>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</si>
  <si>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</si>
  <si>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</si>
  <si>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</si>
  <si>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</si>
  <si>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</si>
  <si>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</si>
  <si>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</si>
  <si>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</si>
  <si>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</si>
  <si>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</si>
  <si>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</si>
  <si>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</si>
  <si>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</si>
  <si>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</si>
  <si>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</si>
  <si>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</si>
  <si>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</si>
  <si>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</si>
  <si>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</si>
  <si>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</si>
  <si>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</si>
  <si>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</si>
  <si>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</si>
  <si>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</si>
  <si>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</si>
  <si>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</si>
  <si>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</si>
  <si>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</si>
  <si>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</si>
  <si>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</si>
  <si>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</si>
  <si>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</si>
  <si>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</si>
  <si>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</si>
  <si>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</si>
  <si>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</si>
  <si>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</si>
  <si>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</si>
  <si>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</si>
  <si>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</si>
  <si>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</si>
  <si>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</si>
  <si>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</si>
  <si>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</si>
  <si>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</si>
  <si>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</si>
  <si>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</si>
  <si>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</si>
  <si>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</si>
  <si>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</si>
  <si>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</si>
  <si>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</si>
  <si>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</si>
  <si>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</si>
  <si>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</si>
  <si>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</si>
  <si>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</si>
  <si>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</si>
  <si>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</si>
  <si>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</si>
  <si>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</si>
  <si>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</si>
  <si>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</si>
  <si>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</si>
  <si>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</si>
  <si>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</si>
  <si>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</si>
  <si>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</si>
  <si>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</si>
  <si>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</si>
  <si>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</si>
  <si>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</si>
  <si>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</si>
  <si>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</si>
  <si>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</si>
  <si>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</si>
  <si>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</si>
  <si>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</si>
  <si>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</si>
  <si>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</si>
  <si>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</si>
  <si>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</si>
  <si>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</si>
  <si>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</si>
  <si>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</si>
  <si>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</si>
  <si>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</si>
  <si>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</si>
  <si>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</si>
  <si>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</si>
  <si>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</si>
  <si>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</si>
  <si>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</si>
  <si>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</si>
  <si>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</si>
  <si>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</si>
  <si>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</si>
  <si>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</si>
  <si>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</si>
  <si>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</si>
  <si>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</si>
  <si>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</si>
  <si>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</si>
  <si>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</si>
  <si>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</si>
  <si>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</si>
  <si>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</si>
  <si>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</si>
  <si>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</si>
  <si>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</si>
  <si>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</si>
  <si>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</si>
  <si>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</si>
  <si>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</si>
  <si>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</si>
  <si>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</si>
  <si>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</si>
  <si>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</si>
  <si>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</si>
  <si>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</si>
  <si>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</si>
  <si>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</si>
  <si>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</si>
  <si>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</si>
  <si>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</si>
  <si>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</si>
  <si>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</si>
  <si>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</si>
  <si>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</si>
  <si>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</si>
  <si>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</si>
  <si>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</si>
  <si>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</si>
  <si>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</si>
  <si>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</si>
  <si>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</si>
  <si>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</si>
  <si>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</si>
  <si>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</si>
  <si>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</si>
  <si>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</si>
  <si>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</si>
  <si>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</si>
  <si>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</si>
  <si>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</si>
  <si>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</si>
  <si>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</si>
  <si>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</si>
  <si>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</si>
  <si>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</si>
  <si>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</si>
  <si>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</si>
  <si>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</si>
  <si>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</si>
  <si>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</si>
  <si>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</si>
  <si>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</si>
  <si>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</si>
  <si>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</si>
  <si>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</si>
  <si>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</si>
  <si>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</si>
  <si>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</si>
  <si>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</si>
  <si>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</si>
  <si>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</si>
  <si>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</si>
  <si>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</si>
  <si>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</si>
  <si>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</si>
  <si>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</si>
  <si>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</si>
  <si>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</si>
  <si>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</si>
  <si>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</si>
  <si>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</si>
  <si>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</si>
  <si>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</si>
  <si>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</si>
  <si>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</si>
  <si>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</si>
  <si>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</si>
  <si>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</si>
  <si>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</si>
  <si>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</si>
  <si>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</si>
  <si>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</si>
  <si>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</si>
  <si>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</si>
  <si>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</si>
  <si>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</si>
  <si>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</si>
  <si>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</si>
  <si>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</si>
  <si>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</si>
  <si>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</si>
  <si>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</si>
  <si>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</si>
  <si>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</si>
  <si>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</si>
  <si>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</si>
  <si>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</si>
  <si>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</si>
  <si>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</si>
  <si>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</si>
  <si>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</si>
  <si>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</si>
  <si>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</si>
  <si>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</si>
  <si>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</si>
  <si>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</si>
  <si>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</si>
  <si>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</si>
  <si>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</si>
  <si>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</si>
  <si>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</si>
  <si>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</si>
  <si>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</si>
  <si>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</si>
  <si>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</si>
  <si>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</si>
  <si>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</si>
  <si>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</si>
  <si>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</si>
  <si>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</si>
  <si>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</si>
  <si>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</si>
  <si>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</si>
  <si>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</si>
  <si>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</si>
  <si>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</si>
  <si>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</si>
  <si>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</si>
  <si>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</si>
  <si>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</si>
  <si>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</si>
  <si>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</si>
  <si>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</si>
  <si>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</si>
  <si>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</si>
  <si>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</si>
  <si>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</si>
  <si>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</si>
  <si>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</si>
  <si>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</si>
  <si>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</si>
  <si>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</si>
  <si>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</si>
  <si>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</si>
  <si>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</si>
  <si>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</si>
  <si>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</si>
  <si>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</si>
  <si>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</si>
  <si>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</si>
  <si>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</si>
  <si>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</si>
  <si>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</si>
  <si>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</si>
  <si>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</si>
  <si>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</si>
  <si>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</si>
  <si>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</si>
  <si>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</si>
  <si>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</si>
  <si>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</si>
  <si>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</si>
  <si>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</si>
  <si>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</si>
  <si>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</si>
  <si>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</si>
  <si>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</si>
  <si>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</si>
  <si>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</si>
  <si>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</si>
  <si>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</si>
  <si>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</si>
  <si>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</si>
  <si>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</si>
  <si>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</si>
  <si>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</si>
  <si>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</si>
  <si>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</si>
  <si>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</si>
  <si>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</si>
  <si>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</si>
  <si>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</si>
  <si>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</si>
  <si>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</si>
  <si>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</si>
  <si>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</si>
  <si>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</si>
  <si>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</si>
  <si>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</si>
  <si>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</si>
  <si>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</si>
  <si>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</si>
  <si>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</si>
  <si>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</si>
  <si>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</si>
  <si>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</si>
  <si>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</si>
  <si>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</si>
  <si>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</si>
  <si>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</si>
  <si>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</si>
  <si>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</si>
  <si>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</si>
  <si>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</si>
  <si>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</si>
  <si>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</si>
  <si>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</si>
  <si>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</si>
  <si>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</si>
  <si>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</si>
  <si>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</si>
  <si>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</si>
  <si>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</si>
  <si>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</si>
  <si>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</si>
  <si>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</si>
  <si>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</si>
  <si>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</si>
  <si>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</si>
  <si>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</si>
  <si>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</si>
  <si>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</si>
  <si>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</si>
  <si>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</si>
  <si>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</si>
  <si>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</si>
  <si>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</si>
  <si>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</si>
  <si>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</si>
  <si>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</si>
  <si>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</si>
  <si>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</si>
  <si>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</si>
  <si>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</si>
  <si>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</si>
  <si>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</si>
  <si>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</si>
  <si>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</si>
  <si>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</si>
  <si>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</si>
  <si>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</si>
  <si>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</si>
  <si>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</si>
  <si>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</si>
  <si>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</si>
  <si>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</si>
  <si>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</si>
  <si>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</si>
  <si>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</si>
  <si>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</si>
  <si>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</si>
  <si>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</si>
  <si>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</si>
  <si>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</si>
  <si>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</si>
  <si>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</si>
  <si>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</si>
  <si>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</si>
  <si>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</si>
  <si>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</si>
  <si>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</si>
  <si>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</si>
  <si>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</si>
  <si>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</si>
  <si>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</si>
  <si>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</si>
  <si>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</si>
  <si>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</si>
  <si>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</si>
  <si>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</si>
  <si>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</si>
  <si>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</si>
  <si>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</si>
  <si>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</si>
  <si>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</si>
  <si>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</si>
  <si>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</si>
  <si>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</si>
  <si>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</si>
  <si>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</si>
  <si>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</si>
  <si>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</si>
  <si>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</si>
  <si>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</si>
  <si>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</si>
  <si>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</si>
  <si>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</si>
  <si>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</si>
  <si>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</si>
  <si>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</si>
  <si>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</si>
  <si>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</si>
  <si>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</si>
  <si>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</si>
  <si>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</si>
  <si>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</si>
  <si>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</si>
  <si>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</si>
  <si>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</si>
  <si>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</si>
  <si>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</si>
  <si>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</si>
  <si>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</si>
  <si>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</si>
  <si>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</si>
  <si>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</si>
  <si>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</si>
  <si>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</si>
  <si>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</si>
  <si>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</si>
  <si>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</si>
  <si>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</si>
  <si>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</si>
  <si>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</si>
  <si>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</si>
  <si>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</si>
  <si>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</si>
  <si>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</si>
  <si>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</si>
  <si>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</si>
  <si>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</si>
  <si>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</si>
  <si>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</si>
  <si>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</si>
  <si>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</si>
  <si>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</si>
  <si>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</si>
  <si>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</si>
  <si>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</si>
  <si>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</si>
  <si>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</si>
  <si>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</si>
  <si>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</si>
  <si>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</si>
  <si>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</si>
  <si>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</si>
  <si>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</si>
  <si>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</si>
  <si>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</si>
  <si>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</si>
  <si>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</si>
  <si>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</si>
  <si>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</si>
  <si>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</si>
  <si>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</si>
  <si>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</si>
  <si>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</si>
  <si>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</si>
  <si>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</si>
  <si>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</si>
  <si>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</si>
  <si>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</si>
  <si>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</si>
  <si>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</si>
  <si>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</si>
  <si>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</si>
  <si>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</si>
  <si>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</si>
  <si>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</si>
  <si>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</si>
  <si>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</si>
  <si>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</si>
  <si>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</si>
  <si>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</si>
  <si>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</si>
  <si>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</si>
  <si>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</si>
  <si>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</si>
  <si>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</si>
  <si>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</si>
  <si>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</si>
  <si>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</si>
  <si>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</si>
  <si>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</si>
  <si>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</si>
  <si>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</si>
  <si>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</si>
  <si>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</si>
  <si>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</si>
  <si>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</si>
  <si>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</si>
  <si>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</si>
  <si>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</si>
  <si>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</si>
  <si>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</si>
  <si>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</si>
  <si>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</si>
  <si>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</si>
  <si>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</si>
  <si>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</si>
  <si>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</si>
  <si>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</si>
  <si>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</si>
  <si>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</si>
  <si>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</si>
  <si>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</si>
  <si>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</si>
  <si>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</si>
  <si>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</si>
  <si>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</si>
  <si>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</si>
  <si>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</si>
  <si>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</si>
  <si>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</si>
  <si>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</si>
  <si>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</si>
  <si>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</si>
  <si>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</si>
  <si>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</si>
  <si>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</si>
  <si>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</si>
  <si>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</si>
  <si>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</si>
  <si>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</si>
  <si>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</si>
  <si>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</si>
  <si>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</si>
  <si>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</si>
  <si>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</si>
  <si>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</si>
  <si>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</si>
  <si>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</si>
  <si>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</si>
  <si>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</si>
  <si>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</si>
  <si>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</si>
  <si>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</si>
  <si>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</si>
  <si>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</si>
  <si>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</si>
  <si>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</si>
  <si>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</si>
  <si>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</si>
  <si>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</si>
  <si>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</si>
  <si>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</si>
  <si>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</si>
  <si>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</si>
  <si>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</si>
  <si>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</si>
  <si>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</si>
  <si>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</si>
  <si>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</si>
  <si>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</si>
  <si>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</si>
  <si>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</si>
  <si>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</si>
  <si>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</si>
  <si>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</si>
  <si>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</si>
  <si>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</si>
  <si>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</si>
  <si>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</si>
  <si>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</si>
  <si>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</si>
  <si>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</si>
  <si>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</si>
  <si>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</si>
  <si>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</si>
  <si>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</si>
  <si>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</si>
  <si>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</si>
  <si>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</si>
  <si>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</si>
  <si>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</si>
  <si>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</si>
  <si>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</si>
  <si>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</si>
  <si>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</si>
  <si>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</si>
  <si>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</si>
  <si>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</si>
  <si>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</si>
  <si>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</si>
  <si>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</si>
  <si>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</si>
  <si>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</si>
  <si>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</si>
  <si>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</si>
  <si>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</si>
  <si>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</si>
  <si>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</si>
  <si>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</si>
  <si>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</si>
  <si>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</si>
  <si>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</si>
  <si>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</si>
  <si>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</si>
  <si>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</si>
  <si>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</si>
  <si>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</si>
  <si>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</si>
  <si>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</si>
  <si>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</si>
  <si>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</si>
  <si>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</si>
  <si>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</si>
  <si>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</si>
  <si>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</si>
  <si>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</si>
  <si>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</si>
  <si>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</si>
  <si>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</si>
  <si>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</si>
  <si>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</si>
  <si>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</si>
  <si>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</si>
  <si>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</si>
  <si>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</si>
  <si>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</si>
  <si>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</si>
  <si>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</si>
  <si>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</si>
  <si>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</si>
  <si>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</si>
  <si>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</si>
  <si>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</si>
  <si>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</si>
  <si>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</si>
  <si>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</si>
  <si>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</si>
  <si>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</si>
  <si>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</si>
  <si>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</si>
  <si>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</si>
  <si>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</si>
  <si>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</si>
  <si>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</si>
  <si>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</si>
  <si>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</si>
  <si>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</si>
  <si>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</si>
  <si>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</si>
  <si>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</si>
  <si>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</si>
  <si>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</si>
  <si>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</si>
  <si>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</si>
  <si>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</si>
  <si>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</si>
  <si>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</si>
  <si>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</si>
  <si>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</si>
  <si>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</si>
  <si>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</si>
  <si>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</si>
  <si>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</si>
  <si>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</si>
  <si>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</si>
  <si>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</si>
  <si>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</si>
  <si>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</si>
  <si>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</si>
  <si>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</si>
  <si>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</si>
  <si>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</si>
  <si>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</si>
  <si>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</si>
  <si>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</si>
  <si>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</si>
  <si>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</si>
  <si>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</si>
  <si>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</si>
  <si>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</si>
  <si>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</si>
  <si>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</si>
  <si>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</si>
  <si>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</si>
  <si>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</si>
  <si>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</si>
  <si>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</si>
  <si>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</si>
  <si>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</si>
  <si>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</si>
  <si>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</si>
  <si>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</si>
  <si>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</si>
  <si>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</si>
  <si>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</si>
  <si>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</si>
  <si>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</si>
  <si>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</si>
  <si>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</si>
  <si>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</si>
  <si>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</si>
  <si>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</si>
  <si>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</si>
  <si>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</si>
  <si>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</si>
  <si>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</si>
  <si>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</si>
  <si>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</si>
  <si>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</si>
  <si>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</si>
  <si>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</si>
  <si>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</si>
  <si>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</si>
  <si>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</si>
  <si>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</si>
  <si>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</si>
  <si>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</si>
  <si>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</si>
  <si>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</si>
  <si>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</si>
  <si>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</si>
  <si>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</si>
  <si>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</si>
  <si>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</si>
  <si>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</si>
  <si>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</si>
  <si>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</si>
  <si>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</si>
  <si>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</si>
  <si>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</si>
  <si>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</si>
  <si>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</si>
  <si>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</si>
  <si>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</si>
  <si>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</si>
  <si>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</si>
  <si>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</si>
  <si>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</si>
  <si>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</si>
  <si>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</si>
  <si>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</si>
  <si>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</si>
  <si>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</si>
  <si>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</si>
  <si>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</si>
  <si>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</si>
  <si>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</si>
  <si>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</si>
  <si>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</si>
  <si>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</si>
  <si>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</si>
  <si>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</si>
  <si>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</si>
  <si>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</si>
  <si>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</si>
  <si>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</si>
  <si>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</si>
  <si>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</si>
  <si>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</si>
  <si>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</si>
  <si>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</si>
  <si>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</si>
  <si>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</si>
  <si>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</si>
  <si>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</si>
  <si>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</si>
  <si>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</si>
  <si>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</si>
  <si>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</si>
  <si>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</si>
  <si>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</si>
  <si>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</si>
  <si>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</si>
  <si>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</si>
  <si>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</si>
  <si>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</si>
  <si>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</si>
  <si>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</si>
  <si>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</si>
  <si>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</si>
  <si>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</si>
  <si>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</si>
  <si>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</si>
  <si>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</si>
  <si>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</si>
  <si>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</si>
  <si>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</si>
  <si>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</si>
  <si>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</si>
  <si>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</si>
  <si>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</si>
  <si>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</si>
  <si>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</si>
  <si>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</si>
  <si>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</si>
  <si>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</si>
  <si>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</si>
  <si>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</si>
  <si>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</si>
  <si>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</si>
  <si>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</si>
  <si>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</si>
  <si>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</si>
  <si>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</si>
  <si>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</si>
  <si>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</si>
  <si>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</si>
  <si>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</si>
  <si>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</si>
  <si>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</si>
  <si>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</si>
  <si>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</si>
  <si>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</si>
  <si>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</si>
  <si>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</si>
  <si>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</si>
  <si>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</si>
  <si>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</si>
  <si>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</si>
  <si>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</si>
  <si>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</si>
  <si>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</si>
  <si>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</si>
  <si>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</si>
  <si>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</si>
  <si>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</si>
  <si>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</si>
  <si>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</si>
  <si>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</si>
  <si>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</si>
  <si>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</si>
  <si>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</si>
  <si>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</si>
  <si>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</si>
  <si>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</si>
  <si>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</si>
  <si>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</si>
  <si>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</si>
  <si>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</si>
  <si>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</si>
  <si>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</si>
  <si>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</si>
  <si>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</si>
  <si>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</si>
  <si>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</si>
  <si>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</si>
  <si>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</si>
  <si>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</si>
  <si>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</si>
  <si>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</si>
  <si>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</si>
  <si>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</si>
  <si>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</si>
  <si>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</si>
  <si>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</si>
  <si>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</si>
  <si>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</si>
  <si>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</si>
  <si>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</si>
  <si>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</si>
  <si>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</si>
  <si>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</si>
  <si>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</si>
  <si>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</si>
  <si>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</si>
  <si>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</si>
  <si>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</si>
  <si>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</si>
  <si>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</si>
  <si>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</si>
  <si>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</si>
  <si>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</si>
  <si>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</si>
  <si>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</si>
  <si>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</si>
  <si>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</si>
  <si>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</si>
  <si>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</si>
  <si>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</si>
  <si>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</si>
  <si>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</si>
  <si>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</si>
  <si>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</si>
  <si>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</si>
  <si>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</si>
  <si>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</si>
  <si>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</si>
  <si>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</si>
  <si>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</si>
  <si>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</si>
  <si>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</si>
  <si>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</si>
  <si>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</si>
  <si>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</si>
  <si>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</si>
  <si>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</si>
  <si>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</si>
  <si>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</si>
  <si>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</si>
  <si>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</si>
  <si>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</si>
  <si>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</si>
  <si>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</si>
  <si>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</si>
  <si>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</si>
  <si>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</si>
  <si>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</si>
  <si>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</si>
  <si>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</si>
  <si>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</si>
  <si>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</si>
  <si>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</si>
  <si>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</si>
  <si>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</si>
  <si>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</si>
  <si>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</si>
  <si>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</si>
  <si>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</si>
  <si>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</si>
  <si>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</si>
  <si>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</si>
  <si>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</si>
  <si>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</si>
  <si>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</si>
  <si>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</si>
  <si>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</si>
  <si>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</si>
  <si>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</si>
  <si>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</si>
  <si>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</si>
  <si>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</si>
  <si>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</si>
  <si>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</si>
  <si>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</si>
  <si>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</si>
  <si>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</si>
  <si>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</si>
  <si>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</si>
  <si>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</si>
  <si>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</si>
  <si>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</si>
  <si>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</si>
  <si>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</si>
  <si>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</si>
  <si>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</si>
  <si>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</si>
  <si>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</si>
  <si>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</si>
  <si>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</si>
  <si>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</si>
  <si>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</si>
  <si>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</si>
  <si>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</si>
  <si>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</si>
  <si>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</si>
  <si>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</si>
  <si>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</si>
  <si>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</si>
  <si>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</si>
  <si>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</si>
  <si>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</si>
  <si>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</si>
  <si>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</si>
  <si>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</si>
  <si>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</si>
  <si>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</si>
  <si>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</si>
  <si>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</si>
  <si>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</si>
  <si>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</si>
  <si>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</si>
  <si>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</si>
  <si>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</si>
  <si>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</si>
  <si>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</si>
  <si>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</si>
  <si>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</si>
  <si>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</si>
  <si>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</si>
  <si>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</si>
  <si>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</si>
  <si>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</si>
  <si>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</si>
  <si>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</si>
  <si>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</si>
  <si>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</si>
  <si>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</si>
  <si>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</si>
  <si>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</si>
  <si>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</si>
  <si>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</si>
  <si>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</si>
  <si>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</si>
  <si>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</si>
  <si>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</si>
  <si>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</si>
  <si>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</si>
  <si>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</si>
  <si>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</si>
  <si>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</si>
  <si>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</si>
  <si>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</si>
  <si>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</si>
  <si>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</si>
  <si>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</si>
  <si>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</si>
  <si>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</si>
  <si>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</si>
  <si>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</si>
  <si>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</si>
  <si>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</si>
  <si>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</si>
  <si>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</si>
  <si>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</si>
  <si>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</si>
  <si>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</si>
  <si>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</si>
  <si>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</si>
  <si>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</si>
  <si>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</si>
  <si>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</si>
  <si>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</si>
  <si>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</si>
  <si>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</si>
  <si>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</si>
  <si>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</si>
  <si>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</si>
  <si>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</si>
  <si>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</si>
  <si>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</si>
  <si>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</si>
  <si>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</si>
  <si>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</si>
  <si>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</si>
  <si>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</si>
  <si>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</si>
  <si>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</si>
  <si>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</si>
  <si>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</si>
  <si>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</si>
  <si>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</si>
  <si>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</si>
  <si>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</si>
  <si>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</si>
  <si>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</si>
  <si>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</si>
  <si>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</si>
  <si>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</si>
  <si>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</si>
  <si>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</si>
  <si>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</si>
  <si>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</si>
  <si>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</si>
  <si>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</si>
  <si>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</si>
  <si>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</si>
  <si>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</si>
  <si>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</si>
  <si>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</si>
  <si>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</si>
  <si>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</si>
  <si>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</si>
  <si>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</si>
  <si>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</si>
  <si>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</si>
  <si>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</si>
  <si>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</si>
  <si>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</si>
  <si>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</si>
  <si>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</si>
  <si>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</si>
  <si>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</si>
  <si>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</si>
  <si>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</si>
  <si>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</si>
  <si>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</si>
  <si>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</si>
  <si>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</si>
  <si>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</si>
  <si>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</si>
  <si>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</si>
  <si>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</si>
  <si>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</si>
  <si>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</si>
  <si>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</si>
  <si>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</si>
  <si>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</si>
  <si>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</si>
  <si>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</si>
  <si>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</si>
  <si>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</si>
  <si>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</si>
  <si>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</si>
  <si>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</si>
  <si>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</si>
  <si>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</si>
  <si>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</si>
  <si>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</si>
  <si>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</si>
  <si>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</si>
  <si>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</si>
  <si>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</si>
  <si>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</si>
  <si>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</si>
  <si>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</si>
  <si>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</si>
  <si>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</si>
  <si>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</si>
  <si>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</si>
  <si>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</si>
  <si>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</si>
  <si>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</si>
  <si>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</si>
  <si>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</si>
  <si>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</si>
  <si>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</si>
  <si>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</si>
  <si>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</si>
  <si>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</si>
  <si>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</si>
  <si>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</si>
  <si>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</si>
  <si>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</si>
  <si>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</si>
  <si>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</si>
  <si>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</si>
  <si>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</si>
  <si>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</si>
  <si>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</si>
  <si>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</si>
  <si>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</si>
  <si>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</si>
  <si>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</si>
  <si>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</si>
  <si>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</si>
  <si>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</si>
  <si>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</si>
  <si>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</si>
  <si>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</si>
  <si>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</si>
  <si>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</si>
  <si>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</si>
  <si>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</si>
  <si>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</si>
  <si>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</si>
  <si>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</si>
  <si>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</si>
  <si>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</si>
  <si>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</si>
  <si>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</si>
  <si>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</si>
  <si>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</si>
  <si>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</si>
  <si>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</si>
  <si>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</si>
  <si>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</si>
  <si>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</si>
  <si>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</si>
  <si>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</si>
  <si>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</si>
  <si>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</si>
  <si>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</si>
  <si>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</si>
  <si>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</si>
  <si>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</si>
  <si>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</si>
  <si>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</si>
  <si>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</si>
  <si>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</si>
  <si>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</si>
  <si>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</si>
  <si>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</si>
  <si>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</si>
  <si>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</si>
  <si>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</si>
  <si>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</si>
  <si>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</si>
  <si>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</si>
  <si>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</si>
  <si>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</si>
  <si>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</si>
  <si>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</si>
  <si>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</si>
  <si>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</si>
  <si>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</si>
  <si>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</si>
  <si>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</si>
  <si>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 xml:space="preserve">Goal </t>
  </si>
  <si>
    <t>Pledged</t>
  </si>
  <si>
    <t>Successful</t>
  </si>
  <si>
    <t>Fail</t>
  </si>
  <si>
    <t xml:space="preserve">Mean Goal </t>
  </si>
  <si>
    <t xml:space="preserve">Median Goal </t>
  </si>
  <si>
    <t>Mean Pledged</t>
  </si>
  <si>
    <t xml:space="preserve">Median Pledged </t>
  </si>
  <si>
    <t xml:space="preserve">Upper Quartile of Goal </t>
  </si>
  <si>
    <t>Lower Quartile of Goal</t>
  </si>
  <si>
    <t xml:space="preserve">IQR of Goal </t>
  </si>
  <si>
    <t>Standard Deviation of Pledged</t>
  </si>
  <si>
    <t xml:space="preserve">Upper Quartile of Pledged </t>
  </si>
  <si>
    <t>Lower Quartile of Pledged</t>
  </si>
  <si>
    <t>IQR of Pledged</t>
  </si>
  <si>
    <t xml:space="preserve">Standard Devitation of Goal </t>
  </si>
  <si>
    <t>Years</t>
  </si>
  <si>
    <t>Numbers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</si>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</sst>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 applyFont="1"/>
    <xf numFmtId="166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4">
    <dxf>
      <numFmt numFmtId="27" formatCode="dd/mm/yy\ h:mm"/>
    </dxf>
    <dxf>
      <numFmt numFmtId="27" formatCode="dd/mm/yy\ h:mm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Categories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2-5B4D-8293-549FD04212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2-5B4D-8293-549FD04212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2-5B4D-8293-549FD04212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52-5B4D-8293-549FD042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440816"/>
        <c:axId val="448442464"/>
      </c:barChart>
      <c:catAx>
        <c:axId val="4484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2464"/>
        <c:crosses val="autoZero"/>
        <c:auto val="1"/>
        <c:lblAlgn val="ctr"/>
        <c:lblOffset val="100"/>
        <c:noMultiLvlLbl val="0"/>
      </c:catAx>
      <c:valAx>
        <c:axId val="4484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BE4D-B81F-42F0CBF36E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55-BE4D-B81F-42F0CBF36E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55-BE4D-B81F-42F0CBF3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976944"/>
        <c:axId val="458978592"/>
      </c:barChart>
      <c:catAx>
        <c:axId val="4589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8592"/>
        <c:crosses val="autoZero"/>
        <c:auto val="1"/>
        <c:lblAlgn val="ctr"/>
        <c:lblOffset val="100"/>
        <c:noMultiLvlLbl val="0"/>
      </c:catAx>
      <c:valAx>
        <c:axId val="4589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93378728326739E-2"/>
          <c:y val="1.3478575914207043E-2"/>
          <c:w val="0.80215477238967836"/>
          <c:h val="0.9160778706342688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0-6F40-B0C4-7F830F8C96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10-6F40-B0C4-7F830F8C96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10-6F40-B0C4-7F830F8C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396271"/>
        <c:axId val="10192288"/>
      </c:lineChart>
      <c:catAx>
        <c:axId val="21373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92288"/>
        <c:crosses val="autoZero"/>
        <c:auto val="1"/>
        <c:lblAlgn val="ctr"/>
        <c:lblOffset val="100"/>
        <c:noMultiLvlLbl val="0"/>
      </c:catAx>
      <c:valAx>
        <c:axId val="101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739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Theater Outcomes vs Launch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12305056860373E-2"/>
          <c:y val="0.16763240554446501"/>
          <c:w val="0.76357211068350894"/>
          <c:h val="0.7599134990692838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C-9448-B6C9-5C6ADCD83C3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EC-9448-B6C9-5C6ADCD83C3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EC-9448-B6C9-5C6ADCD83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47904"/>
        <c:axId val="96350400"/>
      </c:lineChart>
      <c:catAx>
        <c:axId val="8784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350400"/>
        <c:crosses val="autoZero"/>
        <c:auto val="1"/>
        <c:lblAlgn val="ctr"/>
        <c:lblOffset val="100"/>
        <c:noMultiLvlLbl val="0"/>
      </c:catAx>
      <c:valAx>
        <c:axId val="9635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84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7-334E-A8ED-E588E0FFE1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7-334E-A8ED-E588E0FFE1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7-334E-A8ED-E588E0FFE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07231"/>
        <c:axId val="1900609535"/>
      </c:lineChart>
      <c:catAx>
        <c:axId val="190060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0609535"/>
        <c:crosses val="autoZero"/>
        <c:auto val="1"/>
        <c:lblAlgn val="ctr"/>
        <c:lblOffset val="100"/>
        <c:noMultiLvlLbl val="0"/>
      </c:catAx>
      <c:valAx>
        <c:axId val="190060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060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9A7BD7B-4C1F-4244-A274-184F26308358}">
          <cx:tx>
            <cx:txData>
              <cx:f>_xlchart.v1.4</cx:f>
              <cx:v> goal 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CCB088-18BC-2247-ADC9-EB7A85643970}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E46402-8661-904C-BBFF-B785A947E0FE}">
  <sheetPr/>
  <sheetViews>
    <sheetView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317049</xdr:colOff>
      <xdr:row>4</xdr:row>
      <xdr:rowOff>6484</xdr:rowOff>
    </xdr:from>
    <xdr:to>
      <xdr:col>14</xdr:col>
      <xdr:colOff>297233</xdr:colOff>
      <xdr:row>25</xdr:row>
      <xdr:rowOff>117092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07EE10-CB89-B344-A046-CA5A94A42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8</xdr:row>
      <xdr:rowOff>12700</xdr:rowOff>
    </xdr:from>
    <xdr:to>
      <xdr:col>19</xdr:col>
      <xdr:colOff>622300</xdr:colOff>
      <xdr:row>47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C00E63-192C-D442-8515-59734792C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2</xdr:row>
      <xdr:rowOff>44450</xdr:rowOff>
    </xdr:from>
    <xdr:to>
      <xdr:col>17</xdr:col>
      <xdr:colOff>139700</xdr:colOff>
      <xdr:row>29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81269C-608C-D24C-933A-4B957FA2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975BE77-3C50-5545-965C-CE3D5F82AB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7211ED8C-7181-7D45-B054-8883002960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504471</xdr:colOff>
      <xdr:row>3</xdr:row>
      <xdr:rowOff>78316</xdr:rowOff>
    </xdr:from>
    <xdr:to>
      <xdr:col>12</xdr:col>
      <xdr:colOff>818444</xdr:colOff>
      <xdr:row>20</xdr:row>
      <xdr:rowOff>28221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9E8A88-0E3C-E440-953A-F313E0163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618065</xdr:colOff>
      <xdr:row>15</xdr:row>
      <xdr:rowOff>101600</xdr:rowOff>
    </xdr:from>
    <xdr:to>
      <xdr:col>10</xdr:col>
      <xdr:colOff>364066</xdr:colOff>
      <xdr:row>34</xdr:row>
      <xdr:rowOff>118533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F566F-4171-1A4D-8AE7-D96BC6323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296318287" createdVersion="7" refreshedVersion="7" minRefreshableVersion="3" recordCount="4114" xr:uid="{67B2AAC1-4CD4-8042-B540-513AA721240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61114004631" createdVersion="7" refreshedVersion="7" minRefreshableVersion="3" recordCount="4114" xr:uid="{D961EB52-CEB2-C345-8108-889F45679D87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533695254628" createdVersion="7" refreshedVersion="7" minRefreshableVersion="3" recordCount="4114" xr:uid="{2D8C5713-1B2F-9F49-BFB3-F6D065DF66DF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DD5D-12F1-3948-AB76-021DEA2ADE78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68E8-C2BB-2D46-9E9F-7F484D55FB97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4CA3-D77D-154C-87A9-906BA8DE3EE6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0CBBD-0D6E-F147-BA0B-EA1892C3C812}" name="TablaDinámica3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2DF1E5-F7BC-134F-8ACD-72DE3A6EAFCD}" name="Tabla1" displayName="Tabla1" ref="A1:U72" totalsRowShown="0">
  <autoFilter ref="A1:U72" xr:uid="{732DF1E5-F7BC-134F-8ACD-72DE3A6EAFCD}"/>
  <tableColumns count="21">
    <tableColumn id="1" xr3:uid="{CCFF2DA0-9D0B-1743-9484-A681F8ED3BA2}" name="id"/>
    <tableColumn id="2" xr3:uid="{CC494446-6F25-FA4C-AF5D-5F8BE42D69DC}" name="name"/>
    <tableColumn id="3" xr3:uid="{AA2A46C6-A302-8C48-9A2F-691885C2E017}" name="blurb"/>
    <tableColumn id="4" xr3:uid="{B3B9F7E2-FB9A-6A4A-B828-83EF1B6E42AC}" name="goal"/>
    <tableColumn id="5" xr3:uid="{7F298CBB-47FA-364B-9FFF-B094C2BE0EF5}" name="pledged"/>
    <tableColumn id="6" xr3:uid="{A654657E-F78C-D34D-84FB-60A1C99624DE}" name="outcomes"/>
    <tableColumn id="7" xr3:uid="{EB1DFE59-7AFB-EC47-A9C7-9D5D9EC7DDFB}" name="country"/>
    <tableColumn id="8" xr3:uid="{F2535614-E52F-8946-BC99-034983067154}" name="currency"/>
    <tableColumn id="9" xr3:uid="{050AF5F6-8263-0E42-802D-DB9E83EE0646}" name="deadline"/>
    <tableColumn id="10" xr3:uid="{1AFE5FC4-5707-1848-866B-E214419DA422}" name="launched_at"/>
    <tableColumn id="11" xr3:uid="{22F46615-CECB-7B46-9C37-C8E541799CB8}" name="staff_pick"/>
    <tableColumn id="12" xr3:uid="{323A55FF-307F-DE45-9919-4DCB7997E64D}" name="backers_count"/>
    <tableColumn id="13" xr3:uid="{413B1694-A137-B448-823A-08C7DBF1EEFB}" name="spotlight"/>
    <tableColumn id="14" xr3:uid="{20EC10E5-3CD2-1240-8AF3-5237AEF90D1C}" name="Category and Subcategory"/>
    <tableColumn id="15" xr3:uid="{EB58B9F7-657E-6A48-857A-FC3A25F8518E}" name="Percentage  Funded"/>
    <tableColumn id="16" xr3:uid="{0151BBAA-BA3B-6D40-AA62-E98BB78050C1}" name="Average Donation"/>
    <tableColumn id="17" xr3:uid="{41CB89E9-31FF-CF4E-AF40-67C55A9A88A8}" name="Parent Category"/>
    <tableColumn id="18" xr3:uid="{769C119B-522F-8744-804B-5ADC24DB149B}" name="Subcategory"/>
    <tableColumn id="19" xr3:uid="{70DA4253-4C34-F64D-96EE-19B244382669}" name="Date Created Convetion" dataDxfId="1"/>
    <tableColumn id="20" xr3:uid="{D1299CA9-770E-2E4F-B31E-D490D0158843}" name="Date Ended Convertion" dataDxfId="0"/>
    <tableColumn id="21" xr3:uid="{03EAF126-A567-2D4D-855C-1D1E8017B1A0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F4C3-7B1D-1644-881B-BAF136D8A6D7}">
  <dimension ref="A1:F6"/>
  <sheetViews>
    <sheetView zoomScale="141" zoomScaleNormal="141" workbookViewId="0">
      <selection activeCell="D11" sqref="D11"/>
    </sheetView>
  </sheetViews>
  <sheetFormatPr baseColWidth="10" defaultRowHeight="15" x14ac:dyDescent="0.2"/>
  <cols>
    <col min="1" max="1" width="17.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1.5" bestFit="1" customWidth="1"/>
    <col min="8" max="8" width="9.33203125" bestFit="1" customWidth="1"/>
    <col min="9" max="9" width="10" bestFit="1" customWidth="1"/>
    <col min="10" max="10" width="7" bestFit="1" customWidth="1"/>
    <col min="11" max="11" width="11.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8B1A-73B8-2149-883A-434B4FBB9474}">
  <dimension ref="A1:E7"/>
  <sheetViews>
    <sheetView workbookViewId="0">
      <selection activeCell="F21" sqref="F2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EBC1-AB13-ED4F-8335-5A48903DCE9D}">
  <dimension ref="A1:E17"/>
  <sheetViews>
    <sheetView workbookViewId="0">
      <selection activeCell="B1" sqref="B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8358</v>
      </c>
      <c r="B1" t="s">
        <v>8317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">
      <c r="A6" s="15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">
      <c r="A7" s="15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">
      <c r="A8" s="15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">
      <c r="A9" s="15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">
      <c r="A10" s="15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">
      <c r="A11" s="15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">
      <c r="A12" s="15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">
      <c r="A13" s="15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">
      <c r="A14" s="15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">
      <c r="A15" s="15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">
      <c r="A16" s="15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">
      <c r="A17" s="15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8D7F-D46D-1E4C-AAB0-06BB59643B01}">
  <dimension ref="A1:D9"/>
  <sheetViews>
    <sheetView zoomScale="110" zoomScaleNormal="110" workbookViewId="0">
      <selection activeCell="D3" sqref="D3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4" width="10.83203125" style="8"/>
  </cols>
  <sheetData>
    <row r="1" spans="1:4" s="18" customFormat="1" x14ac:dyDescent="0.2">
      <c r="A1" s="18" t="s">
        <v>8379</v>
      </c>
      <c r="B1" s="18" t="s">
        <v>8380</v>
      </c>
      <c r="C1" s="19" t="s">
        <v>8381</v>
      </c>
      <c r="D1" s="19" t="s">
        <v>8382</v>
      </c>
    </row>
    <row r="2" spans="1:4" x14ac:dyDescent="0.2">
      <c r="A2" s="17" t="s">
        <v>3473</v>
      </c>
      <c r="B2" s="16" t="str">
        <f>VLOOKUP(A2,Kickstarters!B:C,2,0)</f>
        <v>Help us get actor-writer Ian Bonar's debut play - a hilarious, heartbreaking story of grief and loss - to the 2016 Edinburgh Fringe.</v>
      </c>
      <c r="C2" s="20" cm="1">
        <f t="array" ref="C2:C6">VLOOKUP(A2:A6,Kickstarters!B:D,3,0)</f>
        <v>2000</v>
      </c>
      <c r="D2" s="8">
        <f>VLOOKUP(A2,Kickstarters!B:E,4,0)</f>
        <v>2020</v>
      </c>
    </row>
    <row r="3" spans="1:4" x14ac:dyDescent="0.2">
      <c r="A3" s="17" t="s">
        <v>3616</v>
      </c>
      <c r="B3" s="16" t="str">
        <f>VLOOKUP(A3,Kickstarters!B:C,2,0)</f>
        <v>The play yet to be described as "A surefire Edinburgh Fringe Festival Cult Hit". Coming to the Underbelly, Edinburgh, 5th-30th August.</v>
      </c>
      <c r="C3" s="20">
        <v>2000</v>
      </c>
      <c r="D3" s="8">
        <f>VLOOKUP(A3,Kickstarters!B:E,4,0)</f>
        <v>2020</v>
      </c>
    </row>
    <row r="4" spans="1:4" x14ac:dyDescent="0.2">
      <c r="A4" s="17" t="s">
        <v>3178</v>
      </c>
      <c r="B4" s="16" t="str">
        <f>VLOOKUP(A4,Kickstarters!B:C,2,0)</f>
        <v>Cutting Off Kate Bush is a one-woman show written &amp; performed by Lucy Benson-Brown, premiering at the Edinburgh Fringe Festival 2014</v>
      </c>
      <c r="C4" s="20">
        <v>1500</v>
      </c>
      <c r="D4" s="8">
        <f>VLOOKUP(A4,Kickstarters!B:E,4,0)</f>
        <v>2576</v>
      </c>
    </row>
    <row r="5" spans="1:4" x14ac:dyDescent="0.2">
      <c r="A5" s="17" t="s">
        <v>3329</v>
      </c>
      <c r="B5" s="16" t="str">
        <f>VLOOKUP(A5,Kickstarters!B:C,2,0)</f>
        <v>Jestia and Raedon is a brand new romantic comedy play going to the Edinburgh Fringe Festival this summer.</v>
      </c>
      <c r="C5" s="20">
        <v>1000</v>
      </c>
      <c r="D5" s="8">
        <f>VLOOKUP(A5,Kickstarters!B:E,4,0)</f>
        <v>1168</v>
      </c>
    </row>
    <row r="6" spans="1:4" x14ac:dyDescent="0.2">
      <c r="A6" s="17" t="s">
        <v>3221</v>
      </c>
      <c r="B6" s="16" t="str">
        <f>VLOOKUP(A6,Kickstarters!B:C,2,0)</f>
        <v>A one-man show about love, loss, and motorways, written &amp; performed by Ben Norris. Help us get to the 2015 Edinburgh Fringe and beyond!</v>
      </c>
      <c r="C6" s="20">
        <v>4000</v>
      </c>
      <c r="D6" s="8">
        <f>VLOOKUP(A6,Kickstarters!B:E,4,0)</f>
        <v>4137</v>
      </c>
    </row>
    <row r="7" spans="1:4" x14ac:dyDescent="0.2">
      <c r="A7" s="16"/>
      <c r="B7" s="16"/>
      <c r="C7" s="20"/>
    </row>
    <row r="8" spans="1:4" x14ac:dyDescent="0.2">
      <c r="A8" s="16"/>
      <c r="B8" s="16"/>
      <c r="C8" s="20"/>
    </row>
    <row r="9" spans="1:4" x14ac:dyDescent="0.2">
      <c r="A9" s="16"/>
      <c r="B9" s="16"/>
      <c r="C9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8A313-B0EC-5E49-A9EE-A4FF423FC752}">
  <dimension ref="A1:U72"/>
  <sheetViews>
    <sheetView workbookViewId="0">
      <selection sqref="A1:U72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83203125" customWidth="1"/>
    <col min="16" max="16" width="17.33203125" customWidth="1"/>
    <col min="17" max="17" width="15.83203125" customWidth="1"/>
    <col min="18" max="18" width="13" customWidth="1"/>
    <col min="19" max="19" width="22" customWidth="1"/>
    <col min="20" max="20" width="21.33203125" customWidth="1"/>
  </cols>
  <sheetData>
    <row r="1" spans="1:21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  <c r="U1" t="s">
        <v>8397</v>
      </c>
    </row>
    <row r="2" spans="1:21" x14ac:dyDescent="0.2">
      <c r="A2">
        <v>3818</v>
      </c>
      <c r="B2" t="s">
        <v>3815</v>
      </c>
      <c r="C2" t="s">
        <v>7928</v>
      </c>
      <c r="D2">
        <v>250</v>
      </c>
      <c r="E2">
        <v>570</v>
      </c>
      <c r="F2" t="s">
        <v>8218</v>
      </c>
      <c r="G2" t="s">
        <v>8223</v>
      </c>
      <c r="H2" t="s">
        <v>8245</v>
      </c>
      <c r="I2">
        <v>1426187582</v>
      </c>
      <c r="J2">
        <v>1423599182</v>
      </c>
      <c r="K2" t="b">
        <v>0</v>
      </c>
      <c r="L2">
        <v>10</v>
      </c>
      <c r="M2" t="b">
        <v>1</v>
      </c>
      <c r="N2" t="s">
        <v>8269</v>
      </c>
      <c r="O2">
        <v>228</v>
      </c>
      <c r="P2">
        <v>57</v>
      </c>
      <c r="Q2" t="s">
        <v>8315</v>
      </c>
      <c r="R2" t="s">
        <v>8316</v>
      </c>
      <c r="S2" s="23">
        <v>42045.84238425926</v>
      </c>
      <c r="T2" s="23">
        <v>42075.800717592596</v>
      </c>
      <c r="U2">
        <v>2015</v>
      </c>
    </row>
    <row r="3" spans="1:21" x14ac:dyDescent="0.2">
      <c r="A3">
        <v>3814</v>
      </c>
      <c r="B3" t="s">
        <v>3811</v>
      </c>
      <c r="C3" t="s">
        <v>7924</v>
      </c>
      <c r="D3">
        <v>1500</v>
      </c>
      <c r="E3">
        <v>2102</v>
      </c>
      <c r="F3" t="s">
        <v>8218</v>
      </c>
      <c r="G3" t="s">
        <v>8223</v>
      </c>
      <c r="H3" t="s">
        <v>8245</v>
      </c>
      <c r="I3">
        <v>1427860740</v>
      </c>
      <c r="J3">
        <v>1424727712</v>
      </c>
      <c r="K3" t="b">
        <v>0</v>
      </c>
      <c r="L3">
        <v>34</v>
      </c>
      <c r="M3" t="b">
        <v>1</v>
      </c>
      <c r="N3" t="s">
        <v>8269</v>
      </c>
      <c r="O3">
        <v>140</v>
      </c>
      <c r="P3">
        <v>61.82</v>
      </c>
      <c r="Q3" t="s">
        <v>8315</v>
      </c>
      <c r="R3" t="s">
        <v>8316</v>
      </c>
      <c r="S3" s="23">
        <v>42058.904074074075</v>
      </c>
      <c r="T3" s="23">
        <v>42095.165972222225</v>
      </c>
      <c r="U3">
        <v>2015</v>
      </c>
    </row>
    <row r="4" spans="1:21" x14ac:dyDescent="0.2">
      <c r="A4">
        <v>3810</v>
      </c>
      <c r="B4" t="s">
        <v>3807</v>
      </c>
      <c r="C4" t="s">
        <v>7920</v>
      </c>
      <c r="D4">
        <v>1500</v>
      </c>
      <c r="E4">
        <v>1826</v>
      </c>
      <c r="F4" t="s">
        <v>8218</v>
      </c>
      <c r="G4" t="s">
        <v>8223</v>
      </c>
      <c r="H4" t="s">
        <v>8245</v>
      </c>
      <c r="I4">
        <v>1426965758</v>
      </c>
      <c r="J4">
        <v>1424377358</v>
      </c>
      <c r="K4" t="b">
        <v>0</v>
      </c>
      <c r="L4">
        <v>26</v>
      </c>
      <c r="M4" t="b">
        <v>1</v>
      </c>
      <c r="N4" t="s">
        <v>8269</v>
      </c>
      <c r="O4">
        <v>122</v>
      </c>
      <c r="P4">
        <v>70.23</v>
      </c>
      <c r="Q4" t="s">
        <v>8315</v>
      </c>
      <c r="R4" t="s">
        <v>8316</v>
      </c>
      <c r="S4" s="23">
        <v>42054.849050925928</v>
      </c>
      <c r="T4" s="23">
        <v>42084.807384259257</v>
      </c>
      <c r="U4">
        <v>2015</v>
      </c>
    </row>
    <row r="5" spans="1:21" x14ac:dyDescent="0.2">
      <c r="A5">
        <v>3808</v>
      </c>
      <c r="B5" t="s">
        <v>3805</v>
      </c>
      <c r="C5" t="s">
        <v>7918</v>
      </c>
      <c r="D5">
        <v>1000</v>
      </c>
      <c r="E5">
        <v>1000</v>
      </c>
      <c r="F5" t="s">
        <v>8218</v>
      </c>
      <c r="G5" t="s">
        <v>8224</v>
      </c>
      <c r="H5" t="s">
        <v>8246</v>
      </c>
      <c r="I5">
        <v>1429955619</v>
      </c>
      <c r="J5">
        <v>1424775219</v>
      </c>
      <c r="K5" t="b">
        <v>0</v>
      </c>
      <c r="L5">
        <v>24</v>
      </c>
      <c r="M5" t="b">
        <v>1</v>
      </c>
      <c r="N5" t="s">
        <v>8269</v>
      </c>
      <c r="O5">
        <v>100</v>
      </c>
      <c r="P5">
        <v>41.67</v>
      </c>
      <c r="Q5" t="s">
        <v>8315</v>
      </c>
      <c r="R5" t="s">
        <v>8316</v>
      </c>
      <c r="S5" s="23">
        <v>42059.453923611109</v>
      </c>
      <c r="T5" s="23">
        <v>42119.412256944444</v>
      </c>
      <c r="U5">
        <v>2015</v>
      </c>
    </row>
    <row r="6" spans="1:21" x14ac:dyDescent="0.2">
      <c r="A6">
        <v>3783</v>
      </c>
      <c r="B6" t="s">
        <v>3780</v>
      </c>
      <c r="C6" t="s">
        <v>7893</v>
      </c>
      <c r="D6">
        <v>1200</v>
      </c>
      <c r="E6">
        <v>1547</v>
      </c>
      <c r="F6" t="s">
        <v>8218</v>
      </c>
      <c r="G6" t="s">
        <v>8223</v>
      </c>
      <c r="H6" t="s">
        <v>8245</v>
      </c>
      <c r="I6">
        <v>1458057600</v>
      </c>
      <c r="J6">
        <v>1455938520</v>
      </c>
      <c r="K6" t="b">
        <v>0</v>
      </c>
      <c r="L6">
        <v>24</v>
      </c>
      <c r="M6" t="b">
        <v>1</v>
      </c>
      <c r="N6" t="s">
        <v>8303</v>
      </c>
      <c r="O6">
        <v>129</v>
      </c>
      <c r="P6">
        <v>64.459999999999994</v>
      </c>
      <c r="Q6" t="s">
        <v>8315</v>
      </c>
      <c r="R6" t="s">
        <v>8357</v>
      </c>
      <c r="S6" s="23">
        <v>42420.140277777777</v>
      </c>
      <c r="T6" s="23">
        <v>42444.666666666664</v>
      </c>
      <c r="U6">
        <v>2016</v>
      </c>
    </row>
    <row r="7" spans="1:21" x14ac:dyDescent="0.2">
      <c r="A7">
        <v>3779</v>
      </c>
      <c r="B7" t="s">
        <v>3776</v>
      </c>
      <c r="C7" t="s">
        <v>7889</v>
      </c>
      <c r="D7">
        <v>15000</v>
      </c>
      <c r="E7">
        <v>15597</v>
      </c>
      <c r="F7" t="s">
        <v>8218</v>
      </c>
      <c r="G7" t="s">
        <v>8223</v>
      </c>
      <c r="H7" t="s">
        <v>8245</v>
      </c>
      <c r="I7">
        <v>1459010340</v>
      </c>
      <c r="J7">
        <v>1456421940</v>
      </c>
      <c r="K7" t="b">
        <v>0</v>
      </c>
      <c r="L7">
        <v>115</v>
      </c>
      <c r="M7" t="b">
        <v>1</v>
      </c>
      <c r="N7" t="s">
        <v>8303</v>
      </c>
      <c r="O7">
        <v>104</v>
      </c>
      <c r="P7">
        <v>135.63</v>
      </c>
      <c r="Q7" t="s">
        <v>8315</v>
      </c>
      <c r="R7" t="s">
        <v>8357</v>
      </c>
      <c r="S7" s="23">
        <v>42425.73541666667</v>
      </c>
      <c r="T7" s="23">
        <v>42455.693749999999</v>
      </c>
      <c r="U7">
        <v>2016</v>
      </c>
    </row>
    <row r="8" spans="1:21" x14ac:dyDescent="0.2">
      <c r="A8">
        <v>3767</v>
      </c>
      <c r="B8" t="s">
        <v>3764</v>
      </c>
      <c r="C8" t="s">
        <v>7877</v>
      </c>
      <c r="D8">
        <v>2000</v>
      </c>
      <c r="E8">
        <v>2335</v>
      </c>
      <c r="F8" t="s">
        <v>8218</v>
      </c>
      <c r="G8" t="s">
        <v>8223</v>
      </c>
      <c r="H8" t="s">
        <v>8245</v>
      </c>
      <c r="I8">
        <v>1425185940</v>
      </c>
      <c r="J8">
        <v>1423960097</v>
      </c>
      <c r="K8" t="b">
        <v>0</v>
      </c>
      <c r="L8">
        <v>56</v>
      </c>
      <c r="M8" t="b">
        <v>1</v>
      </c>
      <c r="N8" t="s">
        <v>8303</v>
      </c>
      <c r="O8">
        <v>117</v>
      </c>
      <c r="P8">
        <v>41.7</v>
      </c>
      <c r="Q8" t="s">
        <v>8315</v>
      </c>
      <c r="R8" t="s">
        <v>8357</v>
      </c>
      <c r="S8" s="23">
        <v>42050.019641203704</v>
      </c>
      <c r="T8" s="23">
        <v>42064.207638888889</v>
      </c>
      <c r="U8">
        <v>2015</v>
      </c>
    </row>
    <row r="9" spans="1:21" x14ac:dyDescent="0.2">
      <c r="A9">
        <v>3751</v>
      </c>
      <c r="B9" t="s">
        <v>3748</v>
      </c>
      <c r="C9" t="s">
        <v>7861</v>
      </c>
      <c r="D9">
        <v>1000</v>
      </c>
      <c r="E9">
        <v>1326</v>
      </c>
      <c r="F9" t="s">
        <v>8218</v>
      </c>
      <c r="G9" t="s">
        <v>8223</v>
      </c>
      <c r="H9" t="s">
        <v>8245</v>
      </c>
      <c r="I9">
        <v>1459641073</v>
      </c>
      <c r="J9">
        <v>1454460673</v>
      </c>
      <c r="K9" t="b">
        <v>0</v>
      </c>
      <c r="L9">
        <v>11</v>
      </c>
      <c r="M9" t="b">
        <v>1</v>
      </c>
      <c r="N9" t="s">
        <v>8303</v>
      </c>
      <c r="O9">
        <v>133</v>
      </c>
      <c r="P9">
        <v>120.55</v>
      </c>
      <c r="Q9" t="s">
        <v>8315</v>
      </c>
      <c r="R9" t="s">
        <v>8357</v>
      </c>
      <c r="S9" s="23">
        <v>42403.035567129627</v>
      </c>
      <c r="T9" s="23">
        <v>42462.993900462963</v>
      </c>
      <c r="U9">
        <v>2016</v>
      </c>
    </row>
    <row r="10" spans="1:21" x14ac:dyDescent="0.2">
      <c r="A10">
        <v>3725</v>
      </c>
      <c r="B10" t="s">
        <v>3722</v>
      </c>
      <c r="C10" t="s">
        <v>7835</v>
      </c>
      <c r="D10">
        <v>300</v>
      </c>
      <c r="E10">
        <v>381</v>
      </c>
      <c r="F10" t="s">
        <v>8218</v>
      </c>
      <c r="G10" t="s">
        <v>8224</v>
      </c>
      <c r="H10" t="s">
        <v>8246</v>
      </c>
      <c r="I10">
        <v>1455831000</v>
      </c>
      <c r="J10">
        <v>1454366467</v>
      </c>
      <c r="K10" t="b">
        <v>0</v>
      </c>
      <c r="L10">
        <v>15</v>
      </c>
      <c r="M10" t="b">
        <v>1</v>
      </c>
      <c r="N10" t="s">
        <v>8269</v>
      </c>
      <c r="O10">
        <v>127</v>
      </c>
      <c r="P10">
        <v>25.4</v>
      </c>
      <c r="Q10" t="s">
        <v>8315</v>
      </c>
      <c r="R10" t="s">
        <v>8316</v>
      </c>
      <c r="S10" s="23">
        <v>42401.945219907408</v>
      </c>
      <c r="T10" s="23">
        <v>42418.895833333336</v>
      </c>
      <c r="U10">
        <v>2016</v>
      </c>
    </row>
    <row r="11" spans="1:21" x14ac:dyDescent="0.2">
      <c r="A11">
        <v>3715</v>
      </c>
      <c r="B11" t="s">
        <v>3712</v>
      </c>
      <c r="C11" t="s">
        <v>7825</v>
      </c>
      <c r="D11">
        <v>3500</v>
      </c>
      <c r="E11">
        <v>3590</v>
      </c>
      <c r="F11" t="s">
        <v>8218</v>
      </c>
      <c r="G11" t="s">
        <v>8224</v>
      </c>
      <c r="H11" t="s">
        <v>8246</v>
      </c>
      <c r="I11">
        <v>1427806320</v>
      </c>
      <c r="J11">
        <v>1422834819</v>
      </c>
      <c r="K11" t="b">
        <v>0</v>
      </c>
      <c r="L11">
        <v>27</v>
      </c>
      <c r="M11" t="b">
        <v>1</v>
      </c>
      <c r="N11" t="s">
        <v>8269</v>
      </c>
      <c r="O11">
        <v>103</v>
      </c>
      <c r="P11">
        <v>132.96</v>
      </c>
      <c r="Q11" t="s">
        <v>8315</v>
      </c>
      <c r="R11" t="s">
        <v>8316</v>
      </c>
      <c r="S11" s="23">
        <v>42036.99559027778</v>
      </c>
      <c r="T11" s="23">
        <v>42094.536111111112</v>
      </c>
      <c r="U11">
        <v>2015</v>
      </c>
    </row>
    <row r="12" spans="1:21" x14ac:dyDescent="0.2">
      <c r="A12">
        <v>3698</v>
      </c>
      <c r="B12" t="s">
        <v>3695</v>
      </c>
      <c r="C12" t="s">
        <v>7808</v>
      </c>
      <c r="D12">
        <v>5000</v>
      </c>
      <c r="E12">
        <v>5526</v>
      </c>
      <c r="F12" t="s">
        <v>8218</v>
      </c>
      <c r="G12" t="s">
        <v>8223</v>
      </c>
      <c r="H12" t="s">
        <v>8245</v>
      </c>
      <c r="I12">
        <v>1456946487</v>
      </c>
      <c r="J12">
        <v>1454354487</v>
      </c>
      <c r="K12" t="b">
        <v>0</v>
      </c>
      <c r="L12">
        <v>136</v>
      </c>
      <c r="M12" t="b">
        <v>1</v>
      </c>
      <c r="N12" t="s">
        <v>8269</v>
      </c>
      <c r="O12">
        <v>111</v>
      </c>
      <c r="P12">
        <v>40.630000000000003</v>
      </c>
      <c r="Q12" t="s">
        <v>8315</v>
      </c>
      <c r="R12" t="s">
        <v>8316</v>
      </c>
      <c r="S12" s="23">
        <v>42401.806562500002</v>
      </c>
      <c r="T12" s="23">
        <v>42431.806562500002</v>
      </c>
      <c r="U12">
        <v>2016</v>
      </c>
    </row>
    <row r="13" spans="1:21" x14ac:dyDescent="0.2">
      <c r="A13">
        <v>3659</v>
      </c>
      <c r="B13" t="s">
        <v>3656</v>
      </c>
      <c r="C13" t="s">
        <v>7769</v>
      </c>
      <c r="D13">
        <v>3000</v>
      </c>
      <c r="E13">
        <v>3061</v>
      </c>
      <c r="F13" t="s">
        <v>8218</v>
      </c>
      <c r="G13" t="s">
        <v>8223</v>
      </c>
      <c r="H13" t="s">
        <v>8245</v>
      </c>
      <c r="I13">
        <v>1426775940</v>
      </c>
      <c r="J13">
        <v>1424414350</v>
      </c>
      <c r="K13" t="b">
        <v>0</v>
      </c>
      <c r="L13">
        <v>13</v>
      </c>
      <c r="M13" t="b">
        <v>1</v>
      </c>
      <c r="N13" t="s">
        <v>8269</v>
      </c>
      <c r="O13">
        <v>102</v>
      </c>
      <c r="P13">
        <v>235.46</v>
      </c>
      <c r="Q13" t="s">
        <v>8315</v>
      </c>
      <c r="R13" t="s">
        <v>8316</v>
      </c>
      <c r="S13" s="23">
        <v>42055.277199074073</v>
      </c>
      <c r="T13" s="23">
        <v>42082.61041666667</v>
      </c>
      <c r="U13">
        <v>2015</v>
      </c>
    </row>
    <row r="14" spans="1:21" x14ac:dyDescent="0.2">
      <c r="A14">
        <v>3620</v>
      </c>
      <c r="B14" t="s">
        <v>3618</v>
      </c>
      <c r="C14" t="s">
        <v>7730</v>
      </c>
      <c r="D14">
        <v>10500</v>
      </c>
      <c r="E14">
        <v>11045</v>
      </c>
      <c r="F14" t="s">
        <v>8218</v>
      </c>
      <c r="G14" t="s">
        <v>8223</v>
      </c>
      <c r="H14" t="s">
        <v>8245</v>
      </c>
      <c r="I14">
        <v>1425528000</v>
      </c>
      <c r="J14">
        <v>1422916261</v>
      </c>
      <c r="K14" t="b">
        <v>0</v>
      </c>
      <c r="L14">
        <v>197</v>
      </c>
      <c r="M14" t="b">
        <v>1</v>
      </c>
      <c r="N14" t="s">
        <v>8269</v>
      </c>
      <c r="O14">
        <v>105</v>
      </c>
      <c r="P14">
        <v>56.07</v>
      </c>
      <c r="Q14" t="s">
        <v>8315</v>
      </c>
      <c r="R14" t="s">
        <v>8316</v>
      </c>
      <c r="S14" s="23">
        <v>42037.938206018516</v>
      </c>
      <c r="T14" s="23">
        <v>42068.166666666664</v>
      </c>
      <c r="U14">
        <v>2015</v>
      </c>
    </row>
    <row r="15" spans="1:21" x14ac:dyDescent="0.2">
      <c r="A15">
        <v>3617</v>
      </c>
      <c r="B15" t="s">
        <v>3615</v>
      </c>
      <c r="C15" t="s">
        <v>7727</v>
      </c>
      <c r="D15">
        <v>740</v>
      </c>
      <c r="E15">
        <v>880</v>
      </c>
      <c r="F15" t="s">
        <v>8218</v>
      </c>
      <c r="G15" t="s">
        <v>8224</v>
      </c>
      <c r="H15" t="s">
        <v>8246</v>
      </c>
      <c r="I15">
        <v>1488240000</v>
      </c>
      <c r="J15">
        <v>1486996729</v>
      </c>
      <c r="K15" t="b">
        <v>0</v>
      </c>
      <c r="L15">
        <v>51</v>
      </c>
      <c r="M15" t="b">
        <v>1</v>
      </c>
      <c r="N15" t="s">
        <v>8269</v>
      </c>
      <c r="O15">
        <v>119</v>
      </c>
      <c r="P15">
        <v>17.25</v>
      </c>
      <c r="Q15" t="s">
        <v>8315</v>
      </c>
      <c r="R15" t="s">
        <v>8316</v>
      </c>
      <c r="S15" s="23">
        <v>42779.610289351855</v>
      </c>
      <c r="T15" s="14">
        <v>42794</v>
      </c>
      <c r="U15">
        <v>2017</v>
      </c>
    </row>
    <row r="16" spans="1:21" x14ac:dyDescent="0.2">
      <c r="A16">
        <v>3616</v>
      </c>
      <c r="B16" t="s">
        <v>3614</v>
      </c>
      <c r="C16" t="s">
        <v>7726</v>
      </c>
      <c r="D16">
        <v>2500</v>
      </c>
      <c r="E16">
        <v>3120</v>
      </c>
      <c r="F16" t="s">
        <v>8218</v>
      </c>
      <c r="G16" t="s">
        <v>8224</v>
      </c>
      <c r="H16" t="s">
        <v>8246</v>
      </c>
      <c r="I16">
        <v>1426801664</v>
      </c>
      <c r="J16">
        <v>1424213264</v>
      </c>
      <c r="K16" t="b">
        <v>0</v>
      </c>
      <c r="L16">
        <v>45</v>
      </c>
      <c r="M16" t="b">
        <v>1</v>
      </c>
      <c r="N16" t="s">
        <v>8269</v>
      </c>
      <c r="O16">
        <v>125</v>
      </c>
      <c r="P16">
        <v>69.33</v>
      </c>
      <c r="Q16" t="s">
        <v>8315</v>
      </c>
      <c r="R16" t="s">
        <v>8316</v>
      </c>
      <c r="S16" s="23">
        <v>42052.949814814812</v>
      </c>
      <c r="T16" s="23">
        <v>42082.908148148148</v>
      </c>
      <c r="U16">
        <v>2015</v>
      </c>
    </row>
    <row r="17" spans="1:21" x14ac:dyDescent="0.2">
      <c r="A17">
        <v>3609</v>
      </c>
      <c r="B17" t="s">
        <v>3608</v>
      </c>
      <c r="C17" t="s">
        <v>7719</v>
      </c>
      <c r="D17">
        <v>1960</v>
      </c>
      <c r="E17">
        <v>3005</v>
      </c>
      <c r="F17" t="s">
        <v>8218</v>
      </c>
      <c r="G17" t="s">
        <v>8224</v>
      </c>
      <c r="H17" t="s">
        <v>8246</v>
      </c>
      <c r="I17">
        <v>1459378085</v>
      </c>
      <c r="J17">
        <v>1456789685</v>
      </c>
      <c r="K17" t="b">
        <v>0</v>
      </c>
      <c r="L17">
        <v>21</v>
      </c>
      <c r="M17" t="b">
        <v>1</v>
      </c>
      <c r="N17" t="s">
        <v>8269</v>
      </c>
      <c r="O17">
        <v>153</v>
      </c>
      <c r="P17">
        <v>143.1</v>
      </c>
      <c r="Q17" t="s">
        <v>8315</v>
      </c>
      <c r="R17" t="s">
        <v>8316</v>
      </c>
      <c r="S17" s="23">
        <v>42429.991724537038</v>
      </c>
      <c r="T17" s="23">
        <v>42459.950057870374</v>
      </c>
      <c r="U17">
        <v>2016</v>
      </c>
    </row>
    <row r="18" spans="1:21" x14ac:dyDescent="0.2">
      <c r="A18">
        <v>3597</v>
      </c>
      <c r="B18" t="s">
        <v>3596</v>
      </c>
      <c r="C18" t="s">
        <v>7707</v>
      </c>
      <c r="D18">
        <v>2500</v>
      </c>
      <c r="E18">
        <v>2565</v>
      </c>
      <c r="F18" t="s">
        <v>8218</v>
      </c>
      <c r="G18" t="s">
        <v>8223</v>
      </c>
      <c r="H18" t="s">
        <v>8245</v>
      </c>
      <c r="I18">
        <v>1456984740</v>
      </c>
      <c r="J18">
        <v>1455717790</v>
      </c>
      <c r="K18" t="b">
        <v>0</v>
      </c>
      <c r="L18">
        <v>33</v>
      </c>
      <c r="M18" t="b">
        <v>1</v>
      </c>
      <c r="N18" t="s">
        <v>8269</v>
      </c>
      <c r="O18">
        <v>103</v>
      </c>
      <c r="P18">
        <v>77.73</v>
      </c>
      <c r="Q18" t="s">
        <v>8315</v>
      </c>
      <c r="R18" t="s">
        <v>8316</v>
      </c>
      <c r="S18" s="23">
        <v>42417.585532407407</v>
      </c>
      <c r="T18" s="23">
        <v>42432.249305555553</v>
      </c>
      <c r="U18">
        <v>2016</v>
      </c>
    </row>
    <row r="19" spans="1:21" x14ac:dyDescent="0.2">
      <c r="A19">
        <v>3595</v>
      </c>
      <c r="B19" t="s">
        <v>3594</v>
      </c>
      <c r="C19" t="s">
        <v>7705</v>
      </c>
      <c r="D19">
        <v>2600</v>
      </c>
      <c r="E19">
        <v>3081</v>
      </c>
      <c r="F19" t="s">
        <v>8218</v>
      </c>
      <c r="G19" t="s">
        <v>8223</v>
      </c>
      <c r="H19" t="s">
        <v>8245</v>
      </c>
      <c r="I19">
        <v>1426229940</v>
      </c>
      <c r="J19">
        <v>1423959123</v>
      </c>
      <c r="K19" t="b">
        <v>0</v>
      </c>
      <c r="L19">
        <v>62</v>
      </c>
      <c r="M19" t="b">
        <v>1</v>
      </c>
      <c r="N19" t="s">
        <v>8269</v>
      </c>
      <c r="O19">
        <v>119</v>
      </c>
      <c r="P19">
        <v>49.69</v>
      </c>
      <c r="Q19" t="s">
        <v>8315</v>
      </c>
      <c r="R19" t="s">
        <v>8316</v>
      </c>
      <c r="S19" s="23">
        <v>42050.008368055554</v>
      </c>
      <c r="T19" s="23">
        <v>42076.290972222225</v>
      </c>
      <c r="U19">
        <v>2015</v>
      </c>
    </row>
    <row r="20" spans="1:21" x14ac:dyDescent="0.2">
      <c r="A20">
        <v>3583</v>
      </c>
      <c r="B20" t="s">
        <v>3582</v>
      </c>
      <c r="C20" t="s">
        <v>7693</v>
      </c>
      <c r="D20">
        <v>3000</v>
      </c>
      <c r="E20">
        <v>3255</v>
      </c>
      <c r="F20" t="s">
        <v>8218</v>
      </c>
      <c r="G20" t="s">
        <v>8223</v>
      </c>
      <c r="H20" t="s">
        <v>8245</v>
      </c>
      <c r="I20">
        <v>1460970805</v>
      </c>
      <c r="J20">
        <v>1455790405</v>
      </c>
      <c r="K20" t="b">
        <v>0</v>
      </c>
      <c r="L20">
        <v>24</v>
      </c>
      <c r="M20" t="b">
        <v>1</v>
      </c>
      <c r="N20" t="s">
        <v>8269</v>
      </c>
      <c r="O20">
        <v>109</v>
      </c>
      <c r="P20">
        <v>135.63</v>
      </c>
      <c r="Q20" t="s">
        <v>8315</v>
      </c>
      <c r="R20" t="s">
        <v>8316</v>
      </c>
      <c r="S20" s="23">
        <v>42418.425983796296</v>
      </c>
      <c r="T20" s="23">
        <v>42478.384317129632</v>
      </c>
      <c r="U20">
        <v>2016</v>
      </c>
    </row>
    <row r="21" spans="1:21" x14ac:dyDescent="0.2">
      <c r="A21">
        <v>3548</v>
      </c>
      <c r="B21" t="s">
        <v>3547</v>
      </c>
      <c r="C21" t="s">
        <v>7658</v>
      </c>
      <c r="D21">
        <v>2100</v>
      </c>
      <c r="E21">
        <v>2140</v>
      </c>
      <c r="F21" t="s">
        <v>8218</v>
      </c>
      <c r="G21" t="s">
        <v>8223</v>
      </c>
      <c r="H21" t="s">
        <v>8245</v>
      </c>
      <c r="I21">
        <v>1457139600</v>
      </c>
      <c r="J21">
        <v>1455230214</v>
      </c>
      <c r="K21" t="b">
        <v>0</v>
      </c>
      <c r="L21">
        <v>13</v>
      </c>
      <c r="M21" t="b">
        <v>1</v>
      </c>
      <c r="N21" t="s">
        <v>8269</v>
      </c>
      <c r="O21">
        <v>102</v>
      </c>
      <c r="P21">
        <v>164.62</v>
      </c>
      <c r="Q21" t="s">
        <v>8315</v>
      </c>
      <c r="R21" t="s">
        <v>8316</v>
      </c>
      <c r="S21" s="23">
        <v>42411.942291666666</v>
      </c>
      <c r="T21" s="23">
        <v>42434.041666666664</v>
      </c>
      <c r="U21">
        <v>2016</v>
      </c>
    </row>
    <row r="22" spans="1:21" x14ac:dyDescent="0.2">
      <c r="A22">
        <v>3544</v>
      </c>
      <c r="B22" t="s">
        <v>3543</v>
      </c>
      <c r="C22" t="s">
        <v>7654</v>
      </c>
      <c r="D22">
        <v>2500</v>
      </c>
      <c r="E22">
        <v>2500</v>
      </c>
      <c r="F22" t="s">
        <v>8218</v>
      </c>
      <c r="G22" t="s">
        <v>8223</v>
      </c>
      <c r="H22" t="s">
        <v>8245</v>
      </c>
      <c r="I22">
        <v>1425758257</v>
      </c>
      <c r="J22">
        <v>1423166257</v>
      </c>
      <c r="K22" t="b">
        <v>0</v>
      </c>
      <c r="L22">
        <v>24</v>
      </c>
      <c r="M22" t="b">
        <v>1</v>
      </c>
      <c r="N22" t="s">
        <v>8269</v>
      </c>
      <c r="O22">
        <v>100</v>
      </c>
      <c r="P22">
        <v>104.17</v>
      </c>
      <c r="Q22" t="s">
        <v>8315</v>
      </c>
      <c r="R22" t="s">
        <v>8316</v>
      </c>
      <c r="S22" s="23">
        <v>42040.831678240742</v>
      </c>
      <c r="T22" s="23">
        <v>42070.831678240742</v>
      </c>
      <c r="U22">
        <v>2015</v>
      </c>
    </row>
    <row r="23" spans="1:21" x14ac:dyDescent="0.2">
      <c r="A23">
        <v>3519</v>
      </c>
      <c r="B23" t="s">
        <v>3518</v>
      </c>
      <c r="C23" t="s">
        <v>7629</v>
      </c>
      <c r="D23">
        <v>2000</v>
      </c>
      <c r="E23">
        <v>2027</v>
      </c>
      <c r="F23" t="s">
        <v>8218</v>
      </c>
      <c r="G23" t="s">
        <v>8224</v>
      </c>
      <c r="H23" t="s">
        <v>8246</v>
      </c>
      <c r="I23">
        <v>1425478950</v>
      </c>
      <c r="J23">
        <v>1422886950</v>
      </c>
      <c r="K23" t="b">
        <v>0</v>
      </c>
      <c r="L23">
        <v>28</v>
      </c>
      <c r="M23" t="b">
        <v>1</v>
      </c>
      <c r="N23" t="s">
        <v>8269</v>
      </c>
      <c r="O23">
        <v>101</v>
      </c>
      <c r="P23">
        <v>72.39</v>
      </c>
      <c r="Q23" t="s">
        <v>8315</v>
      </c>
      <c r="R23" t="s">
        <v>8316</v>
      </c>
      <c r="S23" s="23">
        <v>42037.598958333336</v>
      </c>
      <c r="T23" s="23">
        <v>42067.598958333336</v>
      </c>
      <c r="U23">
        <v>2015</v>
      </c>
    </row>
    <row r="24" spans="1:21" x14ac:dyDescent="0.2">
      <c r="A24">
        <v>3512</v>
      </c>
      <c r="B24" t="s">
        <v>3511</v>
      </c>
      <c r="C24" t="s">
        <v>7622</v>
      </c>
      <c r="D24">
        <v>1000</v>
      </c>
      <c r="E24">
        <v>1000</v>
      </c>
      <c r="F24" t="s">
        <v>8218</v>
      </c>
      <c r="G24" t="s">
        <v>8224</v>
      </c>
      <c r="H24" t="s">
        <v>8246</v>
      </c>
      <c r="I24">
        <v>1429789992</v>
      </c>
      <c r="J24">
        <v>1424609592</v>
      </c>
      <c r="K24" t="b">
        <v>0</v>
      </c>
      <c r="L24">
        <v>17</v>
      </c>
      <c r="M24" t="b">
        <v>1</v>
      </c>
      <c r="N24" t="s">
        <v>8269</v>
      </c>
      <c r="O24">
        <v>100</v>
      </c>
      <c r="P24">
        <v>58.82</v>
      </c>
      <c r="Q24" t="s">
        <v>8315</v>
      </c>
      <c r="R24" t="s">
        <v>8316</v>
      </c>
      <c r="S24" s="23">
        <v>42057.536944444444</v>
      </c>
      <c r="T24" s="23">
        <v>42117.49527777778</v>
      </c>
      <c r="U24">
        <v>2015</v>
      </c>
    </row>
    <row r="25" spans="1:21" x14ac:dyDescent="0.2">
      <c r="A25">
        <v>3500</v>
      </c>
      <c r="B25" t="s">
        <v>3499</v>
      </c>
      <c r="C25" t="s">
        <v>7610</v>
      </c>
      <c r="D25">
        <v>1000</v>
      </c>
      <c r="E25">
        <v>1063</v>
      </c>
      <c r="F25" t="s">
        <v>8218</v>
      </c>
      <c r="G25" t="s">
        <v>8223</v>
      </c>
      <c r="H25" t="s">
        <v>8245</v>
      </c>
      <c r="I25">
        <v>1457326740</v>
      </c>
      <c r="J25">
        <v>1455919438</v>
      </c>
      <c r="K25" t="b">
        <v>0</v>
      </c>
      <c r="L25">
        <v>42</v>
      </c>
      <c r="M25" t="b">
        <v>1</v>
      </c>
      <c r="N25" t="s">
        <v>8269</v>
      </c>
      <c r="O25">
        <v>106</v>
      </c>
      <c r="P25">
        <v>25.31</v>
      </c>
      <c r="Q25" t="s">
        <v>8315</v>
      </c>
      <c r="R25" t="s">
        <v>8316</v>
      </c>
      <c r="S25" s="23">
        <v>42419.919421296298</v>
      </c>
      <c r="T25" s="23">
        <v>42436.207638888889</v>
      </c>
      <c r="U25">
        <v>2016</v>
      </c>
    </row>
    <row r="26" spans="1:21" x14ac:dyDescent="0.2">
      <c r="A26">
        <v>3478</v>
      </c>
      <c r="B26" t="s">
        <v>3477</v>
      </c>
      <c r="C26" t="s">
        <v>7588</v>
      </c>
      <c r="D26">
        <v>2000</v>
      </c>
      <c r="E26">
        <v>2257</v>
      </c>
      <c r="F26" t="s">
        <v>8218</v>
      </c>
      <c r="G26" t="s">
        <v>8223</v>
      </c>
      <c r="H26" t="s">
        <v>8245</v>
      </c>
      <c r="I26">
        <v>1426539600</v>
      </c>
      <c r="J26">
        <v>1424296822</v>
      </c>
      <c r="K26" t="b">
        <v>0</v>
      </c>
      <c r="L26">
        <v>57</v>
      </c>
      <c r="M26" t="b">
        <v>1</v>
      </c>
      <c r="N26" t="s">
        <v>8269</v>
      </c>
      <c r="O26">
        <v>113</v>
      </c>
      <c r="P26">
        <v>39.6</v>
      </c>
      <c r="Q26" t="s">
        <v>8315</v>
      </c>
      <c r="R26" t="s">
        <v>8316</v>
      </c>
      <c r="S26" s="23">
        <v>42053.916921296295</v>
      </c>
      <c r="T26" s="23">
        <v>42079.875</v>
      </c>
      <c r="U26">
        <v>2015</v>
      </c>
    </row>
    <row r="27" spans="1:21" x14ac:dyDescent="0.2">
      <c r="A27">
        <v>3473</v>
      </c>
      <c r="B27" t="s">
        <v>3472</v>
      </c>
      <c r="C27" t="s">
        <v>7583</v>
      </c>
      <c r="D27">
        <v>4900</v>
      </c>
      <c r="E27">
        <v>4900</v>
      </c>
      <c r="F27" t="s">
        <v>8218</v>
      </c>
      <c r="G27" t="s">
        <v>8223</v>
      </c>
      <c r="H27" t="s">
        <v>8245</v>
      </c>
      <c r="I27">
        <v>1426883220</v>
      </c>
      <c r="J27">
        <v>1425067296</v>
      </c>
      <c r="K27" t="b">
        <v>0</v>
      </c>
      <c r="L27">
        <v>33</v>
      </c>
      <c r="M27" t="b">
        <v>1</v>
      </c>
      <c r="N27" t="s">
        <v>8269</v>
      </c>
      <c r="O27">
        <v>100</v>
      </c>
      <c r="P27">
        <v>148.47999999999999</v>
      </c>
      <c r="Q27" t="s">
        <v>8315</v>
      </c>
      <c r="R27" t="s">
        <v>8316</v>
      </c>
      <c r="S27" s="23">
        <v>42062.834444444445</v>
      </c>
      <c r="T27" s="23">
        <v>42083.852083333331</v>
      </c>
      <c r="U27">
        <v>2015</v>
      </c>
    </row>
    <row r="28" spans="1:21" x14ac:dyDescent="0.2">
      <c r="A28">
        <v>3467</v>
      </c>
      <c r="B28" t="s">
        <v>3466</v>
      </c>
      <c r="C28" t="s">
        <v>7577</v>
      </c>
      <c r="D28">
        <v>3000</v>
      </c>
      <c r="E28">
        <v>3030</v>
      </c>
      <c r="F28" t="s">
        <v>8218</v>
      </c>
      <c r="G28" t="s">
        <v>8223</v>
      </c>
      <c r="H28" t="s">
        <v>8245</v>
      </c>
      <c r="I28">
        <v>1426864032</v>
      </c>
      <c r="J28">
        <v>1424275632</v>
      </c>
      <c r="K28" t="b">
        <v>0</v>
      </c>
      <c r="L28">
        <v>47</v>
      </c>
      <c r="M28" t="b">
        <v>1</v>
      </c>
      <c r="N28" t="s">
        <v>8269</v>
      </c>
      <c r="O28">
        <v>101</v>
      </c>
      <c r="P28">
        <v>64.47</v>
      </c>
      <c r="Q28" t="s">
        <v>8315</v>
      </c>
      <c r="R28" t="s">
        <v>8316</v>
      </c>
      <c r="S28" s="23">
        <v>42053.671666666669</v>
      </c>
      <c r="T28" s="23">
        <v>42083.63</v>
      </c>
      <c r="U28">
        <v>2015</v>
      </c>
    </row>
    <row r="29" spans="1:21" x14ac:dyDescent="0.2">
      <c r="A29">
        <v>3466</v>
      </c>
      <c r="B29" t="s">
        <v>3465</v>
      </c>
      <c r="C29" t="s">
        <v>7576</v>
      </c>
      <c r="D29">
        <v>3500</v>
      </c>
      <c r="E29">
        <v>4450</v>
      </c>
      <c r="F29" t="s">
        <v>8218</v>
      </c>
      <c r="G29" t="s">
        <v>8223</v>
      </c>
      <c r="H29" t="s">
        <v>8245</v>
      </c>
      <c r="I29">
        <v>1461108450</v>
      </c>
      <c r="J29">
        <v>1455928050</v>
      </c>
      <c r="K29" t="b">
        <v>0</v>
      </c>
      <c r="L29">
        <v>61</v>
      </c>
      <c r="M29" t="b">
        <v>1</v>
      </c>
      <c r="N29" t="s">
        <v>8269</v>
      </c>
      <c r="O29">
        <v>127</v>
      </c>
      <c r="P29">
        <v>72.95</v>
      </c>
      <c r="Q29" t="s">
        <v>8315</v>
      </c>
      <c r="R29" t="s">
        <v>8316</v>
      </c>
      <c r="S29" s="23">
        <v>42420.019097222219</v>
      </c>
      <c r="T29" s="23">
        <v>42479.977430555555</v>
      </c>
      <c r="U29">
        <v>2016</v>
      </c>
    </row>
    <row r="30" spans="1:21" x14ac:dyDescent="0.2">
      <c r="A30">
        <v>3450</v>
      </c>
      <c r="B30" t="s">
        <v>3449</v>
      </c>
      <c r="C30" t="s">
        <v>7560</v>
      </c>
      <c r="D30">
        <v>500</v>
      </c>
      <c r="E30">
        <v>760</v>
      </c>
      <c r="F30" t="s">
        <v>8218</v>
      </c>
      <c r="G30" t="s">
        <v>8224</v>
      </c>
      <c r="H30" t="s">
        <v>8246</v>
      </c>
      <c r="I30">
        <v>1427990071</v>
      </c>
      <c r="J30">
        <v>1422809671</v>
      </c>
      <c r="K30" t="b">
        <v>0</v>
      </c>
      <c r="L30">
        <v>39</v>
      </c>
      <c r="M30" t="b">
        <v>1</v>
      </c>
      <c r="N30" t="s">
        <v>8269</v>
      </c>
      <c r="O30">
        <v>152</v>
      </c>
      <c r="P30">
        <v>19.489999999999998</v>
      </c>
      <c r="Q30" t="s">
        <v>8315</v>
      </c>
      <c r="R30" t="s">
        <v>8316</v>
      </c>
      <c r="S30" s="23">
        <v>42036.704525462963</v>
      </c>
      <c r="T30" s="23">
        <v>42096.662858796299</v>
      </c>
      <c r="U30">
        <v>2015</v>
      </c>
    </row>
    <row r="31" spans="1:21" x14ac:dyDescent="0.2">
      <c r="A31">
        <v>3447</v>
      </c>
      <c r="B31" t="s">
        <v>3446</v>
      </c>
      <c r="C31" t="s">
        <v>7557</v>
      </c>
      <c r="D31">
        <v>1000</v>
      </c>
      <c r="E31">
        <v>1078</v>
      </c>
      <c r="F31" t="s">
        <v>8218</v>
      </c>
      <c r="G31" t="s">
        <v>8223</v>
      </c>
      <c r="H31" t="s">
        <v>8245</v>
      </c>
      <c r="I31">
        <v>1458332412</v>
      </c>
      <c r="J31">
        <v>1454448012</v>
      </c>
      <c r="K31" t="b">
        <v>0</v>
      </c>
      <c r="L31">
        <v>14</v>
      </c>
      <c r="M31" t="b">
        <v>1</v>
      </c>
      <c r="N31" t="s">
        <v>8269</v>
      </c>
      <c r="O31">
        <v>108</v>
      </c>
      <c r="P31">
        <v>77</v>
      </c>
      <c r="Q31" t="s">
        <v>8315</v>
      </c>
      <c r="R31" t="s">
        <v>8316</v>
      </c>
      <c r="S31" s="23">
        <v>42402.889027777775</v>
      </c>
      <c r="T31" s="23">
        <v>42447.847361111111</v>
      </c>
      <c r="U31">
        <v>2016</v>
      </c>
    </row>
    <row r="32" spans="1:21" x14ac:dyDescent="0.2">
      <c r="A32">
        <v>3428</v>
      </c>
      <c r="B32" t="s">
        <v>3427</v>
      </c>
      <c r="C32" t="s">
        <v>7538</v>
      </c>
      <c r="D32">
        <v>2000</v>
      </c>
      <c r="E32">
        <v>2055</v>
      </c>
      <c r="F32" t="s">
        <v>8218</v>
      </c>
      <c r="G32" t="s">
        <v>8224</v>
      </c>
      <c r="H32" t="s">
        <v>8246</v>
      </c>
      <c r="I32">
        <v>1425142800</v>
      </c>
      <c r="J32">
        <v>1422983847</v>
      </c>
      <c r="K32" t="b">
        <v>0</v>
      </c>
      <c r="L32">
        <v>51</v>
      </c>
      <c r="M32" t="b">
        <v>1</v>
      </c>
      <c r="N32" t="s">
        <v>8269</v>
      </c>
      <c r="O32">
        <v>103</v>
      </c>
      <c r="P32">
        <v>40.29</v>
      </c>
      <c r="Q32" t="s">
        <v>8315</v>
      </c>
      <c r="R32" t="s">
        <v>8316</v>
      </c>
      <c r="S32" s="23">
        <v>42038.720451388886</v>
      </c>
      <c r="T32" s="23">
        <v>42063.708333333336</v>
      </c>
      <c r="U32">
        <v>2015</v>
      </c>
    </row>
    <row r="33" spans="1:21" x14ac:dyDescent="0.2">
      <c r="A33">
        <v>3421</v>
      </c>
      <c r="B33" t="s">
        <v>3420</v>
      </c>
      <c r="C33" t="s">
        <v>7531</v>
      </c>
      <c r="D33">
        <v>10000</v>
      </c>
      <c r="E33">
        <v>10115</v>
      </c>
      <c r="F33" t="s">
        <v>8218</v>
      </c>
      <c r="G33" t="s">
        <v>8223</v>
      </c>
      <c r="H33" t="s">
        <v>8245</v>
      </c>
      <c r="I33">
        <v>1425495563</v>
      </c>
      <c r="J33">
        <v>1422903563</v>
      </c>
      <c r="K33" t="b">
        <v>0</v>
      </c>
      <c r="L33">
        <v>98</v>
      </c>
      <c r="M33" t="b">
        <v>1</v>
      </c>
      <c r="N33" t="s">
        <v>8269</v>
      </c>
      <c r="O33">
        <v>101</v>
      </c>
      <c r="P33">
        <v>103.21</v>
      </c>
      <c r="Q33" t="s">
        <v>8315</v>
      </c>
      <c r="R33" t="s">
        <v>8316</v>
      </c>
      <c r="S33" s="23">
        <v>42037.791238425925</v>
      </c>
      <c r="T33" s="23">
        <v>42067.791238425925</v>
      </c>
      <c r="U33">
        <v>2015</v>
      </c>
    </row>
    <row r="34" spans="1:21" x14ac:dyDescent="0.2">
      <c r="A34">
        <v>3420</v>
      </c>
      <c r="B34" t="s">
        <v>3419</v>
      </c>
      <c r="C34" t="s">
        <v>7530</v>
      </c>
      <c r="D34">
        <v>700</v>
      </c>
      <c r="E34">
        <v>966</v>
      </c>
      <c r="F34" t="s">
        <v>8218</v>
      </c>
      <c r="G34" t="s">
        <v>8224</v>
      </c>
      <c r="H34" t="s">
        <v>8246</v>
      </c>
      <c r="I34">
        <v>1455408000</v>
      </c>
      <c r="J34">
        <v>1454638202</v>
      </c>
      <c r="K34" t="b">
        <v>0</v>
      </c>
      <c r="L34">
        <v>34</v>
      </c>
      <c r="M34" t="b">
        <v>1</v>
      </c>
      <c r="N34" t="s">
        <v>8269</v>
      </c>
      <c r="O34">
        <v>138</v>
      </c>
      <c r="P34">
        <v>28.41</v>
      </c>
      <c r="Q34" t="s">
        <v>8315</v>
      </c>
      <c r="R34" t="s">
        <v>8316</v>
      </c>
      <c r="S34" s="23">
        <v>42405.090300925927</v>
      </c>
      <c r="T34" s="14">
        <v>42414</v>
      </c>
      <c r="U34">
        <v>2016</v>
      </c>
    </row>
    <row r="35" spans="1:21" x14ac:dyDescent="0.2">
      <c r="A35">
        <v>3413</v>
      </c>
      <c r="B35" t="s">
        <v>3412</v>
      </c>
      <c r="C35" t="s">
        <v>7523</v>
      </c>
      <c r="D35">
        <v>500</v>
      </c>
      <c r="E35">
        <v>650</v>
      </c>
      <c r="F35" t="s">
        <v>8218</v>
      </c>
      <c r="G35" t="s">
        <v>8223</v>
      </c>
      <c r="H35" t="s">
        <v>8245</v>
      </c>
      <c r="I35">
        <v>1425099540</v>
      </c>
      <c r="J35">
        <v>1424280938</v>
      </c>
      <c r="K35" t="b">
        <v>0</v>
      </c>
      <c r="L35">
        <v>14</v>
      </c>
      <c r="M35" t="b">
        <v>1</v>
      </c>
      <c r="N35" t="s">
        <v>8269</v>
      </c>
      <c r="O35">
        <v>130</v>
      </c>
      <c r="P35">
        <v>46.43</v>
      </c>
      <c r="Q35" t="s">
        <v>8315</v>
      </c>
      <c r="R35" t="s">
        <v>8316</v>
      </c>
      <c r="S35" s="23">
        <v>42053.733078703706</v>
      </c>
      <c r="T35" s="23">
        <v>42063.207638888889</v>
      </c>
      <c r="U35">
        <v>2015</v>
      </c>
    </row>
    <row r="36" spans="1:21" x14ac:dyDescent="0.2">
      <c r="A36">
        <v>3405</v>
      </c>
      <c r="B36" t="s">
        <v>3404</v>
      </c>
      <c r="C36" t="s">
        <v>7515</v>
      </c>
      <c r="D36">
        <v>350</v>
      </c>
      <c r="E36">
        <v>481.5</v>
      </c>
      <c r="F36" t="s">
        <v>8218</v>
      </c>
      <c r="G36" t="s">
        <v>8224</v>
      </c>
      <c r="H36" t="s">
        <v>8246</v>
      </c>
      <c r="I36">
        <v>1456876740</v>
      </c>
      <c r="J36">
        <v>1455063886</v>
      </c>
      <c r="K36" t="b">
        <v>0</v>
      </c>
      <c r="L36">
        <v>17</v>
      </c>
      <c r="M36" t="b">
        <v>1</v>
      </c>
      <c r="N36" t="s">
        <v>8269</v>
      </c>
      <c r="O36">
        <v>138</v>
      </c>
      <c r="P36">
        <v>28.32</v>
      </c>
      <c r="Q36" t="s">
        <v>8315</v>
      </c>
      <c r="R36" t="s">
        <v>8316</v>
      </c>
      <c r="S36" s="23">
        <v>42410.017199074071</v>
      </c>
      <c r="T36" s="23">
        <v>42430.999305555553</v>
      </c>
      <c r="U36">
        <v>2016</v>
      </c>
    </row>
    <row r="37" spans="1:21" x14ac:dyDescent="0.2">
      <c r="A37">
        <v>3381</v>
      </c>
      <c r="B37" t="s">
        <v>3380</v>
      </c>
      <c r="C37" t="s">
        <v>7491</v>
      </c>
      <c r="D37">
        <v>4000</v>
      </c>
      <c r="E37">
        <v>4090</v>
      </c>
      <c r="F37" t="s">
        <v>8218</v>
      </c>
      <c r="G37" t="s">
        <v>8223</v>
      </c>
      <c r="H37" t="s">
        <v>8245</v>
      </c>
      <c r="I37">
        <v>1426044383</v>
      </c>
      <c r="J37">
        <v>1423455983</v>
      </c>
      <c r="K37" t="b">
        <v>0</v>
      </c>
      <c r="L37">
        <v>48</v>
      </c>
      <c r="M37" t="b">
        <v>1</v>
      </c>
      <c r="N37" t="s">
        <v>8269</v>
      </c>
      <c r="O37">
        <v>102</v>
      </c>
      <c r="P37">
        <v>85.21</v>
      </c>
      <c r="Q37" t="s">
        <v>8315</v>
      </c>
      <c r="R37" t="s">
        <v>8316</v>
      </c>
      <c r="S37" s="23">
        <v>42044.184988425928</v>
      </c>
      <c r="T37" s="23">
        <v>42074.143321759257</v>
      </c>
      <c r="U37">
        <v>2015</v>
      </c>
    </row>
    <row r="38" spans="1:21" x14ac:dyDescent="0.2">
      <c r="A38">
        <v>3377</v>
      </c>
      <c r="B38" t="s">
        <v>3376</v>
      </c>
      <c r="C38" t="s">
        <v>7487</v>
      </c>
      <c r="D38">
        <v>8000</v>
      </c>
      <c r="E38">
        <v>8084</v>
      </c>
      <c r="F38" t="s">
        <v>8218</v>
      </c>
      <c r="G38" t="s">
        <v>8224</v>
      </c>
      <c r="H38" t="s">
        <v>8246</v>
      </c>
      <c r="I38">
        <v>1426870560</v>
      </c>
      <c r="J38">
        <v>1424280899</v>
      </c>
      <c r="K38" t="b">
        <v>0</v>
      </c>
      <c r="L38">
        <v>77</v>
      </c>
      <c r="M38" t="b">
        <v>1</v>
      </c>
      <c r="N38" t="s">
        <v>8269</v>
      </c>
      <c r="O38">
        <v>101</v>
      </c>
      <c r="P38">
        <v>104.99</v>
      </c>
      <c r="Q38" t="s">
        <v>8315</v>
      </c>
      <c r="R38" t="s">
        <v>8316</v>
      </c>
      <c r="S38" s="23">
        <v>42053.732627314814</v>
      </c>
      <c r="T38" s="23">
        <v>42083.705555555556</v>
      </c>
      <c r="U38">
        <v>2015</v>
      </c>
    </row>
    <row r="39" spans="1:21" x14ac:dyDescent="0.2">
      <c r="A39">
        <v>3376</v>
      </c>
      <c r="B39" t="s">
        <v>3375</v>
      </c>
      <c r="C39" t="s">
        <v>7486</v>
      </c>
      <c r="D39">
        <v>8000</v>
      </c>
      <c r="E39">
        <v>8001</v>
      </c>
      <c r="F39" t="s">
        <v>8218</v>
      </c>
      <c r="G39" t="s">
        <v>8223</v>
      </c>
      <c r="H39" t="s">
        <v>8245</v>
      </c>
      <c r="I39">
        <v>1429976994</v>
      </c>
      <c r="J39">
        <v>1424796594</v>
      </c>
      <c r="K39" t="b">
        <v>0</v>
      </c>
      <c r="L39">
        <v>19</v>
      </c>
      <c r="M39" t="b">
        <v>1</v>
      </c>
      <c r="N39" t="s">
        <v>8269</v>
      </c>
      <c r="O39">
        <v>100</v>
      </c>
      <c r="P39">
        <v>421.11</v>
      </c>
      <c r="Q39" t="s">
        <v>8315</v>
      </c>
      <c r="R39" t="s">
        <v>8316</v>
      </c>
      <c r="S39" s="23">
        <v>42059.701319444444</v>
      </c>
      <c r="T39" s="23">
        <v>42119.65965277778</v>
      </c>
      <c r="U39">
        <v>2015</v>
      </c>
    </row>
    <row r="40" spans="1:21" x14ac:dyDescent="0.2">
      <c r="A40">
        <v>3364</v>
      </c>
      <c r="B40" t="s">
        <v>3363</v>
      </c>
      <c r="C40" t="s">
        <v>7474</v>
      </c>
      <c r="D40">
        <v>3000</v>
      </c>
      <c r="E40">
        <v>3178</v>
      </c>
      <c r="F40" t="s">
        <v>8218</v>
      </c>
      <c r="G40" t="s">
        <v>8224</v>
      </c>
      <c r="H40" t="s">
        <v>8246</v>
      </c>
      <c r="I40">
        <v>1458075600</v>
      </c>
      <c r="J40">
        <v>1456183649</v>
      </c>
      <c r="K40" t="b">
        <v>0</v>
      </c>
      <c r="L40">
        <v>72</v>
      </c>
      <c r="M40" t="b">
        <v>1</v>
      </c>
      <c r="N40" t="s">
        <v>8269</v>
      </c>
      <c r="O40">
        <v>106</v>
      </c>
      <c r="P40">
        <v>44.14</v>
      </c>
      <c r="Q40" t="s">
        <v>8315</v>
      </c>
      <c r="R40" t="s">
        <v>8316</v>
      </c>
      <c r="S40" s="23">
        <v>42422.977418981478</v>
      </c>
      <c r="T40" s="23">
        <v>42444.875</v>
      </c>
      <c r="U40">
        <v>2016</v>
      </c>
    </row>
    <row r="41" spans="1:21" x14ac:dyDescent="0.2">
      <c r="A41">
        <v>3362</v>
      </c>
      <c r="B41" t="s">
        <v>3361</v>
      </c>
      <c r="C41" t="s">
        <v>7472</v>
      </c>
      <c r="D41">
        <v>500</v>
      </c>
      <c r="E41">
        <v>1090</v>
      </c>
      <c r="F41" t="s">
        <v>8218</v>
      </c>
      <c r="G41" t="s">
        <v>8223</v>
      </c>
      <c r="H41" t="s">
        <v>8245</v>
      </c>
      <c r="I41">
        <v>1425704100</v>
      </c>
      <c r="J41">
        <v>1424484717</v>
      </c>
      <c r="K41" t="b">
        <v>0</v>
      </c>
      <c r="L41">
        <v>20</v>
      </c>
      <c r="M41" t="b">
        <v>1</v>
      </c>
      <c r="N41" t="s">
        <v>8269</v>
      </c>
      <c r="O41">
        <v>218</v>
      </c>
      <c r="P41">
        <v>54.5</v>
      </c>
      <c r="Q41" t="s">
        <v>8315</v>
      </c>
      <c r="R41" t="s">
        <v>8316</v>
      </c>
      <c r="S41" s="23">
        <v>42056.091631944444</v>
      </c>
      <c r="T41" s="23">
        <v>42070.204861111109</v>
      </c>
      <c r="U41">
        <v>2015</v>
      </c>
    </row>
    <row r="42" spans="1:21" x14ac:dyDescent="0.2">
      <c r="A42">
        <v>3346</v>
      </c>
      <c r="B42" t="s">
        <v>3346</v>
      </c>
      <c r="C42" t="s">
        <v>7456</v>
      </c>
      <c r="D42">
        <v>1500</v>
      </c>
      <c r="E42">
        <v>1650</v>
      </c>
      <c r="F42" t="s">
        <v>8218</v>
      </c>
      <c r="G42" t="s">
        <v>8223</v>
      </c>
      <c r="H42" t="s">
        <v>8245</v>
      </c>
      <c r="I42">
        <v>1424910910</v>
      </c>
      <c r="J42">
        <v>1424306110</v>
      </c>
      <c r="K42" t="b">
        <v>0</v>
      </c>
      <c r="L42">
        <v>18</v>
      </c>
      <c r="M42" t="b">
        <v>1</v>
      </c>
      <c r="N42" t="s">
        <v>8269</v>
      </c>
      <c r="O42">
        <v>110</v>
      </c>
      <c r="P42">
        <v>91.67</v>
      </c>
      <c r="Q42" t="s">
        <v>8315</v>
      </c>
      <c r="R42" t="s">
        <v>8316</v>
      </c>
      <c r="S42" s="23">
        <v>42054.024421296293</v>
      </c>
      <c r="T42" s="23">
        <v>42061.024421296293</v>
      </c>
      <c r="U42">
        <v>2015</v>
      </c>
    </row>
    <row r="43" spans="1:21" x14ac:dyDescent="0.2">
      <c r="A43">
        <v>3345</v>
      </c>
      <c r="B43" t="s">
        <v>3345</v>
      </c>
      <c r="C43" t="s">
        <v>7455</v>
      </c>
      <c r="D43">
        <v>500</v>
      </c>
      <c r="E43">
        <v>650</v>
      </c>
      <c r="F43" t="s">
        <v>8218</v>
      </c>
      <c r="G43" t="s">
        <v>8223</v>
      </c>
      <c r="H43" t="s">
        <v>8245</v>
      </c>
      <c r="I43">
        <v>1429317420</v>
      </c>
      <c r="J43">
        <v>1424226768</v>
      </c>
      <c r="K43" t="b">
        <v>0</v>
      </c>
      <c r="L43">
        <v>13</v>
      </c>
      <c r="M43" t="b">
        <v>1</v>
      </c>
      <c r="N43" t="s">
        <v>8269</v>
      </c>
      <c r="O43">
        <v>130</v>
      </c>
      <c r="P43">
        <v>50</v>
      </c>
      <c r="Q43" t="s">
        <v>8315</v>
      </c>
      <c r="R43" t="s">
        <v>8316</v>
      </c>
      <c r="S43" s="23">
        <v>42053.106111111112</v>
      </c>
      <c r="T43" s="23">
        <v>42112.025694444441</v>
      </c>
      <c r="U43">
        <v>2015</v>
      </c>
    </row>
    <row r="44" spans="1:21" x14ac:dyDescent="0.2">
      <c r="A44">
        <v>3342</v>
      </c>
      <c r="B44" t="s">
        <v>3342</v>
      </c>
      <c r="C44" t="s">
        <v>7452</v>
      </c>
      <c r="D44">
        <v>6000</v>
      </c>
      <c r="E44">
        <v>6100</v>
      </c>
      <c r="F44" t="s">
        <v>8218</v>
      </c>
      <c r="G44" t="s">
        <v>8223</v>
      </c>
      <c r="H44" t="s">
        <v>8245</v>
      </c>
      <c r="I44">
        <v>1427864340</v>
      </c>
      <c r="J44">
        <v>1425020810</v>
      </c>
      <c r="K44" t="b">
        <v>0</v>
      </c>
      <c r="L44">
        <v>78</v>
      </c>
      <c r="M44" t="b">
        <v>1</v>
      </c>
      <c r="N44" t="s">
        <v>8269</v>
      </c>
      <c r="O44">
        <v>102</v>
      </c>
      <c r="P44">
        <v>78.209999999999994</v>
      </c>
      <c r="Q44" t="s">
        <v>8315</v>
      </c>
      <c r="R44" t="s">
        <v>8316</v>
      </c>
      <c r="S44" s="23">
        <v>42062.296412037038</v>
      </c>
      <c r="T44" s="23">
        <v>42095.207638888889</v>
      </c>
      <c r="U44">
        <v>2015</v>
      </c>
    </row>
    <row r="45" spans="1:21" x14ac:dyDescent="0.2">
      <c r="A45">
        <v>3338</v>
      </c>
      <c r="B45" t="s">
        <v>3338</v>
      </c>
      <c r="C45" t="s">
        <v>7448</v>
      </c>
      <c r="D45">
        <v>15000</v>
      </c>
      <c r="E45">
        <v>15327</v>
      </c>
      <c r="F45" t="s">
        <v>8218</v>
      </c>
      <c r="G45" t="s">
        <v>8223</v>
      </c>
      <c r="H45" t="s">
        <v>8245</v>
      </c>
      <c r="I45">
        <v>1487944080</v>
      </c>
      <c r="J45">
        <v>1486129680</v>
      </c>
      <c r="K45" t="b">
        <v>0</v>
      </c>
      <c r="L45">
        <v>112</v>
      </c>
      <c r="M45" t="b">
        <v>1</v>
      </c>
      <c r="N45" t="s">
        <v>8269</v>
      </c>
      <c r="O45">
        <v>102</v>
      </c>
      <c r="P45">
        <v>136.85</v>
      </c>
      <c r="Q45" t="s">
        <v>8315</v>
      </c>
      <c r="R45" t="s">
        <v>8316</v>
      </c>
      <c r="S45" s="23">
        <v>42769.574999999997</v>
      </c>
      <c r="T45" s="23">
        <v>42790.574999999997</v>
      </c>
      <c r="U45">
        <v>2017</v>
      </c>
    </row>
    <row r="46" spans="1:21" x14ac:dyDescent="0.2">
      <c r="A46">
        <v>3326</v>
      </c>
      <c r="B46" t="s">
        <v>3326</v>
      </c>
      <c r="C46" t="s">
        <v>7436</v>
      </c>
      <c r="D46">
        <v>8000</v>
      </c>
      <c r="E46">
        <v>8110</v>
      </c>
      <c r="F46" t="s">
        <v>8218</v>
      </c>
      <c r="G46" t="s">
        <v>8223</v>
      </c>
      <c r="H46" t="s">
        <v>8245</v>
      </c>
      <c r="I46">
        <v>1425830905</v>
      </c>
      <c r="J46">
        <v>1423242505</v>
      </c>
      <c r="K46" t="b">
        <v>0</v>
      </c>
      <c r="L46">
        <v>57</v>
      </c>
      <c r="M46" t="b">
        <v>1</v>
      </c>
      <c r="N46" t="s">
        <v>8269</v>
      </c>
      <c r="O46">
        <v>101</v>
      </c>
      <c r="P46">
        <v>142.28</v>
      </c>
      <c r="Q46" t="s">
        <v>8315</v>
      </c>
      <c r="R46" t="s">
        <v>8316</v>
      </c>
      <c r="S46" s="23">
        <v>42041.714178240742</v>
      </c>
      <c r="T46" s="23">
        <v>42071.672511574077</v>
      </c>
      <c r="U46">
        <v>2015</v>
      </c>
    </row>
    <row r="47" spans="1:21" x14ac:dyDescent="0.2">
      <c r="A47">
        <v>3303</v>
      </c>
      <c r="B47" t="s">
        <v>3303</v>
      </c>
      <c r="C47" t="s">
        <v>7413</v>
      </c>
      <c r="D47">
        <v>1800</v>
      </c>
      <c r="E47">
        <v>2086</v>
      </c>
      <c r="F47" t="s">
        <v>8218</v>
      </c>
      <c r="G47" t="s">
        <v>8223</v>
      </c>
      <c r="H47" t="s">
        <v>8245</v>
      </c>
      <c r="I47">
        <v>1427553484</v>
      </c>
      <c r="J47">
        <v>1424533084</v>
      </c>
      <c r="K47" t="b">
        <v>0</v>
      </c>
      <c r="L47">
        <v>35</v>
      </c>
      <c r="M47" t="b">
        <v>1</v>
      </c>
      <c r="N47" t="s">
        <v>8269</v>
      </c>
      <c r="O47">
        <v>116</v>
      </c>
      <c r="P47">
        <v>59.6</v>
      </c>
      <c r="Q47" t="s">
        <v>8315</v>
      </c>
      <c r="R47" t="s">
        <v>8316</v>
      </c>
      <c r="S47" s="23">
        <v>42056.651435185187</v>
      </c>
      <c r="T47" s="23">
        <v>42091.609768518516</v>
      </c>
      <c r="U47">
        <v>2015</v>
      </c>
    </row>
    <row r="48" spans="1:21" x14ac:dyDescent="0.2">
      <c r="A48">
        <v>3293</v>
      </c>
      <c r="B48" t="s">
        <v>3293</v>
      </c>
      <c r="C48" t="s">
        <v>7403</v>
      </c>
      <c r="D48">
        <v>4500</v>
      </c>
      <c r="E48">
        <v>7670</v>
      </c>
      <c r="F48" t="s">
        <v>8218</v>
      </c>
      <c r="G48" t="s">
        <v>8227</v>
      </c>
      <c r="H48" t="s">
        <v>8249</v>
      </c>
      <c r="I48">
        <v>1488622352</v>
      </c>
      <c r="J48">
        <v>1486030352</v>
      </c>
      <c r="K48" t="b">
        <v>0</v>
      </c>
      <c r="L48">
        <v>91</v>
      </c>
      <c r="M48" t="b">
        <v>1</v>
      </c>
      <c r="N48" t="s">
        <v>8269</v>
      </c>
      <c r="O48">
        <v>170</v>
      </c>
      <c r="P48">
        <v>84.29</v>
      </c>
      <c r="Q48" t="s">
        <v>8315</v>
      </c>
      <c r="R48" t="s">
        <v>8316</v>
      </c>
      <c r="S48" s="23">
        <v>42768.425370370373</v>
      </c>
      <c r="T48" s="23">
        <v>42798.425370370373</v>
      </c>
      <c r="U48">
        <v>2017</v>
      </c>
    </row>
    <row r="49" spans="1:21" x14ac:dyDescent="0.2">
      <c r="A49">
        <v>3290</v>
      </c>
      <c r="B49" t="s">
        <v>3290</v>
      </c>
      <c r="C49" s="3" t="s">
        <v>7400</v>
      </c>
      <c r="D49">
        <v>2000</v>
      </c>
      <c r="E49">
        <v>2424</v>
      </c>
      <c r="F49" t="s">
        <v>8218</v>
      </c>
      <c r="G49" t="s">
        <v>8224</v>
      </c>
      <c r="H49" t="s">
        <v>8246</v>
      </c>
      <c r="I49">
        <v>1489234891</v>
      </c>
      <c r="J49">
        <v>1486642891</v>
      </c>
      <c r="K49" t="b">
        <v>0</v>
      </c>
      <c r="L49">
        <v>72</v>
      </c>
      <c r="M49" t="b">
        <v>1</v>
      </c>
      <c r="N49" t="s">
        <v>8269</v>
      </c>
      <c r="O49">
        <v>121</v>
      </c>
      <c r="P49">
        <v>33.67</v>
      </c>
      <c r="Q49" t="s">
        <v>8315</v>
      </c>
      <c r="R49" t="s">
        <v>8316</v>
      </c>
      <c r="S49" s="23">
        <v>42775.51494212963</v>
      </c>
      <c r="T49" s="23">
        <v>42805.51494212963</v>
      </c>
      <c r="U49">
        <v>2017</v>
      </c>
    </row>
    <row r="50" spans="1:21" x14ac:dyDescent="0.2">
      <c r="A50">
        <v>3276</v>
      </c>
      <c r="B50" t="s">
        <v>3276</v>
      </c>
      <c r="C50" t="s">
        <v>7386</v>
      </c>
      <c r="D50">
        <v>4500</v>
      </c>
      <c r="E50">
        <v>5258</v>
      </c>
      <c r="F50" t="s">
        <v>8218</v>
      </c>
      <c r="G50" t="s">
        <v>8228</v>
      </c>
      <c r="H50" t="s">
        <v>8250</v>
      </c>
      <c r="I50">
        <v>1459483140</v>
      </c>
      <c r="J50">
        <v>1456526879</v>
      </c>
      <c r="K50" t="b">
        <v>1</v>
      </c>
      <c r="L50">
        <v>100</v>
      </c>
      <c r="M50" t="b">
        <v>1</v>
      </c>
      <c r="N50" t="s">
        <v>8269</v>
      </c>
      <c r="O50">
        <v>117</v>
      </c>
      <c r="P50">
        <v>52.58</v>
      </c>
      <c r="Q50" t="s">
        <v>8315</v>
      </c>
      <c r="R50" t="s">
        <v>8316</v>
      </c>
      <c r="S50" s="23">
        <v>42426.949988425928</v>
      </c>
      <c r="T50" s="23">
        <v>42461.165972222225</v>
      </c>
      <c r="U50">
        <v>2016</v>
      </c>
    </row>
    <row r="51" spans="1:21" x14ac:dyDescent="0.2">
      <c r="A51">
        <v>3254</v>
      </c>
      <c r="B51" t="s">
        <v>3254</v>
      </c>
      <c r="C51" t="s">
        <v>7364</v>
      </c>
      <c r="D51">
        <v>13000</v>
      </c>
      <c r="E51">
        <v>13163.5</v>
      </c>
      <c r="F51" t="s">
        <v>8218</v>
      </c>
      <c r="G51" t="s">
        <v>8224</v>
      </c>
      <c r="H51" t="s">
        <v>8246</v>
      </c>
      <c r="I51">
        <v>1427331809</v>
      </c>
      <c r="J51">
        <v>1424743409</v>
      </c>
      <c r="K51" t="b">
        <v>1</v>
      </c>
      <c r="L51">
        <v>186</v>
      </c>
      <c r="M51" t="b">
        <v>1</v>
      </c>
      <c r="N51" t="s">
        <v>8269</v>
      </c>
      <c r="O51">
        <v>101</v>
      </c>
      <c r="P51">
        <v>70.77</v>
      </c>
      <c r="Q51" t="s">
        <v>8315</v>
      </c>
      <c r="R51" t="s">
        <v>8316</v>
      </c>
      <c r="S51" s="23">
        <v>42059.085752314815</v>
      </c>
      <c r="T51" s="23">
        <v>42089.044085648151</v>
      </c>
      <c r="U51">
        <v>2015</v>
      </c>
    </row>
    <row r="52" spans="1:21" x14ac:dyDescent="0.2">
      <c r="A52">
        <v>3220</v>
      </c>
      <c r="B52" t="s">
        <v>3220</v>
      </c>
      <c r="C52" t="s">
        <v>7330</v>
      </c>
      <c r="D52">
        <v>15000</v>
      </c>
      <c r="E52">
        <v>15126</v>
      </c>
      <c r="F52" t="s">
        <v>8218</v>
      </c>
      <c r="G52" t="s">
        <v>8223</v>
      </c>
      <c r="H52" t="s">
        <v>8245</v>
      </c>
      <c r="I52">
        <v>1489352400</v>
      </c>
      <c r="J52">
        <v>1486411204</v>
      </c>
      <c r="K52" t="b">
        <v>1</v>
      </c>
      <c r="L52">
        <v>59</v>
      </c>
      <c r="M52" t="b">
        <v>1</v>
      </c>
      <c r="N52" t="s">
        <v>8269</v>
      </c>
      <c r="O52">
        <v>101</v>
      </c>
      <c r="P52">
        <v>256.37</v>
      </c>
      <c r="Q52" t="s">
        <v>8315</v>
      </c>
      <c r="R52" t="s">
        <v>8316</v>
      </c>
      <c r="S52" s="23">
        <v>42772.833379629628</v>
      </c>
      <c r="T52" s="23">
        <v>42806.875</v>
      </c>
      <c r="U52">
        <v>2017</v>
      </c>
    </row>
    <row r="53" spans="1:21" x14ac:dyDescent="0.2">
      <c r="A53">
        <v>3219</v>
      </c>
      <c r="B53" t="s">
        <v>3219</v>
      </c>
      <c r="C53" t="s">
        <v>7329</v>
      </c>
      <c r="D53">
        <v>20000</v>
      </c>
      <c r="E53">
        <v>20022</v>
      </c>
      <c r="F53" t="s">
        <v>8218</v>
      </c>
      <c r="G53" t="s">
        <v>8223</v>
      </c>
      <c r="H53" t="s">
        <v>8245</v>
      </c>
      <c r="I53">
        <v>1427063747</v>
      </c>
      <c r="J53">
        <v>1424043347</v>
      </c>
      <c r="K53" t="b">
        <v>1</v>
      </c>
      <c r="L53">
        <v>119</v>
      </c>
      <c r="M53" t="b">
        <v>1</v>
      </c>
      <c r="N53" t="s">
        <v>8269</v>
      </c>
      <c r="O53">
        <v>100</v>
      </c>
      <c r="P53">
        <v>168.25</v>
      </c>
      <c r="Q53" t="s">
        <v>8315</v>
      </c>
      <c r="R53" t="s">
        <v>8316</v>
      </c>
      <c r="S53" s="23">
        <v>42050.983182870368</v>
      </c>
      <c r="T53" s="23">
        <v>42085.941516203704</v>
      </c>
      <c r="U53">
        <v>2015</v>
      </c>
    </row>
    <row r="54" spans="1:21" x14ac:dyDescent="0.2">
      <c r="A54">
        <v>3027</v>
      </c>
      <c r="B54" t="s">
        <v>3027</v>
      </c>
      <c r="C54" t="s">
        <v>7137</v>
      </c>
      <c r="D54">
        <v>40000</v>
      </c>
      <c r="E54">
        <v>52576</v>
      </c>
      <c r="F54" t="s">
        <v>8218</v>
      </c>
      <c r="G54" t="s">
        <v>8223</v>
      </c>
      <c r="H54" t="s">
        <v>8245</v>
      </c>
      <c r="I54">
        <v>1426866851</v>
      </c>
      <c r="J54">
        <v>1424278451</v>
      </c>
      <c r="K54" t="b">
        <v>0</v>
      </c>
      <c r="L54">
        <v>320</v>
      </c>
      <c r="M54" t="b">
        <v>1</v>
      </c>
      <c r="N54" t="s">
        <v>8301</v>
      </c>
      <c r="O54">
        <v>131</v>
      </c>
      <c r="P54">
        <v>164.3</v>
      </c>
      <c r="Q54" t="s">
        <v>8315</v>
      </c>
      <c r="R54" t="s">
        <v>8355</v>
      </c>
      <c r="S54" s="23">
        <v>42053.704293981478</v>
      </c>
      <c r="T54" s="23">
        <v>42083.662627314814</v>
      </c>
      <c r="U54">
        <v>2015</v>
      </c>
    </row>
    <row r="55" spans="1:21" x14ac:dyDescent="0.2">
      <c r="A55">
        <v>3026</v>
      </c>
      <c r="B55" t="s">
        <v>3026</v>
      </c>
      <c r="C55" t="s">
        <v>7136</v>
      </c>
      <c r="D55">
        <v>900</v>
      </c>
      <c r="E55">
        <v>1290</v>
      </c>
      <c r="F55" t="s">
        <v>8218</v>
      </c>
      <c r="G55" t="s">
        <v>8224</v>
      </c>
      <c r="H55" t="s">
        <v>8246</v>
      </c>
      <c r="I55">
        <v>1488538892</v>
      </c>
      <c r="J55">
        <v>1487329292</v>
      </c>
      <c r="K55" t="b">
        <v>0</v>
      </c>
      <c r="L55">
        <v>25</v>
      </c>
      <c r="M55" t="b">
        <v>1</v>
      </c>
      <c r="N55" t="s">
        <v>8301</v>
      </c>
      <c r="O55">
        <v>143</v>
      </c>
      <c r="P55">
        <v>51.6</v>
      </c>
      <c r="Q55" t="s">
        <v>8315</v>
      </c>
      <c r="R55" t="s">
        <v>8355</v>
      </c>
      <c r="S55" s="23">
        <v>42783.459398148145</v>
      </c>
      <c r="T55" s="23">
        <v>42797.459398148145</v>
      </c>
      <c r="U55">
        <v>2017</v>
      </c>
    </row>
    <row r="56" spans="1:21" x14ac:dyDescent="0.2">
      <c r="A56">
        <v>2999</v>
      </c>
      <c r="B56" t="s">
        <v>2999</v>
      </c>
      <c r="C56" t="s">
        <v>7109</v>
      </c>
      <c r="D56">
        <v>1350</v>
      </c>
      <c r="E56">
        <v>1605</v>
      </c>
      <c r="F56" t="s">
        <v>8218</v>
      </c>
      <c r="G56" t="s">
        <v>8223</v>
      </c>
      <c r="H56" t="s">
        <v>8245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8301</v>
      </c>
      <c r="O56">
        <v>119</v>
      </c>
      <c r="P56">
        <v>80.25</v>
      </c>
      <c r="Q56" t="s">
        <v>8315</v>
      </c>
      <c r="R56" t="s">
        <v>8355</v>
      </c>
      <c r="S56" s="23">
        <v>42780.740277777775</v>
      </c>
      <c r="T56" s="23">
        <v>42795.083333333336</v>
      </c>
      <c r="U56">
        <v>2017</v>
      </c>
    </row>
    <row r="57" spans="1:21" x14ac:dyDescent="0.2">
      <c r="A57">
        <v>2997</v>
      </c>
      <c r="B57" t="s">
        <v>2997</v>
      </c>
      <c r="C57" t="s">
        <v>7107</v>
      </c>
      <c r="D57">
        <v>10000</v>
      </c>
      <c r="E57">
        <v>10373</v>
      </c>
      <c r="F57" t="s">
        <v>8218</v>
      </c>
      <c r="G57" t="s">
        <v>8223</v>
      </c>
      <c r="H57" t="s">
        <v>8245</v>
      </c>
      <c r="I57">
        <v>1488171540</v>
      </c>
      <c r="J57">
        <v>1486661793</v>
      </c>
      <c r="K57" t="b">
        <v>0</v>
      </c>
      <c r="L57">
        <v>115</v>
      </c>
      <c r="M57" t="b">
        <v>1</v>
      </c>
      <c r="N57" t="s">
        <v>8301</v>
      </c>
      <c r="O57">
        <v>104</v>
      </c>
      <c r="P57">
        <v>90.2</v>
      </c>
      <c r="Q57" t="s">
        <v>8315</v>
      </c>
      <c r="R57" t="s">
        <v>8355</v>
      </c>
      <c r="S57" s="23">
        <v>42775.733715277776</v>
      </c>
      <c r="T57" s="23">
        <v>42793.207638888889</v>
      </c>
      <c r="U57">
        <v>2017</v>
      </c>
    </row>
    <row r="58" spans="1:21" x14ac:dyDescent="0.2">
      <c r="A58">
        <v>2976</v>
      </c>
      <c r="B58" t="s">
        <v>2976</v>
      </c>
      <c r="C58" t="s">
        <v>7086</v>
      </c>
      <c r="D58">
        <v>70</v>
      </c>
      <c r="E58">
        <v>120</v>
      </c>
      <c r="F58" t="s">
        <v>8218</v>
      </c>
      <c r="G58" t="s">
        <v>8224</v>
      </c>
      <c r="H58" t="s">
        <v>8246</v>
      </c>
      <c r="I58">
        <v>1457870400</v>
      </c>
      <c r="J58">
        <v>1456421530</v>
      </c>
      <c r="K58" t="b">
        <v>0</v>
      </c>
      <c r="L58">
        <v>14</v>
      </c>
      <c r="M58" t="b">
        <v>1</v>
      </c>
      <c r="N58" t="s">
        <v>8269</v>
      </c>
      <c r="O58">
        <v>171</v>
      </c>
      <c r="P58">
        <v>8.57</v>
      </c>
      <c r="Q58" t="s">
        <v>8315</v>
      </c>
      <c r="R58" t="s">
        <v>8316</v>
      </c>
      <c r="S58" s="23">
        <v>42425.730671296296</v>
      </c>
      <c r="T58" s="23">
        <v>42442.5</v>
      </c>
      <c r="U58">
        <v>2016</v>
      </c>
    </row>
    <row r="59" spans="1:21" x14ac:dyDescent="0.2">
      <c r="A59">
        <v>2967</v>
      </c>
      <c r="B59" t="s">
        <v>2967</v>
      </c>
      <c r="C59" t="s">
        <v>7077</v>
      </c>
      <c r="D59">
        <v>5000</v>
      </c>
      <c r="E59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v>114</v>
      </c>
      <c r="P59">
        <v>80.23</v>
      </c>
      <c r="Q59" t="s">
        <v>8315</v>
      </c>
      <c r="R59" t="s">
        <v>8316</v>
      </c>
      <c r="S59" s="23">
        <v>42042.197824074072</v>
      </c>
      <c r="T59" s="23">
        <v>42072.156157407408</v>
      </c>
      <c r="U59">
        <v>2015</v>
      </c>
    </row>
    <row r="60" spans="1:21" x14ac:dyDescent="0.2">
      <c r="A60">
        <v>2962</v>
      </c>
      <c r="B60" t="s">
        <v>2962</v>
      </c>
      <c r="C60" t="s">
        <v>7072</v>
      </c>
      <c r="D60">
        <v>1000</v>
      </c>
      <c r="E60">
        <v>1218</v>
      </c>
      <c r="F60" t="s">
        <v>8218</v>
      </c>
      <c r="G60" t="s">
        <v>8223</v>
      </c>
      <c r="H60" t="s">
        <v>8245</v>
      </c>
      <c r="I60">
        <v>1425193140</v>
      </c>
      <c r="J60">
        <v>1422769906</v>
      </c>
      <c r="K60" t="b">
        <v>0</v>
      </c>
      <c r="L60">
        <v>20</v>
      </c>
      <c r="M60" t="b">
        <v>1</v>
      </c>
      <c r="N60" t="s">
        <v>8269</v>
      </c>
      <c r="O60">
        <v>122</v>
      </c>
      <c r="P60">
        <v>60.9</v>
      </c>
      <c r="Q60" t="s">
        <v>8315</v>
      </c>
      <c r="R60" t="s">
        <v>8316</v>
      </c>
      <c r="S60" s="23">
        <v>42036.24428240741</v>
      </c>
      <c r="T60" s="23">
        <v>42064.290972222225</v>
      </c>
      <c r="U60">
        <v>2015</v>
      </c>
    </row>
    <row r="61" spans="1:21" x14ac:dyDescent="0.2">
      <c r="A61">
        <v>2961</v>
      </c>
      <c r="B61" t="s">
        <v>2961</v>
      </c>
      <c r="C61" t="s">
        <v>7071</v>
      </c>
      <c r="D61">
        <v>5000</v>
      </c>
      <c r="E61">
        <v>5481</v>
      </c>
      <c r="F61" t="s">
        <v>8218</v>
      </c>
      <c r="G61" t="s">
        <v>8223</v>
      </c>
      <c r="H61" t="s">
        <v>8245</v>
      </c>
      <c r="I61">
        <v>1427342400</v>
      </c>
      <c r="J61">
        <v>1424927159</v>
      </c>
      <c r="K61" t="b">
        <v>0</v>
      </c>
      <c r="L61">
        <v>108</v>
      </c>
      <c r="M61" t="b">
        <v>1</v>
      </c>
      <c r="N61" t="s">
        <v>8269</v>
      </c>
      <c r="O61">
        <v>110</v>
      </c>
      <c r="P61">
        <v>50.75</v>
      </c>
      <c r="Q61" t="s">
        <v>8315</v>
      </c>
      <c r="R61" t="s">
        <v>8316</v>
      </c>
      <c r="S61" s="23">
        <v>42061.212488425925</v>
      </c>
      <c r="T61" s="23">
        <v>42089.166666666664</v>
      </c>
      <c r="U61">
        <v>2015</v>
      </c>
    </row>
    <row r="62" spans="1:21" x14ac:dyDescent="0.2">
      <c r="A62">
        <v>2928</v>
      </c>
      <c r="B62" t="s">
        <v>2928</v>
      </c>
      <c r="C62" t="s">
        <v>7038</v>
      </c>
      <c r="D62">
        <v>1000</v>
      </c>
      <c r="E62">
        <v>1000</v>
      </c>
      <c r="F62" t="s">
        <v>8218</v>
      </c>
      <c r="G62" t="s">
        <v>8223</v>
      </c>
      <c r="H62" t="s">
        <v>8245</v>
      </c>
      <c r="I62">
        <v>1457135846</v>
      </c>
      <c r="J62">
        <v>1454543846</v>
      </c>
      <c r="K62" t="b">
        <v>0</v>
      </c>
      <c r="L62">
        <v>24</v>
      </c>
      <c r="M62" t="b">
        <v>1</v>
      </c>
      <c r="N62" t="s">
        <v>8303</v>
      </c>
      <c r="O62">
        <v>100</v>
      </c>
      <c r="P62">
        <v>41.67</v>
      </c>
      <c r="Q62" t="s">
        <v>8315</v>
      </c>
      <c r="R62" t="s">
        <v>8357</v>
      </c>
      <c r="S62" s="23">
        <v>42403.998217592591</v>
      </c>
      <c r="T62" s="23">
        <v>42433.998217592591</v>
      </c>
      <c r="U62">
        <v>2016</v>
      </c>
    </row>
    <row r="63" spans="1:21" x14ac:dyDescent="0.2">
      <c r="A63">
        <v>2926</v>
      </c>
      <c r="B63" t="s">
        <v>2926</v>
      </c>
      <c r="C63" t="s">
        <v>7036</v>
      </c>
      <c r="D63">
        <v>3000</v>
      </c>
      <c r="E63">
        <v>3750</v>
      </c>
      <c r="F63" t="s">
        <v>8218</v>
      </c>
      <c r="G63" t="s">
        <v>8223</v>
      </c>
      <c r="H63" t="s">
        <v>8245</v>
      </c>
      <c r="I63">
        <v>1424715779</v>
      </c>
      <c r="J63">
        <v>1423506179</v>
      </c>
      <c r="K63" t="b">
        <v>0</v>
      </c>
      <c r="L63">
        <v>50</v>
      </c>
      <c r="M63" t="b">
        <v>1</v>
      </c>
      <c r="N63" t="s">
        <v>8303</v>
      </c>
      <c r="O63">
        <v>125</v>
      </c>
      <c r="P63">
        <v>75</v>
      </c>
      <c r="Q63" t="s">
        <v>8315</v>
      </c>
      <c r="R63" t="s">
        <v>8357</v>
      </c>
      <c r="S63" s="23">
        <v>42044.765960648147</v>
      </c>
      <c r="T63" s="23">
        <v>42058.765960648147</v>
      </c>
      <c r="U63">
        <v>2015</v>
      </c>
    </row>
    <row r="64" spans="1:21" x14ac:dyDescent="0.2">
      <c r="A64">
        <v>2840</v>
      </c>
      <c r="B64" t="s">
        <v>2840</v>
      </c>
      <c r="C64" t="s">
        <v>6950</v>
      </c>
      <c r="D64">
        <v>2500</v>
      </c>
      <c r="E64">
        <v>2600</v>
      </c>
      <c r="F64" t="s">
        <v>8218</v>
      </c>
      <c r="G64" t="s">
        <v>8224</v>
      </c>
      <c r="H64" t="s">
        <v>8246</v>
      </c>
      <c r="I64">
        <v>1426698000</v>
      </c>
      <c r="J64">
        <v>1424825479</v>
      </c>
      <c r="K64" t="b">
        <v>0</v>
      </c>
      <c r="L64">
        <v>132</v>
      </c>
      <c r="M64" t="b">
        <v>1</v>
      </c>
      <c r="N64" t="s">
        <v>8269</v>
      </c>
      <c r="O64">
        <v>104</v>
      </c>
      <c r="P64">
        <v>19.7</v>
      </c>
      <c r="Q64" t="s">
        <v>8315</v>
      </c>
      <c r="R64" t="s">
        <v>8316</v>
      </c>
      <c r="S64" s="23">
        <v>42060.035636574074</v>
      </c>
      <c r="T64" s="23">
        <v>42081.708333333336</v>
      </c>
      <c r="U64">
        <v>2015</v>
      </c>
    </row>
    <row r="65" spans="1:21" x14ac:dyDescent="0.2">
      <c r="A65">
        <v>2822</v>
      </c>
      <c r="B65" t="s">
        <v>2822</v>
      </c>
      <c r="C65" t="s">
        <v>6932</v>
      </c>
      <c r="D65">
        <v>6000</v>
      </c>
      <c r="E65">
        <v>6000</v>
      </c>
      <c r="F65" t="s">
        <v>8218</v>
      </c>
      <c r="G65" t="s">
        <v>8223</v>
      </c>
      <c r="H65" t="s">
        <v>8245</v>
      </c>
      <c r="I65">
        <v>1427469892</v>
      </c>
      <c r="J65">
        <v>1424881492</v>
      </c>
      <c r="K65" t="b">
        <v>0</v>
      </c>
      <c r="L65">
        <v>94</v>
      </c>
      <c r="M65" t="b">
        <v>1</v>
      </c>
      <c r="N65" t="s">
        <v>8269</v>
      </c>
      <c r="O65">
        <v>100</v>
      </c>
      <c r="P65">
        <v>63.83</v>
      </c>
      <c r="Q65" t="s">
        <v>8315</v>
      </c>
      <c r="R65" t="s">
        <v>8316</v>
      </c>
      <c r="S65" s="23">
        <v>42060.683935185189</v>
      </c>
      <c r="T65" s="23">
        <v>42090.642268518517</v>
      </c>
      <c r="U65">
        <v>2015</v>
      </c>
    </row>
    <row r="66" spans="1:21" x14ac:dyDescent="0.2">
      <c r="A66">
        <v>2820</v>
      </c>
      <c r="B66" t="s">
        <v>2820</v>
      </c>
      <c r="C66" t="s">
        <v>6930</v>
      </c>
      <c r="D66">
        <v>200</v>
      </c>
      <c r="E66">
        <v>272</v>
      </c>
      <c r="F66" t="s">
        <v>8218</v>
      </c>
      <c r="G66" t="s">
        <v>8224</v>
      </c>
      <c r="H66" t="s">
        <v>8246</v>
      </c>
      <c r="I66">
        <v>1456444800</v>
      </c>
      <c r="J66">
        <v>1454337589</v>
      </c>
      <c r="K66" t="b">
        <v>0</v>
      </c>
      <c r="L66">
        <v>20</v>
      </c>
      <c r="M66" t="b">
        <v>1</v>
      </c>
      <c r="N66" t="s">
        <v>8269</v>
      </c>
      <c r="O66">
        <v>136</v>
      </c>
      <c r="P66">
        <v>13.6</v>
      </c>
      <c r="Q66" t="s">
        <v>8315</v>
      </c>
      <c r="R66" t="s">
        <v>8316</v>
      </c>
      <c r="S66" s="23">
        <v>42401.610983796294</v>
      </c>
      <c r="T66" s="14">
        <v>42426</v>
      </c>
      <c r="U66">
        <v>2016</v>
      </c>
    </row>
    <row r="67" spans="1:21" x14ac:dyDescent="0.2">
      <c r="A67">
        <v>2812</v>
      </c>
      <c r="B67" t="s">
        <v>2812</v>
      </c>
      <c r="C67" t="s">
        <v>6922</v>
      </c>
      <c r="D67">
        <v>5000</v>
      </c>
      <c r="E67">
        <v>5665</v>
      </c>
      <c r="F67" t="s">
        <v>8218</v>
      </c>
      <c r="G67" t="s">
        <v>8228</v>
      </c>
      <c r="H67" t="s">
        <v>8250</v>
      </c>
      <c r="I67">
        <v>1428292800</v>
      </c>
      <c r="J67">
        <v>1424368298</v>
      </c>
      <c r="K67" t="b">
        <v>0</v>
      </c>
      <c r="L67">
        <v>83</v>
      </c>
      <c r="M67" t="b">
        <v>1</v>
      </c>
      <c r="N67" t="s">
        <v>8269</v>
      </c>
      <c r="O67">
        <v>113</v>
      </c>
      <c r="P67">
        <v>68.25</v>
      </c>
      <c r="Q67" t="s">
        <v>8315</v>
      </c>
      <c r="R67" t="s">
        <v>8316</v>
      </c>
      <c r="S67" s="23">
        <v>42054.744189814817</v>
      </c>
      <c r="T67" s="23">
        <v>42100.166666666664</v>
      </c>
      <c r="U67">
        <v>2015</v>
      </c>
    </row>
    <row r="68" spans="1:21" x14ac:dyDescent="0.2">
      <c r="A68">
        <v>2794</v>
      </c>
      <c r="B68" t="s">
        <v>2794</v>
      </c>
      <c r="C68" t="s">
        <v>6904</v>
      </c>
      <c r="D68">
        <v>50</v>
      </c>
      <c r="E68">
        <v>75</v>
      </c>
      <c r="F68" t="s">
        <v>8218</v>
      </c>
      <c r="G68" t="s">
        <v>8224</v>
      </c>
      <c r="H68" t="s">
        <v>8246</v>
      </c>
      <c r="I68">
        <v>1457031600</v>
      </c>
      <c r="J68">
        <v>1455640559</v>
      </c>
      <c r="K68" t="b">
        <v>0</v>
      </c>
      <c r="L68">
        <v>3</v>
      </c>
      <c r="M68" t="b">
        <v>1</v>
      </c>
      <c r="N68" t="s">
        <v>8269</v>
      </c>
      <c r="O68">
        <v>150</v>
      </c>
      <c r="P68">
        <v>25</v>
      </c>
      <c r="Q68" t="s">
        <v>8315</v>
      </c>
      <c r="R68" t="s">
        <v>8316</v>
      </c>
      <c r="S68" s="23">
        <v>42416.691655092596</v>
      </c>
      <c r="T68" s="23">
        <v>42432.791666666664</v>
      </c>
      <c r="U68">
        <v>2016</v>
      </c>
    </row>
    <row r="69" spans="1:21" x14ac:dyDescent="0.2">
      <c r="A69">
        <v>2789</v>
      </c>
      <c r="B69" t="s">
        <v>2789</v>
      </c>
      <c r="C69" t="s">
        <v>6899</v>
      </c>
      <c r="D69">
        <v>3000</v>
      </c>
      <c r="E69">
        <v>3035</v>
      </c>
      <c r="F69" t="s">
        <v>8218</v>
      </c>
      <c r="G69" t="s">
        <v>8223</v>
      </c>
      <c r="H69" t="s">
        <v>8245</v>
      </c>
      <c r="I69">
        <v>1426132800</v>
      </c>
      <c r="J69">
        <v>1424477934</v>
      </c>
      <c r="K69" t="b">
        <v>0</v>
      </c>
      <c r="L69">
        <v>24</v>
      </c>
      <c r="M69" t="b">
        <v>1</v>
      </c>
      <c r="N69" t="s">
        <v>8269</v>
      </c>
      <c r="O69">
        <v>101</v>
      </c>
      <c r="P69">
        <v>126.46</v>
      </c>
      <c r="Q69" t="s">
        <v>8315</v>
      </c>
      <c r="R69" t="s">
        <v>8316</v>
      </c>
      <c r="S69" s="23">
        <v>42056.013124999998</v>
      </c>
      <c r="T69" s="23">
        <v>42075.166666666664</v>
      </c>
      <c r="U69">
        <v>2015</v>
      </c>
    </row>
    <row r="70" spans="1:21" x14ac:dyDescent="0.2">
      <c r="A70">
        <v>2719</v>
      </c>
      <c r="B70" t="s">
        <v>2719</v>
      </c>
      <c r="C70" t="s">
        <v>6829</v>
      </c>
      <c r="D70">
        <v>6000</v>
      </c>
      <c r="E70">
        <v>6530</v>
      </c>
      <c r="F70" t="s">
        <v>8218</v>
      </c>
      <c r="G70" t="s">
        <v>8223</v>
      </c>
      <c r="H70" t="s">
        <v>8245</v>
      </c>
      <c r="I70">
        <v>1460936694</v>
      </c>
      <c r="J70">
        <v>1455756294</v>
      </c>
      <c r="K70" t="b">
        <v>0</v>
      </c>
      <c r="L70">
        <v>69</v>
      </c>
      <c r="M70" t="b">
        <v>1</v>
      </c>
      <c r="N70" t="s">
        <v>8301</v>
      </c>
      <c r="O70">
        <v>109</v>
      </c>
      <c r="P70">
        <v>94.64</v>
      </c>
      <c r="Q70" t="s">
        <v>8315</v>
      </c>
      <c r="R70" t="s">
        <v>8355</v>
      </c>
      <c r="S70" s="23">
        <v>42418.031180555554</v>
      </c>
      <c r="T70" s="23">
        <v>42477.98951388889</v>
      </c>
      <c r="U70">
        <v>2016</v>
      </c>
    </row>
    <row r="71" spans="1:21" x14ac:dyDescent="0.2">
      <c r="A71">
        <v>1296</v>
      </c>
      <c r="B71" t="s">
        <v>1297</v>
      </c>
      <c r="C71" t="s">
        <v>5406</v>
      </c>
      <c r="D71">
        <v>850</v>
      </c>
      <c r="E71">
        <v>1200</v>
      </c>
      <c r="F71" t="s">
        <v>8218</v>
      </c>
      <c r="G71" t="s">
        <v>8224</v>
      </c>
      <c r="H71" t="s">
        <v>8246</v>
      </c>
      <c r="I71">
        <v>1457914373</v>
      </c>
      <c r="J71">
        <v>1456189973</v>
      </c>
      <c r="K71" t="b">
        <v>0</v>
      </c>
      <c r="L71">
        <v>23</v>
      </c>
      <c r="M71" t="b">
        <v>1</v>
      </c>
      <c r="N71" t="s">
        <v>8269</v>
      </c>
      <c r="O71">
        <v>141</v>
      </c>
      <c r="P71">
        <v>52.17</v>
      </c>
      <c r="Q71" t="s">
        <v>8315</v>
      </c>
      <c r="R71" t="s">
        <v>8316</v>
      </c>
      <c r="S71" s="23">
        <v>42423.050613425927</v>
      </c>
      <c r="T71" s="23">
        <v>42443.008946759262</v>
      </c>
      <c r="U71">
        <v>2016</v>
      </c>
    </row>
    <row r="72" spans="1:21" x14ac:dyDescent="0.2">
      <c r="A72">
        <v>1286</v>
      </c>
      <c r="B72" t="s">
        <v>1287</v>
      </c>
      <c r="C72" t="s">
        <v>5396</v>
      </c>
      <c r="D72">
        <v>1500</v>
      </c>
      <c r="E72">
        <v>1625</v>
      </c>
      <c r="F72" t="s">
        <v>8218</v>
      </c>
      <c r="G72" t="s">
        <v>8224</v>
      </c>
      <c r="H72" t="s">
        <v>8246</v>
      </c>
      <c r="I72">
        <v>1424181600</v>
      </c>
      <c r="J72">
        <v>1423041227</v>
      </c>
      <c r="K72" t="b">
        <v>0</v>
      </c>
      <c r="L72">
        <v>20</v>
      </c>
      <c r="M72" t="b">
        <v>1</v>
      </c>
      <c r="N72" t="s">
        <v>8269</v>
      </c>
      <c r="O72">
        <v>108</v>
      </c>
      <c r="P72">
        <v>81.25</v>
      </c>
      <c r="Q72" t="s">
        <v>8315</v>
      </c>
      <c r="R72" t="s">
        <v>8316</v>
      </c>
      <c r="S72" s="23">
        <v>42039.384571759256</v>
      </c>
      <c r="T72" s="23">
        <v>42052.583333333336</v>
      </c>
      <c r="U72">
        <v>2015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2B9E-318A-744A-ABAA-9C7050B7669D}">
  <dimension ref="A1:E18"/>
  <sheetViews>
    <sheetView tabSelected="1" zoomScale="180" zoomScaleNormal="180" workbookViewId="0">
      <selection activeCell="H2" sqref="H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6" width="11.16406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8397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96FED-BE88-9F4F-840B-453218A0D636}">
  <dimension ref="A1:H13"/>
  <sheetViews>
    <sheetView zoomScale="150" workbookViewId="0">
      <selection activeCell="C11" sqref="C11"/>
    </sheetView>
  </sheetViews>
  <sheetFormatPr baseColWidth="10" defaultRowHeight="15" x14ac:dyDescent="0.2"/>
  <cols>
    <col min="1" max="1" width="16.1640625" bestFit="1" customWidth="1"/>
    <col min="2" max="2" width="16.33203125" bestFit="1" customWidth="1"/>
    <col min="3" max="3" width="12.33203125" bestFit="1" customWidth="1"/>
    <col min="4" max="4" width="14.83203125" bestFit="1" customWidth="1"/>
    <col min="5" max="5" width="11.5" bestFit="1" customWidth="1"/>
    <col min="6" max="6" width="17.83203125" bestFit="1" customWidth="1"/>
    <col min="7" max="7" width="14.6640625" bestFit="1" customWidth="1"/>
    <col min="8" max="8" width="17.1640625" bestFit="1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COUNTIFS(Kickstarters!$F:$F,"successful",Kickstarters!$D:$D,"&lt;1000", Kickstarters!$R:$R,"plays")</f>
        <v>141</v>
      </c>
      <c r="C2">
        <f>COUNTIFS(Kickstarters!$F:$F,"failed",Kickstarters!$D:$D,"&lt;1000", Kickstarters!$R:$R,"plays")</f>
        <v>45</v>
      </c>
      <c r="D2">
        <f>COUNTIFS(Kickstarters!$F:$F,"canceled",Kickstarters!$D:$D,"&lt;1000", Kickstarters!$R:$R,"plays")</f>
        <v>0</v>
      </c>
      <c r="E2">
        <f>SUM(B2:D2)</f>
        <v>186</v>
      </c>
      <c r="F2" s="22">
        <f>(B2*100)/E2</f>
        <v>75.806451612903231</v>
      </c>
      <c r="G2" s="22">
        <f>(C2*100)/E2</f>
        <v>24.193548387096776</v>
      </c>
      <c r="H2" s="22">
        <f>IFERROR((D2*100)/E2,0)</f>
        <v>0</v>
      </c>
    </row>
    <row r="3" spans="1:8" x14ac:dyDescent="0.2">
      <c r="A3" t="s">
        <v>8406</v>
      </c>
      <c r="B3">
        <f>COUNTIFS(Kickstarters!$F:$F,"successful",Kickstarters!$D:$D,"&gt;=1000", Kickstarters!$R:$R,"plays",Kickstarters!$D:$D,"&lt;=4999")</f>
        <v>388</v>
      </c>
      <c r="C3">
        <f>COUNTIFS(Kickstarters!$F:$F,"failed",Kickstarters!$D:$D,"&gt;=1000", Kickstarters!$R:$R,"plays",Kickstarters!$D:$D,"&lt;=4999")</f>
        <v>146</v>
      </c>
      <c r="D3">
        <f>COUNTIFS(Kickstarters!$F:$F,"canceled",Kickstarters!$D:$D,"&gt;=1000", Kickstarters!$R:$R,"plays",Kickstarters!$D:$D,"&lt;=4999")</f>
        <v>0</v>
      </c>
      <c r="E3">
        <f>SUM(B3:D3)</f>
        <v>534</v>
      </c>
      <c r="F3" s="22">
        <f>(B3*100)/E3</f>
        <v>72.659176029962552</v>
      </c>
      <c r="G3" s="22">
        <f t="shared" ref="G3:G13" si="0">(C3*100)/E3</f>
        <v>27.340823970037452</v>
      </c>
      <c r="H3" s="22">
        <f t="shared" ref="H3:H13" si="1">IFERROR((D3*100)/E3,0)</f>
        <v>0</v>
      </c>
    </row>
    <row r="4" spans="1:8" x14ac:dyDescent="0.2">
      <c r="A4" t="s">
        <v>8407</v>
      </c>
      <c r="B4">
        <f>COUNTIFS(Kickstarters!$F:$F,"successful",Kickstarters!$D:$D,"&gt;=5000", Kickstarters!$R:$R,"plays",Kickstarters!$D:$D,"&lt;=9999")</f>
        <v>93</v>
      </c>
      <c r="C4">
        <f>COUNTIFS(Kickstarters!$F:$F,"failed",Kickstarters!$D:$D,"&gt;=5000", Kickstarters!$R:$R,"plays",Kickstarters!$D:$D,"&lt;=9999")</f>
        <v>76</v>
      </c>
      <c r="D4">
        <f>COUNTIFS(Kickstarters!$F:$F,"canceled",Kickstarters!$D:$D,"&gt;=5000", Kickstarters!$R:$R,"plays",Kickstarters!$D:$D,"&lt;=9999")</f>
        <v>0</v>
      </c>
      <c r="E4">
        <f t="shared" ref="E4:E13" si="2">SUM(B4:D4)</f>
        <v>169</v>
      </c>
      <c r="F4" s="22">
        <f t="shared" ref="F4:F13" si="3">(B4*100)/E4</f>
        <v>55.029585798816569</v>
      </c>
      <c r="G4" s="22">
        <f t="shared" si="0"/>
        <v>44.970414201183431</v>
      </c>
      <c r="H4" s="22">
        <f t="shared" si="1"/>
        <v>0</v>
      </c>
    </row>
    <row r="5" spans="1:8" x14ac:dyDescent="0.2">
      <c r="A5" t="s">
        <v>8408</v>
      </c>
      <c r="B5">
        <f>COUNTIFS(Kickstarters!$F:$F,"successful",Kickstarters!$D:$D,"&gt;=10000", Kickstarters!$R:$R,"plays",Kickstarters!$D:$D,"&lt;=14999")</f>
        <v>39</v>
      </c>
      <c r="C5">
        <f>COUNTIFS(Kickstarters!$F:$F,"failed",Kickstarters!$D:$D,"&gt;=10000", Kickstarters!$R:$R,"plays",Kickstarters!$D:$D,"&lt;=14999")</f>
        <v>33</v>
      </c>
      <c r="D5">
        <f>COUNTIFS(Kickstarters!$F:$F,"canceled",Kickstarters!$D:$D,"&gt;=10000", Kickstarters!$R:$R,"plays",Kickstarters!$D:$D,"&lt;=14999")</f>
        <v>0</v>
      </c>
      <c r="E5">
        <f t="shared" si="2"/>
        <v>72</v>
      </c>
      <c r="F5" s="22">
        <f t="shared" si="3"/>
        <v>54.166666666666664</v>
      </c>
      <c r="G5" s="22">
        <f t="shared" si="0"/>
        <v>45.833333333333336</v>
      </c>
      <c r="H5" s="22">
        <f t="shared" si="1"/>
        <v>0</v>
      </c>
    </row>
    <row r="6" spans="1:8" x14ac:dyDescent="0.2">
      <c r="A6" t="s">
        <v>8409</v>
      </c>
      <c r="B6">
        <f>COUNTIFS(Kickstarters!$F:$F,"successful",Kickstarters!$D:$D,"&gt;=15000", Kickstarters!$R:$R,"plays",Kickstarters!$D:$D,"&lt;=19999")</f>
        <v>12</v>
      </c>
      <c r="C6">
        <f>COUNTIFS(Kickstarters!$F:$F,"failed",Kickstarters!$D:$D,"&gt;=15000", Kickstarters!$R:$R,"plays",Kickstarters!$D:$D,"&lt;=19999")</f>
        <v>12</v>
      </c>
      <c r="D6">
        <f>COUNTIFS(Kickstarters!$F:$F,"canceled",Kickstarters!$D:$D,"&gt;=15000", Kickstarters!$R:$R,"plays",Kickstarters!$D:$D,"&lt;=19999")</f>
        <v>0</v>
      </c>
      <c r="E6">
        <f t="shared" si="2"/>
        <v>24</v>
      </c>
      <c r="F6" s="22">
        <f t="shared" si="3"/>
        <v>50</v>
      </c>
      <c r="G6" s="22">
        <f t="shared" si="0"/>
        <v>50</v>
      </c>
      <c r="H6" s="22">
        <f t="shared" si="1"/>
        <v>0</v>
      </c>
    </row>
    <row r="7" spans="1:8" x14ac:dyDescent="0.2">
      <c r="A7" t="s">
        <v>8410</v>
      </c>
      <c r="B7">
        <f>COUNTIFS(Kickstarters!$F:$F,"successful",Kickstarters!$D:$D,"&gt;=20000", Kickstarters!$R:$R,"plays",Kickstarters!$D:$D,"&lt;=24999")</f>
        <v>9</v>
      </c>
      <c r="C7">
        <f>COUNTIFS(Kickstarters!$F:$F,"failed",Kickstarters!$D:$D,"&gt;=20000", Kickstarters!$R:$R,"plays",Kickstarters!$D:$D,"&lt;=24999")</f>
        <v>11</v>
      </c>
      <c r="D7">
        <f>COUNTIFS(Kickstarters!$F:$F,"canceled",Kickstarters!$D:$D,"&gt;=20000", Kickstarters!$R:$R,"plays",Kickstarters!$D:$D,"&lt;=24999")</f>
        <v>0</v>
      </c>
      <c r="E7">
        <f t="shared" si="2"/>
        <v>20</v>
      </c>
      <c r="F7" s="22">
        <f t="shared" si="3"/>
        <v>45</v>
      </c>
      <c r="G7" s="22">
        <f t="shared" si="0"/>
        <v>55</v>
      </c>
      <c r="H7" s="22">
        <f t="shared" si="1"/>
        <v>0</v>
      </c>
    </row>
    <row r="8" spans="1:8" x14ac:dyDescent="0.2">
      <c r="A8" t="s">
        <v>8411</v>
      </c>
      <c r="B8">
        <f>COUNTIFS(Kickstarters!$F:$F,"successful",Kickstarters!$D:$D,"&gt;=25000", Kickstarters!$R:$R,"plays",Kickstarters!$D:$D,"&lt;=29999")</f>
        <v>1</v>
      </c>
      <c r="C8">
        <f>COUNTIFS(Kickstarters!$F:$F,"failed",Kickstarters!$D:$D,"&gt;=25000", Kickstarters!$R:$R,"plays",Kickstarters!$D:$D,"&lt;=29999")</f>
        <v>4</v>
      </c>
      <c r="D8">
        <f>COUNTIFS(Kickstarters!$F:$F,"canceled",Kickstarters!$D:$D,"&gt;=25000", Kickstarters!$R:$R,"plays",Kickstarters!$D:$D,"&lt;=29999")</f>
        <v>0</v>
      </c>
      <c r="E8">
        <f t="shared" si="2"/>
        <v>5</v>
      </c>
      <c r="F8" s="22">
        <f t="shared" si="3"/>
        <v>20</v>
      </c>
      <c r="G8" s="22">
        <f t="shared" si="0"/>
        <v>80</v>
      </c>
      <c r="H8" s="22">
        <f t="shared" si="1"/>
        <v>0</v>
      </c>
    </row>
    <row r="9" spans="1:8" x14ac:dyDescent="0.2">
      <c r="A9" t="s">
        <v>8412</v>
      </c>
      <c r="B9">
        <f>COUNTIFS(Kickstarters!$F:$F,"successful",Kickstarters!$D:$D,"&gt;=30000", Kickstarters!$R:$R,"plays",Kickstarters!$D:$D,"&lt;=34999")</f>
        <v>3</v>
      </c>
      <c r="C9">
        <f>COUNTIFS(Kickstarters!$F:$F,"failed",Kickstarters!$D:$D,"&gt;=30000", Kickstarters!$R:$R,"plays",Kickstarters!$D:$D,"&lt;=34999")</f>
        <v>8</v>
      </c>
      <c r="D9">
        <f>COUNTIFS(Kickstarters!$F:$F,"canceled",Kickstarters!$D:$D,"&gt;=30000", Kickstarters!$R:$R,"plays",Kickstarters!$D:$D,"&lt;=34999")</f>
        <v>0</v>
      </c>
      <c r="E9">
        <f t="shared" si="2"/>
        <v>11</v>
      </c>
      <c r="F9" s="22">
        <f t="shared" si="3"/>
        <v>27.272727272727273</v>
      </c>
      <c r="G9" s="22">
        <f t="shared" si="0"/>
        <v>72.727272727272734</v>
      </c>
      <c r="H9" s="22">
        <f t="shared" si="1"/>
        <v>0</v>
      </c>
    </row>
    <row r="10" spans="1:8" x14ac:dyDescent="0.2">
      <c r="A10" t="s">
        <v>8413</v>
      </c>
      <c r="B10">
        <f>COUNTIFS(Kickstarters!$F:$F,"successful",Kickstarters!$D:$D,"&gt;=35000", Kickstarters!$R:$R,"plays",Kickstarters!$D:$D,"&lt;=39999")</f>
        <v>4</v>
      </c>
      <c r="C10">
        <f>COUNTIFS(Kickstarters!$F:$F,"failed",Kickstarters!$D:$D,"&gt;=35000", Kickstarters!$R:$R,"plays",Kickstarters!$D:$D,"&lt;=39999")</f>
        <v>2</v>
      </c>
      <c r="D10">
        <f>COUNTIFS(Kickstarters!$F:$F,"canceled",Kickstarters!$D:$D,"&gt;=35000", Kickstarters!$R:$R,"plays",Kickstarters!$D:$D,"&lt;=39999")</f>
        <v>0</v>
      </c>
      <c r="E10">
        <f t="shared" si="2"/>
        <v>6</v>
      </c>
      <c r="F10" s="22">
        <f t="shared" si="3"/>
        <v>66.666666666666671</v>
      </c>
      <c r="G10" s="22">
        <f t="shared" si="0"/>
        <v>33.333333333333336</v>
      </c>
      <c r="H10" s="22">
        <f t="shared" si="1"/>
        <v>0</v>
      </c>
    </row>
    <row r="11" spans="1:8" x14ac:dyDescent="0.2">
      <c r="A11" t="s">
        <v>8414</v>
      </c>
      <c r="B11">
        <f>COUNTIFS(Kickstarters!$F:$F,"successful",Kickstarters!$D:$D,"&gt;=40000", Kickstarters!$R:$R,"plays",Kickstarters!$D:$D,"&lt;=44999")</f>
        <v>2</v>
      </c>
      <c r="C11">
        <f>COUNTIFS(Kickstarters!$F:$F,"failed",Kickstarters!$D:$D,"&gt;=40000", Kickstarters!$R:$R,"plays",Kickstarters!$D:$D,"&lt;=44999")</f>
        <v>1</v>
      </c>
      <c r="D11">
        <f>COUNTIFS(Kickstarters!$F:$F,"canceled",Kickstarters!$D:$D,"&gt;=40000", Kickstarters!$R:$R,"plays",Kickstarters!$D:$D,"&lt;=44999")</f>
        <v>0</v>
      </c>
      <c r="E11">
        <f t="shared" si="2"/>
        <v>3</v>
      </c>
      <c r="F11" s="22">
        <f t="shared" si="3"/>
        <v>66.666666666666671</v>
      </c>
      <c r="G11" s="22">
        <f t="shared" si="0"/>
        <v>33.333333333333336</v>
      </c>
      <c r="H11" s="22">
        <f t="shared" si="1"/>
        <v>0</v>
      </c>
    </row>
    <row r="12" spans="1:8" x14ac:dyDescent="0.2">
      <c r="A12" t="s">
        <v>8415</v>
      </c>
      <c r="B12">
        <f>COUNTIFS(Kickstarters!$F:$F,"successful",Kickstarters!$D:$D,"&gt;=45000", Kickstarters!$R:$R,"plays",Kickstarters!$D:$D,"&lt;=49999")</f>
        <v>0</v>
      </c>
      <c r="C12">
        <f>COUNTIFS(Kickstarters!$F:$F,"failed",Kickstarters!$D:$D,"&gt;=45000", Kickstarters!$R:$R,"plays",Kickstarters!$D:$D,"&lt;=49999")</f>
        <v>1</v>
      </c>
      <c r="D12">
        <f>COUNTIFS(Kickstarters!$F:$F,"canceled",Kickstarters!$D:$D,"&gt;=45000", Kickstarters!$R:$R,"plays",Kickstarters!$D:$D,"&lt;=49999")</f>
        <v>0</v>
      </c>
      <c r="E12">
        <f t="shared" si="2"/>
        <v>1</v>
      </c>
      <c r="F12" s="22">
        <f t="shared" si="3"/>
        <v>0</v>
      </c>
      <c r="G12" s="22">
        <f t="shared" si="0"/>
        <v>100</v>
      </c>
      <c r="H12" s="22">
        <f t="shared" si="1"/>
        <v>0</v>
      </c>
    </row>
    <row r="13" spans="1:8" x14ac:dyDescent="0.2">
      <c r="A13" t="s">
        <v>8416</v>
      </c>
      <c r="B13">
        <f>COUNTIFS(Kickstarters!$F:$F,"successful",Kickstarters!$D:$D,"&gt;=50000", Kickstarters!$R:$R,"plays")</f>
        <v>2</v>
      </c>
      <c r="C13">
        <f>COUNTIFS(Kickstarters!$F:$F,"failed",Kickstarters!$D:$D,"&gt;=50000", Kickstarters!$R:$R,"plays")</f>
        <v>14</v>
      </c>
      <c r="D13">
        <f>COUNTIFS(Kickstarters!$F:$F,"canceled",Kickstarters!$D:$D,"&gt;=50000", Kickstarters!$R:$R,"plays")</f>
        <v>0</v>
      </c>
      <c r="E13">
        <f t="shared" si="2"/>
        <v>16</v>
      </c>
      <c r="F13" s="22">
        <f t="shared" si="3"/>
        <v>12.5</v>
      </c>
      <c r="G13" s="22">
        <f t="shared" si="0"/>
        <v>87.5</v>
      </c>
      <c r="H13" s="22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L1" zoomScale="90" zoomScaleNormal="90" workbookViewId="0">
      <pane ySplit="1" topLeftCell="A522" activePane="bottomLeft" state="frozen"/>
      <selection pane="bottomLeft" activeCell="Q9" sqref="Q8:Q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9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 + 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 + 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 + 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 + 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 + 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 + 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 + 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 + 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 + 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 + 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 + 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 + 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 + 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 + 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 + 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 + 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 + 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 + 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 + 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 + 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 + 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 + 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 + 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 + 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 + 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 + 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 + 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 + 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 + 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 + 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 + 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 + 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 + 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 + 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 + 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 + 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 + 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 + 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 + 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 + 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 + 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 + 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 + 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 + 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 + 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 + 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 + 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 + 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 + 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 + 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 + 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 + 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 + 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 + 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 + 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 + 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 + 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 + 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 + 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 + 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 + 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 + 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 + 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 + 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 + 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 + 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3" priority="2" operator="equal">
      <formula>"failed"</formula>
    </cfRule>
    <cfRule type="cellIs" dxfId="12" priority="3" operator="equal">
      <formula>"canceled"</formula>
    </cfRule>
    <cfRule type="cellIs" dxfId="11" priority="4" operator="equal">
      <formula>"successful"</formula>
    </cfRule>
    <cfRule type="containsText" dxfId="1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5EC7-1ECA-B242-B21D-AD60A5944472}">
  <dimension ref="A1:C14"/>
  <sheetViews>
    <sheetView zoomScale="140" zoomScaleNormal="140" workbookViewId="0">
      <selection activeCell="L31" sqref="L31"/>
    </sheetView>
  </sheetViews>
  <sheetFormatPr baseColWidth="10" defaultRowHeight="15" x14ac:dyDescent="0.2"/>
  <cols>
    <col min="1" max="1" width="22.1640625" bestFit="1" customWidth="1"/>
    <col min="2" max="2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8389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">
      <c r="A6" t="s">
        <v>8390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">
      <c r="A7" t="s">
        <v>8391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8392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8393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t="s">
        <v>8394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371A-80B9-7444-9491-16DF31C28FFD}">
  <dimension ref="A1:T251"/>
  <sheetViews>
    <sheetView workbookViewId="0">
      <selection activeCell="E3" sqref="E3"/>
    </sheetView>
  </sheetViews>
  <sheetFormatPr baseColWidth="10" defaultRowHeight="15" x14ac:dyDescent="0.2"/>
  <cols>
    <col min="6" max="6" width="13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A1:T1" xr:uid="{1F20371A-80B9-7444-9491-16DF31C28FFD}"/>
  <conditionalFormatting sqref="F1:F251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ontainsText" dxfId="6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D49BB-B250-7D4F-86F6-10121F78B33A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027D49BB-B250-7D4F-86F6-10121F78B33A}"/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  <cfRule type="containsText" dxfId="2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Gráficos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Edinburgh Research</vt:lpstr>
      <vt:lpstr>Hoja4</vt:lpstr>
      <vt:lpstr>Theater Outcomes by Launch Date</vt:lpstr>
      <vt:lpstr>Outcomes Based on Goals</vt:lpstr>
      <vt:lpstr>Kickstarters</vt:lpstr>
      <vt:lpstr>Descriptive Statistics</vt:lpstr>
      <vt:lpstr>Failed US Kickstarters</vt:lpstr>
      <vt:lpstr>Successful US Kickstarters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2021-12-27T02:27:31Z</dcterms:modified>
</cp:coreProperties>
</file>