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RPA_CORP\Documents\UiPath\VOTORANTIM_004_001_RT1_Controles SOX-EAA-01.74.1-AR y SOX-EAA-02.74.1-AP\Data\ExcelReports\"/>
    </mc:Choice>
  </mc:AlternateContent>
  <xr:revisionPtr revIDLastSave="0" documentId="13_ncr:1_{7B3178BE-C193-4BB5-8F46-6FC5468C73D7}" xr6:coauthVersionLast="47" xr6:coauthVersionMax="47" xr10:uidLastSave="{00000000-0000-0000-0000-000000000000}"/>
  <bookViews>
    <workbookView xWindow="780" yWindow="780" windowWidth="21585" windowHeight="10290" tabRatio="824" firstSheet="1" activeTab="1" xr2:uid="{878C1983-D631-4408-B83E-37E3381AEC97}"/>
  </bookViews>
  <sheets>
    <sheet name="Acerno_Cache_XXXXX" sheetId="21" state="veryHidden" r:id="rId1"/>
    <sheet name="ZEUFI037" sheetId="2" r:id="rId2"/>
    <sheet name="GL Analysis" sheetId="3" r:id="rId3"/>
    <sheet name="Clearings" sheetId="10" r:id="rId4"/>
    <sheet name="To_Analyze" sheetId="11" r:id="rId5"/>
    <sheet name="Under_Control" sheetId="12" r:id="rId6"/>
    <sheet name="AR" sheetId="13" r:id="rId7"/>
    <sheet name="AP" sheetId="14" r:id="rId8"/>
    <sheet name="Summary" sheetId="9" r:id="rId9"/>
    <sheet name="AR_To Analyze" sheetId="19" r:id="rId10"/>
    <sheet name="AP_To Analyze" sheetId="20" r:id="rId11"/>
    <sheet name="Sample_AR" sheetId="17" r:id="rId12"/>
    <sheet name="Sample_AP" sheetId="18" r:id="rId13"/>
  </sheets>
  <definedNames>
    <definedName name="_xlnm._FilterDatabase" localSheetId="2" hidden="1">'GL Analysis'!$B$3:$E$3</definedName>
    <definedName name="ExternalData_1" localSheetId="6" hidden="1">AR!$B$7:$L$20</definedName>
    <definedName name="ExternalData_1" localSheetId="3" hidden="1">'Clearings'!$B$5:$AM$65</definedName>
    <definedName name="ExternalData_1" localSheetId="11" hidden="1">Sample_AR!$B$5:$M$7</definedName>
    <definedName name="ExternalData_1" localSheetId="4" hidden="1">To_Analyze!$B$5:$M$28</definedName>
    <definedName name="ExternalData_2" localSheetId="7" hidden="1">AP!$B$7:$L$17</definedName>
    <definedName name="ExternalData_2" localSheetId="12" hidden="1">Sample_AP!$B$5:$M$6</definedName>
    <definedName name="ExternalData_2" localSheetId="5" hidden="1">Under_Control!$B$5:$M$9</definedName>
    <definedName name="ExternalData_3" localSheetId="9" hidden="1">'AR_To Analyze'!$C$5:$W$11</definedName>
    <definedName name="ExternalData_4" localSheetId="10" hidden="1">'AP_To Analyze'!$C$5:$W$6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4" l="1"/>
  <c r="M9" i="14"/>
  <c r="M10" i="14"/>
  <c r="M11" i="14"/>
  <c r="M12" i="14"/>
  <c r="M13" i="14"/>
  <c r="M14" i="14"/>
  <c r="M15" i="14"/>
  <c r="M16" i="14"/>
  <c r="M17" i="14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N6" i="12"/>
  <c r="N7" i="12"/>
  <c r="N8" i="12"/>
  <c r="N9" i="1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B41" i="2"/>
  <c r="B43" i="2"/>
  <c r="B45" i="2"/>
  <c r="B47" i="2"/>
  <c r="B49" i="2"/>
  <c r="B51" i="2"/>
  <c r="B53" i="2"/>
  <c r="B55" i="2"/>
  <c r="B57" i="2"/>
  <c r="B59" i="2"/>
  <c r="B61" i="2"/>
  <c r="B63" i="2"/>
  <c r="C6" i="2"/>
  <c r="B6" i="2" s="1"/>
  <c r="C7" i="2"/>
  <c r="C8" i="2"/>
  <c r="B8" i="2" s="1"/>
  <c r="C9" i="2"/>
  <c r="C10" i="2"/>
  <c r="B10" i="2" s="1"/>
  <c r="C11" i="2"/>
  <c r="C12" i="2"/>
  <c r="B12" i="2" s="1"/>
  <c r="C13" i="2"/>
  <c r="C14" i="2"/>
  <c r="B14" i="2" s="1"/>
  <c r="C15" i="2"/>
  <c r="C16" i="2"/>
  <c r="B16" i="2" s="1"/>
  <c r="C17" i="2"/>
  <c r="C18" i="2"/>
  <c r="B18" i="2" s="1"/>
  <c r="C19" i="2"/>
  <c r="C20" i="2"/>
  <c r="B20" i="2" s="1"/>
  <c r="C21" i="2"/>
  <c r="C22" i="2"/>
  <c r="B22" i="2" s="1"/>
  <c r="C23" i="2"/>
  <c r="C24" i="2"/>
  <c r="B24" i="2" s="1"/>
  <c r="C25" i="2"/>
  <c r="C26" i="2"/>
  <c r="B26" i="2" s="1"/>
  <c r="C27" i="2"/>
  <c r="C28" i="2"/>
  <c r="B28" i="2" s="1"/>
  <c r="C29" i="2"/>
  <c r="C30" i="2"/>
  <c r="B30" i="2" s="1"/>
  <c r="C31" i="2"/>
  <c r="C32" i="2"/>
  <c r="B32" i="2" s="1"/>
  <c r="C33" i="2"/>
  <c r="C34" i="2"/>
  <c r="B34" i="2" s="1"/>
  <c r="C35" i="2"/>
  <c r="C36" i="2"/>
  <c r="B36" i="2" s="1"/>
  <c r="C37" i="2"/>
  <c r="C38" i="2"/>
  <c r="B38" i="2" s="1"/>
  <c r="C39" i="2"/>
  <c r="C40" i="2"/>
  <c r="B40" i="2" s="1"/>
  <c r="C41" i="2"/>
  <c r="C42" i="2"/>
  <c r="B42" i="2" s="1"/>
  <c r="C43" i="2"/>
  <c r="C44" i="2"/>
  <c r="B44" i="2" s="1"/>
  <c r="C45" i="2"/>
  <c r="C46" i="2"/>
  <c r="B46" i="2" s="1"/>
  <c r="C47" i="2"/>
  <c r="C48" i="2"/>
  <c r="B48" i="2" s="1"/>
  <c r="C49" i="2"/>
  <c r="C50" i="2"/>
  <c r="B50" i="2" s="1"/>
  <c r="C51" i="2"/>
  <c r="C52" i="2"/>
  <c r="B52" i="2" s="1"/>
  <c r="C53" i="2"/>
  <c r="C54" i="2"/>
  <c r="B54" i="2" s="1"/>
  <c r="C55" i="2"/>
  <c r="C56" i="2"/>
  <c r="B56" i="2" s="1"/>
  <c r="C57" i="2"/>
  <c r="C58" i="2"/>
  <c r="B58" i="2" s="1"/>
  <c r="C59" i="2"/>
  <c r="C60" i="2"/>
  <c r="B60" i="2" s="1"/>
  <c r="C61" i="2"/>
  <c r="C62" i="2"/>
  <c r="B62" i="2" s="1"/>
  <c r="C63" i="2"/>
  <c r="C64" i="2"/>
  <c r="B64" i="2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19" i="3"/>
  <c r="E19" i="3"/>
  <c r="D13" i="3"/>
  <c r="D14" i="3"/>
  <c r="D15" i="3"/>
  <c r="D16" i="3"/>
  <c r="D17" i="3"/>
  <c r="D18" i="3"/>
  <c r="E13" i="3"/>
  <c r="E14" i="3"/>
  <c r="E15" i="3"/>
  <c r="E16" i="3"/>
  <c r="E17" i="3"/>
  <c r="E18" i="3"/>
  <c r="D12" i="3"/>
  <c r="E12" i="3"/>
  <c r="D10" i="3"/>
  <c r="D11" i="3"/>
  <c r="E10" i="3"/>
  <c r="E11" i="3"/>
  <c r="D9" i="3"/>
  <c r="E9" i="3"/>
  <c r="D5" i="3"/>
  <c r="D6" i="3"/>
  <c r="D7" i="3"/>
  <c r="D8" i="3"/>
  <c r="E5" i="3"/>
  <c r="E6" i="3"/>
  <c r="E7" i="3"/>
  <c r="E8" i="3"/>
  <c r="L3" i="14"/>
  <c r="C8" i="9" s="1"/>
  <c r="L3" i="13"/>
  <c r="C7" i="9" s="1"/>
  <c r="L3" i="18"/>
  <c r="B3" i="18"/>
  <c r="B3" i="17"/>
  <c r="L3" i="17"/>
  <c r="U3" i="20"/>
  <c r="T3" i="20"/>
  <c r="K3" i="20"/>
  <c r="U3" i="19"/>
  <c r="T3" i="19"/>
  <c r="K3" i="19"/>
  <c r="M3" i="14" l="1"/>
  <c r="H8" i="9" s="1"/>
  <c r="I8" i="9" s="1"/>
  <c r="M3" i="13"/>
  <c r="H7" i="9" s="1"/>
  <c r="I7" i="9" s="1"/>
  <c r="C9" i="9"/>
  <c r="D7" i="9" s="1"/>
  <c r="M8" i="9" l="1"/>
  <c r="N8" i="9" s="1"/>
  <c r="M7" i="9"/>
  <c r="N7" i="9" s="1"/>
  <c r="H9" i="9"/>
  <c r="H11" i="9" s="1"/>
  <c r="D8" i="9"/>
  <c r="AB3" i="10"/>
  <c r="Z3" i="10"/>
  <c r="S3" i="10"/>
  <c r="C3" i="11"/>
  <c r="M3" i="11"/>
  <c r="M5" i="13"/>
  <c r="J7" i="9" s="1"/>
  <c r="L5" i="13"/>
  <c r="E7" i="9" s="1"/>
  <c r="L5" i="14"/>
  <c r="E8" i="9" s="1"/>
  <c r="E4" i="3"/>
  <c r="D5" i="2"/>
  <c r="C5" i="2"/>
  <c r="D4" i="3"/>
  <c r="B5" i="2" l="1"/>
  <c r="M9" i="9"/>
  <c r="M11" i="9" s="1"/>
  <c r="I9" i="9"/>
  <c r="E9" i="9"/>
  <c r="F8" i="9" s="1"/>
  <c r="O7" i="9"/>
  <c r="P7" i="9" s="1"/>
  <c r="K7" i="9"/>
  <c r="C3" i="12"/>
  <c r="C6" i="9" s="1"/>
  <c r="C11" i="9" s="1"/>
  <c r="C13" i="9" s="1"/>
  <c r="M3" i="12"/>
  <c r="E6" i="9" s="1"/>
  <c r="N5" i="13"/>
  <c r="M5" i="14"/>
  <c r="N9" i="9" l="1"/>
  <c r="N5" i="14"/>
  <c r="J8" i="9"/>
  <c r="F7" i="9"/>
  <c r="E11" i="9"/>
  <c r="F6" i="9" s="1"/>
  <c r="D9" i="9"/>
  <c r="D6" i="9"/>
  <c r="K8" i="9" l="1"/>
  <c r="O8" i="9"/>
  <c r="J9" i="9"/>
  <c r="F9" i="9"/>
  <c r="E13" i="9"/>
  <c r="F13" i="9"/>
  <c r="J11" i="9" l="1"/>
  <c r="K9" i="9"/>
  <c r="K11" i="9"/>
  <c r="P8" i="9"/>
  <c r="O9" i="9"/>
  <c r="O11" i="9" s="1"/>
  <c r="P9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1ED876-6F13-4D7D-A68A-CE8DC00BCE9D}" keepAlive="1" name="Query - AP" description="Connection to the 'AP' query in the workbook." type="5" refreshedVersion="8" background="1" saveData="1">
    <dbPr connection="Provider=Microsoft.Mashup.OleDb.1;Data Source=$Workbook$;Location=AP;Extended Properties=&quot;&quot;" command="SELECT * FROM [AP]"/>
  </connection>
  <connection id="2" xr16:uid="{4619D344-54B7-41EA-B966-4AE6770DEB25}" keepAlive="1" name="Query - AP_To Analyze" description="Connection to the 'AP_To Analyze' query in the workbook." type="5" refreshedVersion="8" background="1" saveData="1">
    <dbPr connection="Provider=Microsoft.Mashup.OleDb.1;Data Source=$Workbook$;Location=&quot;AP_To Analyze&quot;;Extended Properties=&quot;&quot;" command="SELECT * FROM [AP_To Analyze]"/>
  </connection>
  <connection id="3" xr16:uid="{40082B46-2F2C-481B-9A0E-C9CC90EB250A}" keepAlive="1" name="Query - AR" description="Connection to the 'AR' query in the workbook." type="5" refreshedVersion="8" background="1" saveData="1">
    <dbPr connection="Provider=Microsoft.Mashup.OleDb.1;Data Source=$Workbook$;Location=AR;Extended Properties=&quot;&quot;" command="SELECT * FROM [AR]"/>
  </connection>
  <connection id="4" xr16:uid="{BB881043-7929-4343-8D5A-0B1DDAF9C467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5" xr16:uid="{3E28BCF6-F4A3-41BF-95AF-7E63C55EB8B5}" keepAlive="1" name="Query - Clearings" description="Connection to the 'Clearings' query in the workbook." type="5" refreshedVersion="8" background="1" saveData="1">
    <dbPr connection="Provider=Microsoft.Mashup.OleDb.1;Data Source=$Workbook$;Location=Clearings;Extended Properties=&quot;&quot;" command="SELECT * FROM [Clearings]"/>
  </connection>
  <connection id="6" xr16:uid="{83A16839-67D7-4568-8D54-B360728EF440}" keepAlive="1" name="Query - Sample_AP" description="Connection to the 'Sample_AP' query in the workbook." type="5" refreshedVersion="8" background="1" saveData="1">
    <dbPr connection="Provider=Microsoft.Mashup.OleDb.1;Data Source=$Workbook$;Location=Sample_AP;Extended Properties=&quot;&quot;" command="SELECT * FROM [Sample_AP]"/>
  </connection>
  <connection id="7" xr16:uid="{51DC59CA-6EC2-43ED-A202-5A222DE40290}" keepAlive="1" name="Query - Sample_AR" description="Connection to the 'Sample_AR' query in the workbook." type="5" refreshedVersion="8" background="1" saveData="1">
    <dbPr connection="Provider=Microsoft.Mashup.OleDb.1;Data Source=$Workbook$;Location=Sample_AR;Extended Properties=&quot;&quot;" command="SELECT * FROM [Sample_AR]"/>
  </connection>
  <connection id="8" xr16:uid="{319DD862-432F-4E63-8432-826B2C99DAF8}" keepAlive="1" name="Query - To_Analyze" description="Connection to the 'To_Analyze' query in the workbook." type="5" refreshedVersion="8" background="1" saveData="1">
    <dbPr connection="Provider=Microsoft.Mashup.OleDb.1;Data Source=$Workbook$;Location=To_Analyze;Extended Properties=&quot;&quot;" command="SELECT * FROM [To_Analyze]"/>
  </connection>
  <connection id="9" xr16:uid="{6481C8FD-40B5-483C-BCC7-65F392FE2E60}" keepAlive="1" name="Query - Under_Control" description="Connection to the 'Under_Control' query in the workbook." type="5" refreshedVersion="8" background="1" saveData="1">
    <dbPr connection="Provider=Microsoft.Mashup.OleDb.1;Data Source=$Workbook$;Location=Under_Control;Extended Properties=&quot;&quot;" command="SELECT * FROM [Under_Control]"/>
  </connection>
</connections>
</file>

<file path=xl/sharedStrings.xml><?xml version="1.0" encoding="utf-8"?>
<sst xmlns="http://schemas.openxmlformats.org/spreadsheetml/2006/main" count="2081" uniqueCount="191">
  <si>
    <t>Tier</t>
  </si>
  <si>
    <t>Type + G/L Acc</t>
  </si>
  <si>
    <t>Type + TCode + Co + Doc N</t>
  </si>
  <si>
    <t>CoCd</t>
  </si>
  <si>
    <t>Manager</t>
  </si>
  <si>
    <t>User</t>
  </si>
  <si>
    <t>TCode</t>
  </si>
  <si>
    <t>Text</t>
  </si>
  <si>
    <t>Type</t>
  </si>
  <si>
    <t>Document Descr.</t>
  </si>
  <si>
    <t>DocumentNo</t>
  </si>
  <si>
    <t>Doc. Date</t>
  </si>
  <si>
    <t>Entry date</t>
  </si>
  <si>
    <t>Effect date</t>
  </si>
  <si>
    <t>Doc.Header Text</t>
  </si>
  <si>
    <t>Reference</t>
  </si>
  <si>
    <t>Sess. Name</t>
  </si>
  <si>
    <t>Total Deb./Cred.</t>
  </si>
  <si>
    <t>Total Deb./Cred.(ML3</t>
  </si>
  <si>
    <t>Itm</t>
  </si>
  <si>
    <t>PK</t>
  </si>
  <si>
    <t>CME</t>
  </si>
  <si>
    <t>G/L Account</t>
  </si>
  <si>
    <t>G/L Account Descr.</t>
  </si>
  <si>
    <t xml:space="preserve">   Debit amount</t>
  </si>
  <si>
    <t>Debit amount(ML3)</t>
  </si>
  <si>
    <t xml:space="preserve">  Credit amount</t>
  </si>
  <si>
    <t>Credit amount(ML3)</t>
  </si>
  <si>
    <t>Line Comment</t>
  </si>
  <si>
    <t>BARCODE</t>
  </si>
  <si>
    <t>Cost Ctr</t>
  </si>
  <si>
    <t>Profit Ctr</t>
  </si>
  <si>
    <t>Order</t>
  </si>
  <si>
    <t>Cost Ctr Desc.</t>
  </si>
  <si>
    <t>Profit Ctr Desc</t>
  </si>
  <si>
    <t>Order Desc.</t>
  </si>
  <si>
    <t>-</t>
  </si>
  <si>
    <t>Detail of the pairs Doc. Type and G/L Acc. validated by G/L Acc. Analysis:</t>
  </si>
  <si>
    <t>Doc. Type</t>
  </si>
  <si>
    <t>Under Control</t>
  </si>
  <si>
    <t>Total</t>
  </si>
  <si>
    <t>Sample</t>
  </si>
  <si>
    <t>Remanent</t>
  </si>
  <si>
    <t>Sampling</t>
  </si>
  <si>
    <t>Clearings Summary</t>
  </si>
  <si>
    <t>Out of Sample</t>
  </si>
  <si>
    <t>Nº</t>
  </si>
  <si>
    <t>%</t>
  </si>
  <si>
    <t>1st Analysis</t>
  </si>
  <si>
    <t>Total 2nd Analysis</t>
  </si>
  <si>
    <t>Total Analysis</t>
  </si>
  <si>
    <t>Total Manual Journas (ZEUFI037)</t>
  </si>
  <si>
    <t>Check Accuracy</t>
  </si>
  <si>
    <t>Detail of Clearings - As exported from ZEUFI037 Report:</t>
  </si>
  <si>
    <t>Headings of the Clearings to be validated by sample analysis:</t>
  </si>
  <si>
    <t>Headings of the Clearings to be validated by G/L Analysis:</t>
  </si>
  <si>
    <t>Analysis and Sample slection for clearings, except the ones using Tcode FB1D</t>
  </si>
  <si>
    <t>Analysis and Sample slection for the Customers Clearings with Tcode FB1D:</t>
  </si>
  <si>
    <t>Clearings To be Analyzed (headings) for SOX Control xxx - Supplier and other Clearings:</t>
  </si>
  <si>
    <t>Clearings To be Analyzed (headings) for SOX Control xxx - Customer Clearings:</t>
  </si>
  <si>
    <t>Counts</t>
  </si>
  <si>
    <t>Supp/Cust</t>
  </si>
  <si>
    <t>Desc.S/C</t>
  </si>
  <si>
    <t>D4</t>
  </si>
  <si>
    <t>DF</t>
  </si>
  <si>
    <t>KG</t>
  </si>
  <si>
    <t>TL</t>
  </si>
  <si>
    <t>MM-YYYY</t>
  </si>
  <si>
    <t>Sample Criteria:</t>
  </si>
  <si>
    <t>Clearing total Debit/Credit is higher than:</t>
  </si>
  <si>
    <r>
      <t xml:space="preserve">Suppliers &amp; GL Clearings </t>
    </r>
    <r>
      <rPr>
        <sz val="9"/>
        <color theme="1"/>
        <rFont val="Arial"/>
        <family val="2"/>
      </rPr>
      <t>(Doc Type KG)</t>
    </r>
  </si>
  <si>
    <r>
      <t xml:space="preserve">Customer Clearings </t>
    </r>
    <r>
      <rPr>
        <sz val="9"/>
        <color theme="1"/>
        <rFont val="Arial"/>
        <family val="2"/>
      </rPr>
      <t>(Doc Types DF + V4)</t>
    </r>
  </si>
  <si>
    <t>---</t>
  </si>
  <si>
    <t>ZEUFI037 REPORT:</t>
  </si>
  <si>
    <t>Paste ZEUFI037 Report.</t>
  </si>
  <si>
    <t>Clearings To be Analyzed (Lines) for SOX Control 01.74.1 - Customer Clearings:</t>
  </si>
  <si>
    <t>Clearings To be Analyzed (Lines) for SOX Control 02.74.1 - Supplier and other Clearings:</t>
  </si>
  <si>
    <t>CHECK</t>
  </si>
  <si>
    <t>JUSTIFICATION</t>
  </si>
  <si>
    <t>SUPPORTING DOC.</t>
  </si>
  <si>
    <t>SUPPORTING DOC. LOCATION</t>
  </si>
  <si>
    <t>CY01</t>
  </si>
  <si>
    <t>MDEMIR</t>
  </si>
  <si>
    <t>BBAYIRTEPE</t>
  </si>
  <si>
    <t>FB1D</t>
  </si>
  <si>
    <t>Clear Customer</t>
  </si>
  <si>
    <t>Customer Acc.Mainten</t>
  </si>
  <si>
    <t>WAGE ADV.GIVEN PERS.</t>
  </si>
  <si>
    <t>Alim KARAKOÇ</t>
  </si>
  <si>
    <t>RECEIVABL.FROM PERS.</t>
  </si>
  <si>
    <t>Canan ERDEM</t>
  </si>
  <si>
    <t>Erdem ŞEN</t>
  </si>
  <si>
    <t>Kemal AYDOS</t>
  </si>
  <si>
    <t>Mehmet Uğur KURABİOĞLU</t>
  </si>
  <si>
    <t>Şahap SARIER</t>
  </si>
  <si>
    <t>Şule GÖZÜPEK</t>
  </si>
  <si>
    <t>Uğur SORGUN</t>
  </si>
  <si>
    <t>Yüksel GEYİKCİ</t>
  </si>
  <si>
    <t>OUNAL</t>
  </si>
  <si>
    <t>EBAYGOR</t>
  </si>
  <si>
    <t>REC.FROM AFFIL.COMP.</t>
  </si>
  <si>
    <t>grup virmanı</t>
  </si>
  <si>
    <t>Yibitaş Yozgat İşçi Birliği İnş.Mlz</t>
  </si>
  <si>
    <t>CUSTOMERS</t>
  </si>
  <si>
    <t>IEBEPERI</t>
  </si>
  <si>
    <t>FB01</t>
  </si>
  <si>
    <t>Post Document</t>
  </si>
  <si>
    <t>Vendor Account Maint</t>
  </si>
  <si>
    <t>ZAS2024000000188 ft hs vr</t>
  </si>
  <si>
    <t>ADD. STOCKS (TRANSPO</t>
  </si>
  <si>
    <t>ZAS2024000000188 ft hs vrm</t>
  </si>
  <si>
    <t>TRANSPORTATION EXP.</t>
  </si>
  <si>
    <t>33CC021219</t>
  </si>
  <si>
    <t>SEN2024000000679 ft hs vr</t>
  </si>
  <si>
    <t>PRODUC.WASTE-CON-AGG</t>
  </si>
  <si>
    <t>33CB251210</t>
  </si>
  <si>
    <t>33CB041210</t>
  </si>
  <si>
    <t>15704 ile 15703 arası vir</t>
  </si>
  <si>
    <t>BRF2024000000071 ft hs vrm</t>
  </si>
  <si>
    <t>ADD. STOCKS (OTHER)</t>
  </si>
  <si>
    <t>AAB2024_176/AAB2024_197</t>
  </si>
  <si>
    <t>AAB2024_176 ve AAB2024_197 ft hs vrm</t>
  </si>
  <si>
    <t>33CB231210</t>
  </si>
  <si>
    <t>HAS2024_118 ft hs vrm</t>
  </si>
  <si>
    <t>OTHER RENT EXPENSES</t>
  </si>
  <si>
    <t>HAS2024000000118 ft hs vrm</t>
  </si>
  <si>
    <t>33CC021231</t>
  </si>
  <si>
    <t>SOLAR VE NOBEL HS VRM</t>
  </si>
  <si>
    <t>COST OF RAW MATERI.</t>
  </si>
  <si>
    <t>NOBEL 157 HS VRM</t>
  </si>
  <si>
    <t>33CC039491</t>
  </si>
  <si>
    <t>SOLAR 157 HESAP VRM</t>
  </si>
  <si>
    <t>33CC029491</t>
  </si>
  <si>
    <t>beton atık gıderı HS VRM</t>
  </si>
  <si>
    <t>SEN2024_678 ve SEN2024_679</t>
  </si>
  <si>
    <t>SEN2024000000678 ft vrm</t>
  </si>
  <si>
    <t>33CB091210</t>
  </si>
  <si>
    <t>33CB101210</t>
  </si>
  <si>
    <t>33CB131210</t>
  </si>
  <si>
    <t>15703-15704 hs vrm</t>
  </si>
  <si>
    <t>CHF2024000000057 ft hs vr</t>
  </si>
  <si>
    <t>CHF2024000000057 ft hs vrm</t>
  </si>
  <si>
    <t>INCOME-COMPENSATI.</t>
  </si>
  <si>
    <t>33CC031710</t>
  </si>
  <si>
    <t>CMF2024000000052 ft hs vr</t>
  </si>
  <si>
    <t>MAINTEN. EXP.</t>
  </si>
  <si>
    <t>33CC001100</t>
  </si>
  <si>
    <t>YY01</t>
  </si>
  <si>
    <t>OYILDIZ1</t>
  </si>
  <si>
    <t>OTH.EX.OR.IN.&amp;PROF.</t>
  </si>
  <si>
    <t>120 GRUP İÇİ DENKLEŞTİRMEDEN KALAN FARK MAHSUP</t>
  </si>
  <si>
    <t>33YC011211</t>
  </si>
  <si>
    <t>Votorantim Cementos Trading S.L.</t>
  </si>
  <si>
    <t>Votorantim Çimento San. ve Tic. A.Ş</t>
  </si>
  <si>
    <t>To Analyze</t>
  </si>
  <si>
    <t>DF-1960101001</t>
  </si>
  <si>
    <t>DF-FB1D-CY01-2500004886</t>
  </si>
  <si>
    <t>DF-1350101001</t>
  </si>
  <si>
    <t>DF-FB1D-CY01-2500004899</t>
  </si>
  <si>
    <t>DF-FB1D-CY01-2500004913</t>
  </si>
  <si>
    <t>DF-FB1D-CY01-2500004942</t>
  </si>
  <si>
    <t>DF-FB1D-CY01-2500004952</t>
  </si>
  <si>
    <t>DF-FB1D-CY01-2500005000</t>
  </si>
  <si>
    <t>DF-FB1D-CY01-2500005001</t>
  </si>
  <si>
    <t>DF-FB1D-CY01-2500005008</t>
  </si>
  <si>
    <t>DF-FB1D-CY01-2500005019</t>
  </si>
  <si>
    <t>DF-FB1D-CY01-2500005224</t>
  </si>
  <si>
    <t>DF-1330101001</t>
  </si>
  <si>
    <t>DF-FB1D-CY01-2500005447</t>
  </si>
  <si>
    <t>DF-1200101001</t>
  </si>
  <si>
    <t>KG-1570404001</t>
  </si>
  <si>
    <t>KG-FB01-CY01-4200000958</t>
  </si>
  <si>
    <t>KG-7703301001</t>
  </si>
  <si>
    <t>KG-7304908001</t>
  </si>
  <si>
    <t>KG-FB01-CY01-4200000959</t>
  </si>
  <si>
    <t>KG-FB01-CY01-4200000960</t>
  </si>
  <si>
    <t>KG-1570303001</t>
  </si>
  <si>
    <t>KG-FB01-CY01-4200000961</t>
  </si>
  <si>
    <t>KG-7304299001</t>
  </si>
  <si>
    <t>KG-FB01-CY01-4200000962</t>
  </si>
  <si>
    <t>KG-6590101001</t>
  </si>
  <si>
    <t>KG-FB01-CY01-4200000963</t>
  </si>
  <si>
    <t>KG-FB01-CY01-4200000964</t>
  </si>
  <si>
    <t>KG-FB01-CY01-4200000965</t>
  </si>
  <si>
    <t>KG-FB01-CY01-4200000966</t>
  </si>
  <si>
    <t>KG-6790401001</t>
  </si>
  <si>
    <t>KG-FB01-CY01-4200000967</t>
  </si>
  <si>
    <t>KG-7703201001</t>
  </si>
  <si>
    <t>DF-6790909001</t>
  </si>
  <si>
    <t>DF-FB1D-YY01-2500001216</t>
  </si>
  <si>
    <t>DF-FB1D-YY01-2500001219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</si>
</sst>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name val="Arial"/>
      <family val="2"/>
    </font>
    <font>
      <b/>
      <sz val="9"/>
      <color rgb="FFC00000"/>
      <name val="Arial"/>
      <family val="2"/>
    </font>
    <font>
      <b/>
      <i/>
      <sz val="16"/>
      <color rgb="FF000000"/>
      <name val="Arial"/>
      <family val="2"/>
    </font>
    <font>
      <b/>
      <i/>
      <sz val="9"/>
      <color theme="1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7373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rgb="FF000000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2" fillId="0" borderId="6" xfId="0" applyFont="1" applyBorder="1"/>
    <xf numFmtId="0" fontId="7" fillId="7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2" borderId="12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0" fontId="8" fillId="7" borderId="14" xfId="0" applyFont="1" applyFill="1" applyBorder="1"/>
    <xf numFmtId="164" fontId="5" fillId="0" borderId="0" xfId="0" applyNumberFormat="1" applyFont="1"/>
    <xf numFmtId="164" fontId="5" fillId="0" borderId="2" xfId="0" applyNumberFormat="1" applyFont="1" applyBorder="1"/>
    <xf numFmtId="0" fontId="7" fillId="7" borderId="2" xfId="0" applyFont="1" applyFill="1" applyBorder="1" applyAlignment="1">
      <alignment horizontal="center"/>
    </xf>
    <xf numFmtId="9" fontId="7" fillId="9" borderId="2" xfId="0" applyNumberFormat="1" applyFont="1" applyFill="1" applyBorder="1" applyAlignment="1">
      <alignment horizontal="center"/>
    </xf>
    <xf numFmtId="164" fontId="12" fillId="0" borderId="2" xfId="0" applyNumberFormat="1" applyFont="1" applyBorder="1"/>
    <xf numFmtId="9" fontId="7" fillId="3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vertical="center"/>
    </xf>
    <xf numFmtId="9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5" fillId="0" borderId="1" xfId="0" applyFont="1" applyBorder="1"/>
    <xf numFmtId="0" fontId="8" fillId="13" borderId="17" xfId="0" applyFont="1" applyFill="1" applyBorder="1" applyAlignment="1">
      <alignment vertical="center"/>
    </xf>
    <xf numFmtId="0" fontId="8" fillId="13" borderId="18" xfId="0" applyFont="1" applyFill="1" applyBorder="1" applyAlignment="1">
      <alignment horizontal="center" vertical="center"/>
    </xf>
    <xf numFmtId="9" fontId="8" fillId="13" borderId="18" xfId="0" applyNumberFormat="1" applyFont="1" applyFill="1" applyBorder="1" applyAlignment="1">
      <alignment horizontal="center" vertical="center"/>
    </xf>
    <xf numFmtId="164" fontId="8" fillId="13" borderId="18" xfId="0" applyNumberFormat="1" applyFont="1" applyFill="1" applyBorder="1" applyAlignment="1">
      <alignment vertical="center"/>
    </xf>
    <xf numFmtId="9" fontId="8" fillId="13" borderId="19" xfId="0" applyNumberFormat="1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9" fontId="2" fillId="0" borderId="2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vertical="center"/>
    </xf>
    <xf numFmtId="0" fontId="6" fillId="14" borderId="22" xfId="0" applyFont="1" applyFill="1" applyBorder="1" applyAlignment="1">
      <alignment horizontal="center" vertical="center"/>
    </xf>
    <xf numFmtId="9" fontId="6" fillId="14" borderId="22" xfId="0" applyNumberFormat="1" applyFont="1" applyFill="1" applyBorder="1" applyAlignment="1">
      <alignment horizontal="center" vertical="center"/>
    </xf>
    <xf numFmtId="164" fontId="6" fillId="14" borderId="22" xfId="0" applyNumberFormat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9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/>
    </xf>
    <xf numFmtId="0" fontId="8" fillId="15" borderId="22" xfId="0" applyFont="1" applyFill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7" fillId="13" borderId="23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left" vertical="center"/>
    </xf>
    <xf numFmtId="10" fontId="6" fillId="14" borderId="30" xfId="1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vertical="center"/>
    </xf>
    <xf numFmtId="10" fontId="2" fillId="0" borderId="32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10" fontId="2" fillId="0" borderId="34" xfId="0" applyNumberFormat="1" applyFont="1" applyBorder="1" applyAlignment="1">
      <alignment horizontal="center" vertical="center"/>
    </xf>
    <xf numFmtId="0" fontId="5" fillId="14" borderId="35" xfId="0" applyFont="1" applyFill="1" applyBorder="1" applyAlignment="1">
      <alignment vertical="center"/>
    </xf>
    <xf numFmtId="0" fontId="5" fillId="14" borderId="36" xfId="0" applyFont="1" applyFill="1" applyBorder="1" applyAlignment="1">
      <alignment horizontal="center" vertical="center"/>
    </xf>
    <xf numFmtId="9" fontId="5" fillId="14" borderId="36" xfId="0" applyNumberFormat="1" applyFont="1" applyFill="1" applyBorder="1" applyAlignment="1">
      <alignment horizontal="center" vertical="center"/>
    </xf>
    <xf numFmtId="164" fontId="5" fillId="14" borderId="36" xfId="0" applyNumberFormat="1" applyFont="1" applyFill="1" applyBorder="1" applyAlignment="1">
      <alignment vertical="center"/>
    </xf>
    <xf numFmtId="10" fontId="5" fillId="14" borderId="37" xfId="0" applyNumberFormat="1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9" fontId="2" fillId="0" borderId="32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9" fontId="2" fillId="0" borderId="34" xfId="0" applyNumberFormat="1" applyFont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9" fontId="5" fillId="16" borderId="36" xfId="0" applyNumberFormat="1" applyFont="1" applyFill="1" applyBorder="1" applyAlignment="1">
      <alignment horizontal="center" vertical="center"/>
    </xf>
    <xf numFmtId="164" fontId="5" fillId="16" borderId="36" xfId="0" applyNumberFormat="1" applyFont="1" applyFill="1" applyBorder="1" applyAlignment="1">
      <alignment vertical="center"/>
    </xf>
    <xf numFmtId="9" fontId="5" fillId="16" borderId="37" xfId="0" applyNumberFormat="1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9" borderId="27" xfId="0" applyFont="1" applyFill="1" applyBorder="1" applyAlignment="1">
      <alignment horizontal="center" vertical="center"/>
    </xf>
    <xf numFmtId="0" fontId="7" fillId="9" borderId="23" xfId="0" applyFont="1" applyFill="1" applyBorder="1" applyAlignment="1">
      <alignment horizontal="center" vertical="center"/>
    </xf>
    <xf numFmtId="0" fontId="7" fillId="9" borderId="28" xfId="0" applyFont="1" applyFill="1" applyBorder="1" applyAlignment="1">
      <alignment horizontal="center" vertical="center"/>
    </xf>
    <xf numFmtId="0" fontId="7" fillId="17" borderId="27" xfId="0" applyFont="1" applyFill="1" applyBorder="1" applyAlignment="1">
      <alignment horizontal="center" vertical="center"/>
    </xf>
    <xf numFmtId="0" fontId="7" fillId="17" borderId="23" xfId="0" applyFont="1" applyFill="1" applyBorder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9" fontId="8" fillId="17" borderId="36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vertical="center"/>
    </xf>
    <xf numFmtId="9" fontId="8" fillId="17" borderId="37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4" fillId="0" borderId="0" xfId="0" applyFont="1"/>
    <xf numFmtId="0" fontId="0" fillId="4" borderId="0" xfId="0" applyFill="1"/>
    <xf numFmtId="0" fontId="11" fillId="2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4" borderId="9" xfId="0" applyFill="1" applyBorder="1"/>
    <xf numFmtId="0" fontId="18" fillId="0" borderId="1" xfId="0" applyFont="1" applyBorder="1"/>
    <xf numFmtId="0" fontId="19" fillId="18" borderId="7" xfId="0" applyFont="1" applyFill="1" applyBorder="1"/>
    <xf numFmtId="164" fontId="20" fillId="12" borderId="38" xfId="0" applyNumberFormat="1" applyFont="1" applyFill="1" applyBorder="1"/>
    <xf numFmtId="0" fontId="20" fillId="12" borderId="9" xfId="0" applyFont="1" applyFill="1" applyBorder="1" applyAlignment="1">
      <alignment horizontal="center"/>
    </xf>
    <xf numFmtId="0" fontId="8" fillId="6" borderId="0" xfId="0" applyFont="1" applyFill="1"/>
    <xf numFmtId="0" fontId="0" fillId="0" borderId="0" xfId="0" applyAlignment="1">
      <alignment shrinkToFit="1"/>
    </xf>
    <xf numFmtId="0" fontId="6" fillId="19" borderId="9" xfId="0" applyFont="1" applyFill="1" applyBorder="1" applyAlignment="1">
      <alignment horizontal="center" vertical="top"/>
    </xf>
    <xf numFmtId="0" fontId="6" fillId="19" borderId="39" xfId="0" applyFont="1" applyFill="1" applyBorder="1" applyAlignment="1">
      <alignment horizontal="center" vertical="top" wrapText="1"/>
    </xf>
    <xf numFmtId="0" fontId="6" fillId="19" borderId="18" xfId="0" applyFont="1" applyFill="1" applyBorder="1" applyAlignment="1">
      <alignment horizontal="center" vertical="top" wrapText="1"/>
    </xf>
    <xf numFmtId="0" fontId="6" fillId="19" borderId="19" xfId="0" applyFont="1" applyFill="1" applyBorder="1" applyAlignment="1">
      <alignment horizontal="center" vertical="top" wrapText="1"/>
    </xf>
    <xf numFmtId="1" fontId="8" fillId="6" borderId="0" xfId="0" applyNumberFormat="1" applyFont="1" applyFill="1"/>
    <xf numFmtId="1" fontId="2" fillId="0" borderId="0" xfId="0" applyNumberFormat="1" applyFont="1" applyAlignment="1">
      <alignment horizontal="center"/>
    </xf>
    <xf numFmtId="0" fontId="4" fillId="0" borderId="1" xfId="0" applyFont="1" applyBorder="1"/>
    <xf numFmtId="0" fontId="12" fillId="0" borderId="3" xfId="0" applyFont="1" applyBorder="1"/>
    <xf numFmtId="0" fontId="10" fillId="0" borderId="1" xfId="0" applyFont="1" applyBorder="1"/>
    <xf numFmtId="17" fontId="13" fillId="12" borderId="1" xfId="0" applyNumberFormat="1" applyFont="1" applyFill="1" applyBorder="1" applyAlignment="1">
      <alignment horizontal="center"/>
    </xf>
    <xf numFmtId="0" fontId="8" fillId="13" borderId="24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14" fontId="2" fillId="0" borderId="4" xfId="0" applyNumberFormat="1" applyFont="1" applyBorder="1"/>
    <xf numFmtId="0" fontId="2" fillId="5" borderId="40" xfId="0" applyNumberFormat="1" applyFont="1" applyFill="1" applyBorder="1" applyAlignment="1">
      <alignment horizontal="center"/>
    </xf>
    <xf numFmtId="0" fontId="2" fillId="5" borderId="11" xfId="0" applyNumberFormat="1" applyFont="1" applyFill="1" applyBorder="1" applyAlignment="1">
      <alignment horizontal="center"/>
    </xf>
    <xf numFmtId="0" fontId="2" fillId="5" borderId="41" xfId="0" applyFont="1" applyFill="1" applyBorder="1" applyAlignment="1">
      <alignment horizontal="center"/>
    </xf>
    <xf numFmtId="0" fontId="2" fillId="5" borderId="42" xfId="0" applyFont="1" applyFill="1" applyBorder="1" applyAlignment="1">
      <alignment horizontal="center"/>
    </xf>
    <xf numFmtId="0" fontId="2" fillId="0" borderId="41" xfId="0" applyFont="1" applyBorder="1"/>
    <xf numFmtId="14" fontId="2" fillId="0" borderId="41" xfId="0" applyNumberFormat="1" applyFont="1" applyBorder="1"/>
    <xf numFmtId="0" fontId="2" fillId="0" borderId="43" xfId="0" applyFont="1" applyBorder="1"/>
  </cellXfs>
  <cellStyles count="2">
    <cellStyle name="Normal" xfId="0" builtinId="0"/>
    <cellStyle name="Percent" xfId="1" builtinId="5"/>
  </cellStyles>
  <dxfs count="2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 patternType="lightDown"/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64" formatCode="_(* #,##0.00_);_(* \(#,##0.00\);_(* &quot;-&quot;??_);_(@_)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family val="2"/>
        <scheme val="none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106681</xdr:colOff>
      <xdr:row>1</xdr:row>
      <xdr:rowOff>26879</xdr:rowOff>
    </xdr:from>
    <xdr:to>
      <xdr:col>4</xdr:col>
      <xdr:colOff>378037</xdr:colOff>
      <xdr:row>2</xdr:row>
      <xdr:rowOff>77045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A9A2569D-E940-4129-ACAF-968DC56CBA4B}"/>
            </a:ext>
          </a:extLst>
        </xdr:cNvPr>
        <xdr:cNvSpPr/>
      </xdr:nvSpPr>
      <xdr:spPr>
        <a:xfrm>
          <a:off x="3937848" y="280879"/>
          <a:ext cx="271356" cy="26183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EF53BECC-A711-49C6-987A-DABF6F2E3940}" autoFormatId="16" applyNumberFormats="0" applyBorderFormats="0" applyFontFormats="0" applyPatternFormats="0" applyAlignmentFormats="0" applyWidthHeightFormats="0">
  <queryTableRefresh nextId="39">
    <queryTableFields count="38">
      <queryTableField id="1" name="Tier" tableColumnId="1"/>
      <queryTableField id="2" name="Type + G/L Acc" tableColumnId="2"/>
      <queryTableField id="3" name="Type + TCode + Co + Doc N" tableColumnId="3"/>
      <queryTableField id="4" name="CoCd" tableColumnId="4"/>
      <queryTableField id="5" name="Manager" tableColumnId="5"/>
      <queryTableField id="6" name="User" tableColumnId="6"/>
      <queryTableField id="7" name="TCode" tableColumnId="7"/>
      <queryTableField id="8" name="Text" tableColumnId="8"/>
      <queryTableField id="9" name="Type" tableColumnId="9"/>
      <queryTableField id="10" name="Document Descr." tableColumnId="10"/>
      <queryTableField id="11" name="DocumentNo" tableColumnId="11"/>
      <queryTableField id="12" name="Doc. Date" tableColumnId="12"/>
      <queryTableField id="13" name="Entry date" tableColumnId="13"/>
      <queryTableField id="14" name="Effect date" tableColumnId="14"/>
      <queryTableField id="15" name="Doc.Header Text" tableColumnId="15"/>
      <queryTableField id="16" name="Reference" tableColumnId="16"/>
      <queryTableField id="17" name="Sess. Name" tableColumnId="17"/>
      <queryTableField id="18" name="Total Deb./Cred." tableColumnId="18"/>
      <queryTableField id="19" name="Total Deb./Cred.(ML3" tableColumnId="19"/>
      <queryTableField id="20" name="Itm" tableColumnId="20"/>
      <queryTableField id="21" name="PK" tableColumnId="21"/>
      <queryTableField id="22" name="CME" tableColumnId="22"/>
      <queryTableField id="23" name="G/L Account" tableColumnId="23"/>
      <queryTableField id="24" name="G/L Account Descr." tableColumnId="24"/>
      <queryTableField id="25" name="   Debit amount" tableColumnId="25"/>
      <queryTableField id="26" name="Debit amount(ML3)" tableColumnId="26"/>
      <queryTableField id="27" name="  Credit amount" tableColumnId="27"/>
      <queryTableField id="28" name="Credit amount(ML3)" tableColumnId="28"/>
      <queryTableField id="29" name="Line Comment" tableColumnId="29"/>
      <queryTableField id="30" name="BARCODE" tableColumnId="30"/>
      <queryTableField id="31" name="Cost Ctr" tableColumnId="31"/>
      <queryTableField id="32" name="Profit Ctr" tableColumnId="32"/>
      <queryTableField id="33" name="Order" tableColumnId="33"/>
      <queryTableField id="34" name="Cost Ctr Desc." tableColumnId="34"/>
      <queryTableField id="35" name="Profit Ctr Desc" tableColumnId="35"/>
      <queryTableField id="36" name="Order Desc." tableColumnId="36"/>
      <queryTableField id="37" name="Supp/Cust" tableColumnId="37"/>
      <queryTableField id="38" name="Desc.S/C" tableColumnId="3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508324-5D9E-41EC-BA31-F48FE5179E5D}" autoFormatId="16" applyNumberFormats="0" applyBorderFormats="0" applyFontFormats="0" applyPatternFormats="0" applyAlignmentFormats="0" applyWidthHeightFormats="0">
  <queryTableRefresh nextId="13">
    <queryTableFields count="12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D84B5A77-D7B1-427D-AEBB-39F53D2A5B02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Tier" tableColumnId="1"/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7B8A95-F1FB-4590-9FF5-C993D4125046}" autoFormatId="16" applyNumberFormats="0" applyBorderFormats="0" applyFontFormats="0" applyPatternFormats="0" applyAlignmentFormats="0" applyWidthHeightFormats="0">
  <queryTableRefresh nextId="14" unboundColumnsRight="1">
    <queryTableFields count="12">
      <queryTableField id="2" name="Type + TCode + Co + Doc N" tableColumnId="2"/>
      <queryTableField id="3" name="CoCd" tableColumnId="3"/>
      <queryTableField id="4" name="Manager" tableColumnId="4"/>
      <queryTableField id="5" name="User" tableColumnId="5"/>
      <queryTableField id="6" name="TCode" tableColumnId="6"/>
      <queryTableField id="7" name="Text" tableColumnId="7"/>
      <queryTableField id="8" name="Type" tableColumnId="8"/>
      <queryTableField id="9" name="DocumentNo" tableColumnId="9"/>
      <queryTableField id="10" name="Effect date" tableColumnId="10"/>
      <queryTableField id="11" name="Doc.Header Text" tableColumnId="11"/>
      <queryTableField id="12" name="Total Deb./Cred." tableColumnId="12"/>
      <queryTableField id="13" dataBound="0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E77756A2-90E3-492B-B45B-C4C1DBB020DF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dataBound="0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2F8FD17A-D6E3-4C09-9315-603856A1530D}" autoFormatId="16" applyNumberFormats="0" applyBorderFormats="0" applyFontFormats="0" applyPatternFormats="0" applyAlignmentFormats="0" applyWidthHeightFormats="0">
  <queryTableRefresh nextId="33" unboundColumnsRight="4">
    <queryTableFields count="25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  <queryTableField id="29" dataBound="0" tableColumnId="22"/>
      <queryTableField id="30" dataBound="0" tableColumnId="23"/>
      <queryTableField id="31" dataBound="0" tableColumnId="24"/>
      <queryTableField id="32" dataBound="0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E9C7CBEC-8102-427A-8854-D043DE3CE58B}" autoFormatId="16" applyNumberFormats="0" applyBorderFormats="0" applyFontFormats="0" applyPatternFormats="0" applyAlignmentFormats="0" applyWidthHeightFormats="0">
  <queryTableRefresh nextId="36" unboundColumnsRight="4">
    <queryTableFields count="25">
      <queryTableField id="1" name="CoCd" tableColumnId="1"/>
      <queryTableField id="2" name="Manager" tableColumnId="2"/>
      <queryTableField id="3" name="User" tableColumnId="3"/>
      <queryTableField id="4" name="TCode" tableColumnId="4"/>
      <queryTableField id="5" name="Type" tableColumnId="5"/>
      <queryTableField id="6" name="DocumentNo" tableColumnId="6"/>
      <queryTableField id="7" name="Effect date" tableColumnId="7"/>
      <queryTableField id="8" name="Doc.Header Text" tableColumnId="8"/>
      <queryTableField id="9" name="Total Deb./Cred." tableColumnId="9"/>
      <queryTableField id="10" name="G/L Account" tableColumnId="10"/>
      <queryTableField id="11" name="G/L Account Descr." tableColumnId="11"/>
      <queryTableField id="28" name="Supp/Cust" tableColumnId="20"/>
      <queryTableField id="29" name="Desc.S/C" tableColumnId="21"/>
      <queryTableField id="14" name="Cost Ctr" tableColumnId="14"/>
      <queryTableField id="17" name="Cost Ctr Desc." tableColumnId="17"/>
      <queryTableField id="15" name="Profit Ctr" tableColumnId="15"/>
      <queryTableField id="18" name="Profit Ctr Desc" tableColumnId="18"/>
      <queryTableField id="16" name="Order" tableColumnId="16"/>
      <queryTableField id="19" name="Order Desc." tableColumnId="19"/>
      <queryTableField id="12" name="   Debit amount" tableColumnId="12"/>
      <queryTableField id="13" name="  Credit amount" tableColumnId="13"/>
      <queryTableField id="32" dataBound="0" tableColumnId="22"/>
      <queryTableField id="33" dataBound="0" tableColumnId="23"/>
      <queryTableField id="34" dataBound="0" tableColumnId="24"/>
      <queryTableField id="35" dataBound="0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B17BD07-3946-462F-A410-C71A7FCE0FA4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4766A461-CC96-476F-B060-B17CC2A11038}" autoFormatId="16" applyNumberFormats="0" applyBorderFormats="0" applyFontFormats="0" applyPatternFormats="0" applyAlignmentFormats="0" applyWidthHeightFormats="0">
  <queryTableRefresh nextId="13">
    <queryTableFields count="12">
      <queryTableField id="1" name="Type + TCode + Co + Doc N" tableColumnId="1"/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ext" tableColumnId="6"/>
      <queryTableField id="7" name="Type" tableColumnId="7"/>
      <queryTableField id="8" name="DocumentNo" tableColumnId="8"/>
      <queryTableField id="9" name="Effect date" tableColumnId="9"/>
      <queryTableField id="10" name="Doc.Header Text" tableColumnId="10"/>
      <queryTableField id="11" name="Total Deb./Cred." tableColumnId="11"/>
      <queryTableField id="12" name="Sampling" tableColumnId="1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C41D41-3DC3-494A-B6E8-D88919E21F1C}" name="ZEUFI037" displayName="ZEUFI037" ref="B4:AM64" totalsRowShown="0" headerRowDxfId="250" dataDxfId="248" headerRowBorderDxfId="249" tableBorderDxfId="247" totalsRowBorderDxfId="246">
  <autoFilter ref="B4:AM64" xr:uid="{4EC41D41-3DC3-494A-B6E8-D88919E21F1C}"/>
  <tableColumns count="38">
    <tableColumn id="1" xr3:uid="{B35E0EEF-663E-4D78-AC94-775FC000E252}" name="Tier" dataDxfId="245">
      <calculatedColumnFormula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calculatedColumnFormula>
    </tableColumn>
    <tableColumn id="2" xr3:uid="{A5AA7E5A-9383-4169-B5EE-5841451B391D}" name="Type + G/L Acc" dataDxfId="244">
      <calculatedColumnFormula>+CONCATENATE(ZEUFI037[[#This Row],[Type]],"-",ZEUFI037[[#This Row],[G/L Account]])</calculatedColumnFormula>
    </tableColumn>
    <tableColumn id="3" xr3:uid="{51F5E16E-B9E3-4644-8E24-74ECA74A718F}" name="Type + TCode + Co + Doc N" dataDxfId="243">
      <calculatedColumnFormula>+CONCATENATE(ZEUFI037[[#This Row],[Type]],"-",ZEUFI037[[#This Row],[TCode]],"-",ZEUFI037[[#This Row],[CoCd]],"-",ZEUFI037[[#This Row],[DocumentNo]])</calculatedColumnFormula>
    </tableColumn>
    <tableColumn id="4" xr3:uid="{295238E1-BB4A-44C5-8C12-C329210131A9}" name="CoCd" dataDxfId="242"/>
    <tableColumn id="5" xr3:uid="{A3BBC8E1-AB91-4FB3-92C0-AB0A960A08AF}" name="Manager" dataDxfId="241"/>
    <tableColumn id="6" xr3:uid="{667466CC-4EAC-47C1-8BF6-765CD1B539D3}" name="User" dataDxfId="240"/>
    <tableColumn id="7" xr3:uid="{592688C7-B69D-4C78-A90A-A690C9D70EE2}" name="TCode" dataDxfId="239"/>
    <tableColumn id="8" xr3:uid="{E3813A98-1573-4229-8C96-184997E3FBEB}" name="Text" dataDxfId="238"/>
    <tableColumn id="9" xr3:uid="{EB9BC558-E1EE-4820-B0D8-9A0D3B207E06}" name="Type" dataDxfId="237"/>
    <tableColumn id="10" xr3:uid="{3B570CE3-3015-4D74-BB05-4788FD6C8D2C}" name="Document Descr." dataDxfId="236"/>
    <tableColumn id="11" xr3:uid="{5FDE1990-0F1F-4732-BDA2-3F13F50A00C9}" name="DocumentNo" dataDxfId="235"/>
    <tableColumn id="12" xr3:uid="{49F3C305-CC37-4BDD-87AE-6642532DF9A2}" name="Doc. Date" dataDxfId="234"/>
    <tableColumn id="13" xr3:uid="{612425F6-D90F-4A60-8262-9247E4182E6F}" name="Entry date" dataDxfId="233"/>
    <tableColumn id="14" xr3:uid="{FBF2F92D-F682-4860-BBB7-E493FBD1D5E8}" name="Effect date" dataDxfId="232"/>
    <tableColumn id="15" xr3:uid="{2DDEA3CA-793A-4E70-A187-EA618BCB6588}" name="Doc.Header Text" dataDxfId="231"/>
    <tableColumn id="16" xr3:uid="{A1900C58-DDEB-484B-946F-1E79F3206583}" name="Reference" dataDxfId="230"/>
    <tableColumn id="17" xr3:uid="{D990F1AA-5B48-4DC9-988B-A89AA4D8ABCC}" name="Sess. Name" dataDxfId="229"/>
    <tableColumn id="18" xr3:uid="{4390D199-3AEA-4F99-955B-63B406D6973F}" name="Total Deb./Cred." dataDxfId="228"/>
    <tableColumn id="39" xr3:uid="{37687ECE-49A5-4329-9D48-C5A45004C1F6}" name="Total Deb./Cred.(ML3" dataDxfId="227"/>
    <tableColumn id="20" xr3:uid="{23923C0C-ACEC-4725-A376-462C7B1D8DAC}" name="Itm" dataDxfId="226"/>
    <tableColumn id="21" xr3:uid="{CDF301A2-BDAC-4AE1-ADC8-8551EA92BC00}" name="PK" dataDxfId="225"/>
    <tableColumn id="22" xr3:uid="{095D9713-1B72-405F-AF68-23C6032669CC}" name="CME" dataDxfId="224"/>
    <tableColumn id="23" xr3:uid="{49206894-B516-4FB3-9ED4-36C0D4F93F90}" name="G/L Account" dataDxfId="223"/>
    <tableColumn id="24" xr3:uid="{1855A20B-37F6-4FC6-B10F-1A83E7459751}" name="G/L Account Descr." dataDxfId="222"/>
    <tableColumn id="25" xr3:uid="{1BB0BD0F-742C-4B29-B58F-4738E24F63F1}" name="   Debit amount" dataDxfId="221"/>
    <tableColumn id="26" xr3:uid="{AA0AC674-6DBE-4A11-B354-AB8D62951571}" name="Debit amount(ML3)" dataDxfId="220"/>
    <tableColumn id="27" xr3:uid="{B9A254B9-D354-4D47-9E6E-730BFDC22BE4}" name="  Credit amount" dataDxfId="219"/>
    <tableColumn id="28" xr3:uid="{53F5FC4B-7211-48F8-BD01-73D48C0D92D6}" name="Credit amount(ML3)" dataDxfId="218"/>
    <tableColumn id="29" xr3:uid="{AAE3316E-FB7C-4379-B545-C875702A7875}" name="Line Comment" dataDxfId="217"/>
    <tableColumn id="30" xr3:uid="{A34A42DA-B3A0-4CC2-9FE0-BAD1E607918A}" name="BARCODE" dataDxfId="216"/>
    <tableColumn id="31" xr3:uid="{AEF3C4B5-277A-44B5-83A8-F2CEB454A492}" name="Cost Ctr" dataDxfId="215"/>
    <tableColumn id="32" xr3:uid="{5CE9777E-F8BC-47FD-B56C-0289D6E3E680}" name="Profit Ctr" dataDxfId="214"/>
    <tableColumn id="33" xr3:uid="{65362C90-2109-485A-888B-0433D0993D76}" name="Order" dataDxfId="213"/>
    <tableColumn id="34" xr3:uid="{62D3D3C8-FB2B-4402-BCF7-A8289FA1C12D}" name="Cost Ctr Desc." dataDxfId="212"/>
    <tableColumn id="35" xr3:uid="{48B0BF27-F2F8-41E4-B9B9-3EF11953F1AB}" name="Profit Ctr Desc" dataDxfId="211"/>
    <tableColumn id="36" xr3:uid="{D7619687-AAEF-410E-9CEC-4EBB914C6FDB}" name="Order Desc." dataDxfId="210"/>
    <tableColumn id="37" xr3:uid="{92DFF66E-477C-43CF-BF16-9942F53A4B41}" name="Supp/Cust" dataDxfId="209"/>
    <tableColumn id="38" xr3:uid="{D9F30CF9-3E13-488F-8CCD-17F18BF655E5}" name="Desc.S/C" dataDxfId="208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34115BE-4A80-48DB-9E37-EB622EC16AC3}" name="Sample_AR" displayName="Sample_AR" ref="B5:M7" tableType="queryTable" totalsRowShown="0" headerRowDxfId="174" dataDxfId="172" headerRowBorderDxfId="173" tableBorderDxfId="171">
  <autoFilter ref="B5:M7" xr:uid="{034115BE-4A80-48DB-9E37-EB622EC16AC3}"/>
  <tableColumns count="12">
    <tableColumn id="1" xr3:uid="{0FE10104-4E69-454D-BD97-6DBB0BEB8661}" uniqueName="1" name="Type + TCode + Co + Doc N" queryTableFieldId="1" dataDxfId="23"/>
    <tableColumn id="2" xr3:uid="{B5E2E48A-A950-49E4-B6F7-22578D35E593}" uniqueName="2" name="CoCd" queryTableFieldId="2" dataDxfId="22"/>
    <tableColumn id="3" xr3:uid="{068000CE-944F-4342-80A9-57DD13BEA196}" uniqueName="3" name="Manager" queryTableFieldId="3" dataDxfId="21"/>
    <tableColumn id="4" xr3:uid="{E3DE1062-6EFA-4542-96AE-47077C850654}" uniqueName="4" name="User" queryTableFieldId="4" dataDxfId="20"/>
    <tableColumn id="5" xr3:uid="{79C4BA23-6D64-4BA8-ACFC-8CC52D428A9A}" uniqueName="5" name="TCode" queryTableFieldId="5" dataDxfId="19"/>
    <tableColumn id="6" xr3:uid="{0E7EB560-2FFB-4C8D-ABE6-7D36F67213A4}" uniqueName="6" name="Text" queryTableFieldId="6" dataDxfId="18"/>
    <tableColumn id="7" xr3:uid="{B5303866-5321-4136-93CE-47907A7FF781}" uniqueName="7" name="Type" queryTableFieldId="7" dataDxfId="17"/>
    <tableColumn id="8" xr3:uid="{89A44242-5A9C-4507-AD78-632E25AC71E7}" uniqueName="8" name="DocumentNo" queryTableFieldId="8" dataDxfId="16"/>
    <tableColumn id="9" xr3:uid="{4510E1EA-2C2C-41B3-932A-007350955C04}" uniqueName="9" name="Effect date" queryTableFieldId="9" dataDxfId="15"/>
    <tableColumn id="10" xr3:uid="{1969B821-AA7D-4CAE-8E6A-BACC3A632F34}" uniqueName="10" name="Doc.Header Text" queryTableFieldId="10" dataDxfId="14"/>
    <tableColumn id="11" xr3:uid="{000CAD34-6323-41B9-8161-591B1AC0981F}" uniqueName="11" name="Total Deb./Cred." queryTableFieldId="11" dataDxfId="13"/>
    <tableColumn id="12" xr3:uid="{03065B03-9461-42C4-A375-1B3C9BD7A88E}" uniqueName="12" name="Sampling" queryTableFieldId="12" dataDxfId="12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BB4E7F-DFE9-49C2-AD41-ED0F95354F70}" name="Sample_AP" displayName="Sample_AP" ref="B5:M6" tableType="queryTable" insertRow="1" totalsRowShown="0" headerRowDxfId="170" dataDxfId="168" headerRowBorderDxfId="169" tableBorderDxfId="167">
  <autoFilter ref="B5:M6" xr:uid="{5ABB4E7F-DFE9-49C2-AD41-ED0F95354F70}"/>
  <tableColumns count="12">
    <tableColumn id="1" xr3:uid="{4A765775-F54A-4008-9FAB-E56D607AD850}" uniqueName="1" name="Type + TCode + Co + Doc N" queryTableFieldId="1" dataDxfId="11"/>
    <tableColumn id="2" xr3:uid="{0761ECE0-996F-418A-871B-BBFC6153D7B6}" uniqueName="2" name="CoCd" queryTableFieldId="2" dataDxfId="10"/>
    <tableColumn id="3" xr3:uid="{36A8F6F3-D934-4FD7-99D0-DEE1A00F711F}" uniqueName="3" name="Manager" queryTableFieldId="3" dataDxfId="9"/>
    <tableColumn id="4" xr3:uid="{7EEF131A-84D2-4CCA-87F3-E73EE15FEE1B}" uniqueName="4" name="User" queryTableFieldId="4" dataDxfId="8"/>
    <tableColumn id="5" xr3:uid="{E4CD2EFD-A8B4-411E-AE12-727815DE529C}" uniqueName="5" name="TCode" queryTableFieldId="5" dataDxfId="7"/>
    <tableColumn id="6" xr3:uid="{BD60C0F8-6896-468D-98C9-017730CD22BD}" uniqueName="6" name="Text" queryTableFieldId="6" dataDxfId="6"/>
    <tableColumn id="7" xr3:uid="{05AE3093-3FE9-4C6C-BC22-FF02BCE53502}" uniqueName="7" name="Type" queryTableFieldId="7" dataDxfId="5"/>
    <tableColumn id="8" xr3:uid="{F96981B2-88C7-4A75-932D-B4460FB08C4B}" uniqueName="8" name="DocumentNo" queryTableFieldId="8" dataDxfId="4"/>
    <tableColumn id="9" xr3:uid="{1C4F457C-6878-46D0-B87F-2F5EF38F212F}" uniqueName="9" name="Effect date" queryTableFieldId="9" dataDxfId="3"/>
    <tableColumn id="10" xr3:uid="{8288B3DA-30B1-4F8E-9D4E-0D4B67706537}" uniqueName="10" name="Doc.Header Text" queryTableFieldId="10" dataDxfId="2"/>
    <tableColumn id="11" xr3:uid="{CB7A5201-7D0E-44FD-B483-FC646AC9072D}" uniqueName="11" name="Total Deb./Cred." queryTableFieldId="11" dataDxfId="1"/>
    <tableColumn id="12" xr3:uid="{F2F0C37E-F209-4739-A744-FC72A4A72CC3}" uniqueName="12" name="Sampling" queryTableFieldId="12" data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14D3BB-F78A-4141-85F7-658122C2B5F0}" name="Exclusions" displayName="Exclusions" ref="B3:E19" totalsRowShown="0" headerRowDxfId="207">
  <autoFilter ref="B3:E19" xr:uid="{1614D3BB-F78A-4141-85F7-658122C2B5F0}"/>
  <tableColumns count="4">
    <tableColumn id="1" xr3:uid="{2213BD7C-7705-4F60-A14A-1E8059D725A6}" name="Doc. Type" dataDxfId="206"/>
    <tableColumn id="2" xr3:uid="{14E26966-AB79-45E6-B41E-F34AD00780B9}" name="G/L Account" dataDxfId="205"/>
    <tableColumn id="3" xr3:uid="{DADFFF52-F387-43F3-95BE-114880BB3CF7}" name="Type + G/L Acc" dataDxfId="204">
      <calculatedColumnFormula>+CONCATENATE(B4,"-",C4)</calculatedColumnFormula>
    </tableColumn>
    <tableColumn id="4" xr3:uid="{92A6B8E5-0DF1-4049-915F-F4B149E671F7}" name="Under Control" dataDxfId="203">
      <calculatedColumnFormula>+Exclusions[[#Headers],[Under Control]]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7B6FFB-6FD6-426C-85D8-5DEE3CDA53E4}" name="Clearings" displayName="Clearings" ref="B5:AM65" tableType="queryTable" totalsRowShown="0" headerRowDxfId="202" dataDxfId="200" headerRowBorderDxfId="201" tableBorderDxfId="199">
  <autoFilter ref="B5:AM65" xr:uid="{EC7B6FFB-6FD6-426C-85D8-5DEE3CDA53E4}"/>
  <tableColumns count="38">
    <tableColumn id="1" xr3:uid="{6083B86E-D5C4-40E2-9B72-74467D4C1F57}" uniqueName="1" name="Tier" queryTableFieldId="1" dataDxfId="166"/>
    <tableColumn id="2" xr3:uid="{BE7C02FE-A5D1-41DA-90D1-A1BE76CA7855}" uniqueName="2" name="Type + G/L Acc" queryTableFieldId="2" dataDxfId="165"/>
    <tableColumn id="3" xr3:uid="{140FA074-77A6-4725-B841-12B106C315A2}" uniqueName="3" name="Type + TCode + Co + Doc N" queryTableFieldId="3" dataDxfId="164"/>
    <tableColumn id="4" xr3:uid="{4EE114A8-7399-4516-8FD3-C5B841B001C5}" uniqueName="4" name="CoCd" queryTableFieldId="4" dataDxfId="163"/>
    <tableColumn id="5" xr3:uid="{600B3FDB-DC9A-4A55-87ED-1CD3AEEE2204}" uniqueName="5" name="Manager" queryTableFieldId="5" dataDxfId="162"/>
    <tableColumn id="6" xr3:uid="{85B18274-51FC-4493-A887-D14210EF765E}" uniqueName="6" name="User" queryTableFieldId="6" dataDxfId="161"/>
    <tableColumn id="7" xr3:uid="{148C64CE-5136-403B-BA82-57D6D8C78DB1}" uniqueName="7" name="TCode" queryTableFieldId="7" dataDxfId="160"/>
    <tableColumn id="8" xr3:uid="{C22E0312-1AC3-4FC1-9615-A0F8373627C0}" uniqueName="8" name="Text" queryTableFieldId="8" dataDxfId="159"/>
    <tableColumn id="9" xr3:uid="{1A859F5A-E9C9-4DF7-9D98-DA5BF66F771D}" uniqueName="9" name="Type" queryTableFieldId="9" dataDxfId="158"/>
    <tableColumn id="10" xr3:uid="{0C16A6B9-77EF-4196-89AB-C905D748E91C}" uniqueName="10" name="Document Descr." queryTableFieldId="10" dataDxfId="157"/>
    <tableColumn id="11" xr3:uid="{07387BFF-680D-4D06-85B3-93A577E7BD6A}" uniqueName="11" name="DocumentNo" queryTableFieldId="11" dataDxfId="156"/>
    <tableColumn id="12" xr3:uid="{953E660F-B95F-43CF-A918-D955CF15331C}" uniqueName="12" name="Doc. Date" queryTableFieldId="12" dataDxfId="155"/>
    <tableColumn id="13" xr3:uid="{6455015D-BF65-4B75-8475-AFE84EA7B942}" uniqueName="13" name="Entry date" queryTableFieldId="13" dataDxfId="154"/>
    <tableColumn id="14" xr3:uid="{96C653E8-0E64-4739-9905-27F86560FB45}" uniqueName="14" name="Effect date" queryTableFieldId="14" dataDxfId="153"/>
    <tableColumn id="15" xr3:uid="{9D66D605-EBD5-406D-BB32-636EA102C6CE}" uniqueName="15" name="Doc.Header Text" queryTableFieldId="15" dataDxfId="152"/>
    <tableColumn id="16" xr3:uid="{7AB97F24-365A-4F92-AF95-A4B93BA694A2}" uniqueName="16" name="Reference" queryTableFieldId="16" dataDxfId="151"/>
    <tableColumn id="17" xr3:uid="{01C74F12-4DF7-4548-9A94-482D00FF6D34}" uniqueName="17" name="Sess. Name" queryTableFieldId="17" dataDxfId="150"/>
    <tableColumn id="18" xr3:uid="{367B793C-C468-48F2-B9A7-A266875B043A}" uniqueName="18" name="Total Deb./Cred." queryTableFieldId="18" dataDxfId="149"/>
    <tableColumn id="19" xr3:uid="{E004D71C-50EE-4337-A452-62AA46111D95}" uniqueName="19" name="Total Deb./Cred.(ML3" queryTableFieldId="19" dataDxfId="148"/>
    <tableColumn id="20" xr3:uid="{B8ABA870-2972-4C57-87C2-932D990539DD}" uniqueName="20" name="Itm" queryTableFieldId="20" dataDxfId="147"/>
    <tableColumn id="21" xr3:uid="{C3F122CB-C29C-4A65-8471-BBBCDFD48E83}" uniqueName="21" name="PK" queryTableFieldId="21" dataDxfId="146"/>
    <tableColumn id="22" xr3:uid="{FAAB998E-1AE5-4134-BC6D-5365AEAB4887}" uniqueName="22" name="CME" queryTableFieldId="22" dataDxfId="145"/>
    <tableColumn id="23" xr3:uid="{787CEAF0-4551-4D4D-A4C1-8154A28981F1}" uniqueName="23" name="G/L Account" queryTableFieldId="23" dataDxfId="144"/>
    <tableColumn id="24" xr3:uid="{66B24793-E328-40C2-8448-1EBE23FA9228}" uniqueName="24" name="G/L Account Descr." queryTableFieldId="24" dataDxfId="143"/>
    <tableColumn id="25" xr3:uid="{B940B77C-96A1-4437-B11A-C3DEA0A5C49B}" uniqueName="25" name="   Debit amount" queryTableFieldId="25" dataDxfId="142"/>
    <tableColumn id="26" xr3:uid="{377192F0-D1A1-42E0-8BE2-6C4294705549}" uniqueName="26" name="Debit amount(ML3)" queryTableFieldId="26" dataDxfId="141"/>
    <tableColumn id="27" xr3:uid="{A1F4F420-EBED-4FA7-B405-1A8301C86771}" uniqueName="27" name="  Credit amount" queryTableFieldId="27" dataDxfId="140"/>
    <tableColumn id="28" xr3:uid="{607917B4-551A-4A53-87FC-89CC2D9DF34E}" uniqueName="28" name="Credit amount(ML3)" queryTableFieldId="28" dataDxfId="139"/>
    <tableColumn id="29" xr3:uid="{33FD47AB-EB01-4A70-B80E-31D2FF1DCA1C}" uniqueName="29" name="Line Comment" queryTableFieldId="29" dataDxfId="138"/>
    <tableColumn id="30" xr3:uid="{88C9430E-0491-47B0-B63C-361FB75C05E7}" uniqueName="30" name="BARCODE" queryTableFieldId="30" dataDxfId="137"/>
    <tableColumn id="31" xr3:uid="{AAF9AD49-F067-45D0-97B7-833F7CBFC6EA}" uniqueName="31" name="Cost Ctr" queryTableFieldId="31" dataDxfId="136"/>
    <tableColumn id="32" xr3:uid="{EDEAF1E1-DD01-4A68-B03D-08DD04833380}" uniqueName="32" name="Profit Ctr" queryTableFieldId="32" dataDxfId="135"/>
    <tableColumn id="33" xr3:uid="{9F399E1C-C1CF-453C-97C3-4494D18456A3}" uniqueName="33" name="Order" queryTableFieldId="33" dataDxfId="134"/>
    <tableColumn id="34" xr3:uid="{24B15250-BE6D-48AD-A01F-DF84A1E08940}" uniqueName="34" name="Cost Ctr Desc." queryTableFieldId="34" dataDxfId="133"/>
    <tableColumn id="35" xr3:uid="{1742526A-C13D-4191-836C-0B8597169DFA}" uniqueName="35" name="Profit Ctr Desc" queryTableFieldId="35" dataDxfId="132"/>
    <tableColumn id="36" xr3:uid="{916267C2-908B-407C-809B-CE09948C6EBE}" uniqueName="36" name="Order Desc." queryTableFieldId="36" dataDxfId="131"/>
    <tableColumn id="37" xr3:uid="{61BBC277-2D95-4BA5-BABF-28C404057D13}" uniqueName="37" name="Supp/Cust" queryTableFieldId="37"/>
    <tableColumn id="38" xr3:uid="{A1851007-45CE-4902-9249-BC5B0F612F40}" uniqueName="38" name="Desc.S/C" queryTableFieldId="38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8BDE0C-3B01-45F3-A9C7-EE519B8E2162}" name="To_Analyze" displayName="To_Analyze" ref="B5:M28" tableType="queryTable" totalsRowShown="0" headerRowDxfId="198" dataDxfId="196" headerRowBorderDxfId="197" tableBorderDxfId="195">
  <autoFilter ref="B5:M28" xr:uid="{958BDE0C-3B01-45F3-A9C7-EE519B8E2162}"/>
  <tableColumns count="12">
    <tableColumn id="1" xr3:uid="{691409F7-D3EE-4837-9F61-B2BE5DCC04D2}" uniqueName="1" name="Tier" queryTableFieldId="1" dataDxfId="130"/>
    <tableColumn id="2" xr3:uid="{A1DF3D26-0C17-4B53-8C01-82043FF95C1B}" uniqueName="2" name="Type + TCode + Co + Doc N" queryTableFieldId="2" dataDxfId="129"/>
    <tableColumn id="3" xr3:uid="{6970765E-153A-4F32-B7AA-269948D4A746}" uniqueName="3" name="CoCd" queryTableFieldId="3" dataDxfId="128"/>
    <tableColumn id="4" xr3:uid="{971ACAE9-4442-4F04-AAF4-2B0DFCF69861}" uniqueName="4" name="Manager" queryTableFieldId="4" dataDxfId="127"/>
    <tableColumn id="5" xr3:uid="{9275B5F8-F89C-4EDC-8163-E8AAF87767E9}" uniqueName="5" name="User" queryTableFieldId="5" dataDxfId="126"/>
    <tableColumn id="6" xr3:uid="{9594C496-4363-4040-9E43-189BDF881D7E}" uniqueName="6" name="TCode" queryTableFieldId="6" dataDxfId="125"/>
    <tableColumn id="7" xr3:uid="{1ECE3D88-71E8-4567-B005-BE91EA00FFC9}" uniqueName="7" name="Text" queryTableFieldId="7" dataDxfId="124"/>
    <tableColumn id="8" xr3:uid="{12041F88-110D-48AD-96FF-525011058C41}" uniqueName="8" name="Type" queryTableFieldId="8" dataDxfId="123"/>
    <tableColumn id="9" xr3:uid="{36AA9291-0362-4190-B996-AED6CCBEDB2C}" uniqueName="9" name="DocumentNo" queryTableFieldId="9" dataDxfId="122"/>
    <tableColumn id="10" xr3:uid="{45103D8D-FDFE-415D-BE50-35E5C3D07046}" uniqueName="10" name="Effect date" queryTableFieldId="10" dataDxfId="121"/>
    <tableColumn id="11" xr3:uid="{102F5538-D316-476B-80F1-DA41FE5CFCEC}" uniqueName="11" name="Doc.Header Text" queryTableFieldId="11" dataDxfId="120"/>
    <tableColumn id="12" xr3:uid="{82C0BB93-D2AD-4E4A-B8DA-5334DB366D42}" uniqueName="12" name="Total Deb./Cred." queryTableFieldId="12" dataDxfId="11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A33F38-3D90-4A39-99DD-296A1CA6E61F}" name="Under_Control" displayName="Under_Control" ref="B5:N9" tableType="queryTable" totalsRowShown="0" headerRowDxfId="194" dataDxfId="192" headerRowBorderDxfId="193" tableBorderDxfId="191">
  <autoFilter ref="B5:N9" xr:uid="{F1A33F38-3D90-4A39-99DD-296A1CA6E61F}"/>
  <tableColumns count="13">
    <tableColumn id="1" xr3:uid="{0CDDB4AD-8BA7-4938-B760-8B955CA121B5}" uniqueName="1" name="Tier" queryTableFieldId="1" dataDxfId="118"/>
    <tableColumn id="2" xr3:uid="{9E502843-6B82-49F6-AED7-054B33AD1F96}" uniqueName="2" name="Type + TCode + Co + Doc N" queryTableFieldId="2" dataDxfId="117"/>
    <tableColumn id="3" xr3:uid="{1EB9073B-FCF7-4A5E-947E-EB377BE753D5}" uniqueName="3" name="CoCd" queryTableFieldId="3" dataDxfId="116"/>
    <tableColumn id="4" xr3:uid="{1FECC6D8-C527-4B13-A363-F4A07A6B3645}" uniqueName="4" name="Manager" queryTableFieldId="4" dataDxfId="115"/>
    <tableColumn id="5" xr3:uid="{4A2F3FB8-C819-4504-BCF9-C97AE136D822}" uniqueName="5" name="User" queryTableFieldId="5" dataDxfId="114"/>
    <tableColumn id="6" xr3:uid="{856C87EB-F09E-4AC9-A871-10D2C9B4A571}" uniqueName="6" name="TCode" queryTableFieldId="6" dataDxfId="113"/>
    <tableColumn id="7" xr3:uid="{0A6C3490-96A0-4877-9AB5-FF9E482222DD}" uniqueName="7" name="Text" queryTableFieldId="7" dataDxfId="112"/>
    <tableColumn id="8" xr3:uid="{375AB973-8CDA-4CAC-89E8-4D97D89E2780}" uniqueName="8" name="Type" queryTableFieldId="8" dataDxfId="111"/>
    <tableColumn id="9" xr3:uid="{E7D834FF-D448-4E58-B0CE-E51115393791}" uniqueName="9" name="DocumentNo" queryTableFieldId="9" dataDxfId="110"/>
    <tableColumn id="10" xr3:uid="{3F61D304-D064-495E-A08F-7BE3FAB33F38}" uniqueName="10" name="Effect date" queryTableFieldId="10" dataDxfId="109"/>
    <tableColumn id="11" xr3:uid="{192EDD28-173B-4C13-8A7C-BE27A7D84C13}" uniqueName="11" name="Doc.Header Text" queryTableFieldId="11" dataDxfId="108"/>
    <tableColumn id="12" xr3:uid="{CBB79FB5-76E4-441D-B439-60B73E016446}" uniqueName="12" name="Total Deb./Cred." queryTableFieldId="12" dataDxfId="107"/>
    <tableColumn id="13" xr3:uid="{9CCA5F46-EC35-4349-9EB6-94DC5CA4627A}" uniqueName="13" name="Counts" queryTableFieldId="13" dataDxfId="106">
      <calculatedColumnFormula>+IFERROR(IF(INDEX(To_Analyze[#All],MATCH(Under_Control[[#This Row],[Type + TCode + Co + Doc N]],To_Analyze[[#All],[Type + TCode + Co + Doc N]],0),1)="To Analyze","Not Count","Count"),"Count")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453726-6800-40BE-8A3B-53AFA49BCB80}" name="AR" displayName="AR" ref="B7:M20" tableType="queryTable" totalsRowShown="0" headerRowDxfId="190" dataDxfId="188" headerRowBorderDxfId="189" tableBorderDxfId="187">
  <autoFilter ref="B7:M20" xr:uid="{C0453726-6800-40BE-8A3B-53AFA49BCB80}"/>
  <tableColumns count="12">
    <tableColumn id="2" xr3:uid="{8561B1C9-94E1-43AE-9912-1ED91410456E}" uniqueName="2" name="Type + TCode + Co + Doc N" queryTableFieldId="2" dataDxfId="105"/>
    <tableColumn id="3" xr3:uid="{9704A0CB-DC65-4612-889A-F518BF950D00}" uniqueName="3" name="CoCd" queryTableFieldId="3" dataDxfId="104"/>
    <tableColumn id="4" xr3:uid="{0F167627-0076-40B3-8B3F-CEAD9598EBE6}" uniqueName="4" name="Manager" queryTableFieldId="4" dataDxfId="103"/>
    <tableColumn id="5" xr3:uid="{CF658E6D-12C7-4026-BE07-70FA901AAAD5}" uniqueName="5" name="User" queryTableFieldId="5" dataDxfId="102"/>
    <tableColumn id="6" xr3:uid="{7B82FFC7-1B9D-44E1-BFC3-E4A25CCE4D47}" uniqueName="6" name="TCode" queryTableFieldId="6" dataDxfId="101"/>
    <tableColumn id="7" xr3:uid="{72A59979-8465-41D5-BC74-C307E8930C14}" uniqueName="7" name="Text" queryTableFieldId="7" dataDxfId="100"/>
    <tableColumn id="8" xr3:uid="{4B225505-FA7F-4D88-B159-371A0CCEE9E8}" uniqueName="8" name="Type" queryTableFieldId="8" dataDxfId="99"/>
    <tableColumn id="9" xr3:uid="{7B470DF4-4286-4BBF-B12C-82538CE3B4FC}" uniqueName="9" name="DocumentNo" queryTableFieldId="9" dataDxfId="98"/>
    <tableColumn id="10" xr3:uid="{FCB7F069-3BC8-4187-91D8-A816BC236A3C}" uniqueName="10" name="Effect date" queryTableFieldId="10" dataDxfId="97"/>
    <tableColumn id="11" xr3:uid="{4DDA498E-871C-4C58-B491-6B10F0427E59}" uniqueName="11" name="Doc.Header Text" queryTableFieldId="11" dataDxfId="96"/>
    <tableColumn id="12" xr3:uid="{E3190F25-2EB1-4A1F-9D88-D7A2422F1BDF}" uniqueName="12" name="Total Deb./Cred." queryTableFieldId="12" dataDxfId="95"/>
    <tableColumn id="13" xr3:uid="{5846501A-5ED7-419D-94FF-95EF4141DEE6}" uniqueName="13" name="Sampling" queryTableFieldId="13" dataDxfId="94">
      <calculatedColumnFormula>+IF(AR[[#This Row],[Total Deb./Cred.]]&gt;Summary!$C$20,"Sample","-")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CE6735-6E09-4B25-A146-5C4FFEB82CBC}" name="AP" displayName="AP" ref="B7:M17" tableType="queryTable" totalsRowShown="0" headerRowDxfId="186" dataDxfId="184" headerRowBorderDxfId="185" tableBorderDxfId="183">
  <autoFilter ref="B7:M17" xr:uid="{BCCE6735-6E09-4B25-A146-5C4FFEB82CBC}"/>
  <tableColumns count="12">
    <tableColumn id="1" xr3:uid="{24102BBA-62ED-47E8-8139-BCEA3077904E}" uniqueName="1" name="Type + TCode + Co + Doc N" queryTableFieldId="1" dataDxfId="93"/>
    <tableColumn id="2" xr3:uid="{DCE318E4-84F8-4244-AE32-46C5435570D5}" uniqueName="2" name="CoCd" queryTableFieldId="2" dataDxfId="92"/>
    <tableColumn id="3" xr3:uid="{950EDB82-F931-4D95-B498-AE39720BA3B1}" uniqueName="3" name="Manager" queryTableFieldId="3" dataDxfId="91"/>
    <tableColumn id="4" xr3:uid="{FB04AFF1-F10A-4B25-BF3A-47A2D27FAE2A}" uniqueName="4" name="User" queryTableFieldId="4" dataDxfId="90"/>
    <tableColumn id="5" xr3:uid="{69A5899F-0096-4BB6-9DCD-F793F7E52BE4}" uniqueName="5" name="TCode" queryTableFieldId="5" dataDxfId="89"/>
    <tableColumn id="6" xr3:uid="{7C02F032-F220-400A-B577-44C4ABA58729}" uniqueName="6" name="Text" queryTableFieldId="6" dataDxfId="88"/>
    <tableColumn id="7" xr3:uid="{40EAB9A0-8DF7-414A-AE9F-53380A61BD4C}" uniqueName="7" name="Type" queryTableFieldId="7" dataDxfId="87"/>
    <tableColumn id="8" xr3:uid="{78A1F9AC-657D-4DCF-81C7-B483477F6737}" uniqueName="8" name="DocumentNo" queryTableFieldId="8" dataDxfId="86"/>
    <tableColumn id="9" xr3:uid="{354AACDD-36AD-4142-924D-A65F46205B78}" uniqueName="9" name="Effect date" queryTableFieldId="9" dataDxfId="85"/>
    <tableColumn id="10" xr3:uid="{9CA15074-30ED-42A8-B58D-E2179CEA0959}" uniqueName="10" name="Doc.Header Text" queryTableFieldId="10" dataDxfId="84"/>
    <tableColumn id="11" xr3:uid="{DB5D7C1E-2038-4EB0-A0B7-64DF467094BB}" uniqueName="11" name="Total Deb./Cred." queryTableFieldId="11" dataDxfId="83"/>
    <tableColumn id="12" xr3:uid="{3F8F0941-0C22-428C-B6A9-061C24CF2FDD}" uniqueName="12" name="Sampling" queryTableFieldId="12" dataDxfId="82">
      <calculatedColumnFormula>+IF(AP[[#This Row],[Total Deb./Cred.]]&gt;Summary!$C$20,"Sample","-")</calculatedColumnFormula>
    </tableColumn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B784C26-1213-4F59-BC7B-839A2B3FA805}" name="AR_To_Analyze" displayName="AR_To_Analyze" ref="C5:AA11" tableType="queryTable" totalsRowShown="0" headerRowDxfId="182" dataDxfId="180" headerRowBorderDxfId="181" tableBorderDxfId="179">
  <tableColumns count="25">
    <tableColumn id="2" xr3:uid="{8CEAD4ED-5649-4591-9C6B-99D9D0A5C84F}" uniqueName="2" name="CoCd" queryTableFieldId="2" dataDxfId="81"/>
    <tableColumn id="3" xr3:uid="{1390F931-9B3C-4EC8-9AB2-084CFE68F05C}" uniqueName="3" name="Manager" queryTableFieldId="3" dataDxfId="80"/>
    <tableColumn id="4" xr3:uid="{69EAF73B-7AA3-4C35-A69D-14CB58484CA3}" uniqueName="4" name="User" queryTableFieldId="4" dataDxfId="79"/>
    <tableColumn id="5" xr3:uid="{A7383E71-F2AB-4684-AB14-3E7FEA3A76B3}" uniqueName="5" name="TCode" queryTableFieldId="5" dataDxfId="78"/>
    <tableColumn id="6" xr3:uid="{EED5117D-79F2-4824-8BEE-35B365DD79AA}" uniqueName="6" name="Type" queryTableFieldId="6" dataDxfId="77"/>
    <tableColumn id="7" xr3:uid="{A6D8EE0F-7478-43EF-B1A9-BA007962B539}" uniqueName="7" name="DocumentNo" queryTableFieldId="7" dataDxfId="76"/>
    <tableColumn id="8" xr3:uid="{26C94B9F-D710-48BC-8A82-037962BECA50}" uniqueName="8" name="Effect date" queryTableFieldId="8" dataDxfId="75"/>
    <tableColumn id="9" xr3:uid="{B8CA9D02-3934-4BB1-9BE7-BC42D9517F2E}" uniqueName="9" name="Doc.Header Text" queryTableFieldId="9" dataDxfId="74"/>
    <tableColumn id="10" xr3:uid="{162CDA7A-7BC4-49ED-ADD0-218BDEE3AFB9}" uniqueName="10" name="Total Deb./Cred." queryTableFieldId="10" dataDxfId="73"/>
    <tableColumn id="11" xr3:uid="{2C95A7CA-8710-4A58-AC37-26A86C763F9E}" uniqueName="11" name="G/L Account" queryTableFieldId="11" dataDxfId="72"/>
    <tableColumn id="12" xr3:uid="{61DB01A1-3A56-43EB-815E-E832C9B63A36}" uniqueName="12" name="G/L Account Descr." queryTableFieldId="12" dataDxfId="71"/>
    <tableColumn id="1" xr3:uid="{B05B66F7-C447-4A97-B564-99E2A358A903}" uniqueName="1" name="Supp/Cust" queryTableFieldId="25"/>
    <tableColumn id="21" xr3:uid="{762EE5DB-9D93-41F2-932D-FE433C25C1CB}" uniqueName="21" name="Desc.S/C" queryTableFieldId="26"/>
    <tableColumn id="13" xr3:uid="{71005E0B-3FFB-4EC7-914D-DDF77CFB2B61}" uniqueName="13" name="Cost Ctr" queryTableFieldId="13" dataDxfId="70"/>
    <tableColumn id="16" xr3:uid="{37F7559B-1D27-428D-82F8-C883A2F730BB}" uniqueName="16" name="Cost Ctr Desc." queryTableFieldId="16" dataDxfId="69"/>
    <tableColumn id="14" xr3:uid="{DC6EEACE-EE4C-4FD9-A301-38476D8EFF59}" uniqueName="14" name="Profit Ctr" queryTableFieldId="14" dataDxfId="68"/>
    <tableColumn id="17" xr3:uid="{CB4744D1-6C98-4965-BC3D-0AB5CFD359C0}" uniqueName="17" name="Profit Ctr Desc" queryTableFieldId="17" dataDxfId="67"/>
    <tableColumn id="15" xr3:uid="{565C0FC6-9844-4F51-82F3-154E7E22C491}" uniqueName="15" name="Order" queryTableFieldId="15" dataDxfId="66"/>
    <tableColumn id="18" xr3:uid="{C2CC6477-1AB2-4F7B-9911-8979487CE2BF}" uniqueName="18" name="Order Desc." queryTableFieldId="18" dataDxfId="65"/>
    <tableColumn id="19" xr3:uid="{34192EED-EF79-45B6-A29E-74BAA7C9D86A}" uniqueName="19" name="   Debit amount" queryTableFieldId="19" dataDxfId="64"/>
    <tableColumn id="20" xr3:uid="{072B7A90-C691-45E8-9613-F09E0D4D60ED}" uniqueName="20" name="  Credit amount" queryTableFieldId="20" dataDxfId="63"/>
    <tableColumn id="22" xr3:uid="{DE6BF271-F68A-495A-97EF-DB24DF42ACC4}" uniqueName="22" name="CHECK" queryTableFieldId="29" dataDxfId="62"/>
    <tableColumn id="23" xr3:uid="{97592FF4-F138-4CAC-9479-0648FF3BE48C}" uniqueName="23" name="JUSTIFICATION" queryTableFieldId="30" dataDxfId="61"/>
    <tableColumn id="24" xr3:uid="{B61AECDB-8E0B-432B-8B7B-E38D49EA3F51}" uniqueName="24" name="SUPPORTING DOC." queryTableFieldId="31" dataDxfId="60"/>
    <tableColumn id="25" xr3:uid="{505D737B-BE68-4475-B43F-30A7C26BC19F}" uniqueName="25" name="SUPPORTING DOC. LOCATION" queryTableFieldId="32" dataDxfId="59"/>
  </tableColumns>
  <tableStyleInfo name="TableStyleMedium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D7F8B62-9BA2-4298-8106-7EB434A24747}" name="AP_To_Analyze" displayName="AP_To_Analyze" ref="C5:AA6" tableType="queryTable" insertRow="1" totalsRowShown="0" headerRowDxfId="178" dataDxfId="176" headerRowBorderDxfId="177" tableBorderDxfId="175">
  <tableColumns count="25">
    <tableColumn id="1" xr3:uid="{04CF413E-6282-4AF7-BDA3-E3D8B053AE09}" uniqueName="1" name="CoCd" queryTableFieldId="1" dataDxfId="58"/>
    <tableColumn id="2" xr3:uid="{B843589C-B70F-4723-B5D3-5C4F97B07D8E}" uniqueName="2" name="Manager" queryTableFieldId="2" dataDxfId="57"/>
    <tableColumn id="3" xr3:uid="{7AA66676-D072-4BFE-B4A8-16A242997788}" uniqueName="3" name="User" queryTableFieldId="3" dataDxfId="56"/>
    <tableColumn id="4" xr3:uid="{6051C5CD-359C-4B59-9EC8-F98A3AC20317}" uniqueName="4" name="TCode" queryTableFieldId="4" dataDxfId="55"/>
    <tableColumn id="5" xr3:uid="{BD3CE50E-AC51-4E6A-8473-46323E123F28}" uniqueName="5" name="Type" queryTableFieldId="5" dataDxfId="54"/>
    <tableColumn id="6" xr3:uid="{B64D2510-AF54-4426-890F-B0CDC9200B93}" uniqueName="6" name="DocumentNo" queryTableFieldId="6" dataDxfId="53"/>
    <tableColumn id="7" xr3:uid="{F18E8B4C-9871-40CC-B07B-A126FFEE105A}" uniqueName="7" name="Effect date" queryTableFieldId="7" dataDxfId="52"/>
    <tableColumn id="8" xr3:uid="{CBD9049F-CCD1-49D0-8C41-71E5D28510C1}" uniqueName="8" name="Doc.Header Text" queryTableFieldId="8" dataDxfId="51"/>
    <tableColumn id="9" xr3:uid="{16E12A9D-F511-4D9F-865C-39E80494A976}" uniqueName="9" name="Total Deb./Cred." queryTableFieldId="9" dataDxfId="50"/>
    <tableColumn id="10" xr3:uid="{8B65DDD3-64C5-4C27-9700-18EB6C5ADEB4}" uniqueName="10" name="G/L Account" queryTableFieldId="10" dataDxfId="49"/>
    <tableColumn id="11" xr3:uid="{2AC44EFD-0BE9-4ED6-BBBE-3F61F9965E34}" uniqueName="11" name="G/L Account Descr." queryTableFieldId="11" dataDxfId="48"/>
    <tableColumn id="20" xr3:uid="{93EB75BF-4B36-471D-B0F8-EEC56FAA1CC7}" uniqueName="20" name="Supp/Cust" queryTableFieldId="28"/>
    <tableColumn id="21" xr3:uid="{344D4C48-2354-46E8-AE9C-54D5C352F189}" uniqueName="21" name="Desc.S/C" queryTableFieldId="29"/>
    <tableColumn id="14" xr3:uid="{6B845074-48B0-4C0B-AE20-8373202C917C}" uniqueName="14" name="Cost Ctr" queryTableFieldId="14" dataDxfId="47"/>
    <tableColumn id="17" xr3:uid="{5F951380-71E9-4AD3-B72B-8A4DDE8531A1}" uniqueName="17" name="Cost Ctr Desc." queryTableFieldId="17" dataDxfId="46"/>
    <tableColumn id="15" xr3:uid="{DD612D43-C17C-47D8-92EC-FCC2B23CBA4D}" uniqueName="15" name="Profit Ctr" queryTableFieldId="15" dataDxfId="45"/>
    <tableColumn id="18" xr3:uid="{D1D5768C-49EB-40F0-B75B-44E72DB46DB2}" uniqueName="18" name="Profit Ctr Desc" queryTableFieldId="18" dataDxfId="44"/>
    <tableColumn id="16" xr3:uid="{60AF6C15-25B0-4F76-BF3B-06727AA0CFDB}" uniqueName="16" name="Order" queryTableFieldId="16" dataDxfId="43"/>
    <tableColumn id="19" xr3:uid="{E26B1DBE-3032-4D6A-95E5-7C7D6C07FB1E}" uniqueName="19" name="Order Desc." queryTableFieldId="19" dataDxfId="42"/>
    <tableColumn id="12" xr3:uid="{D0574C7A-06D2-4DF5-B39B-FD156C1053A6}" uniqueName="12" name="   Debit amount" queryTableFieldId="12" dataDxfId="41"/>
    <tableColumn id="13" xr3:uid="{9FA2F7EE-A1CB-4F87-A3A8-C1F37C7EDEC4}" uniqueName="13" name="  Credit amount" queryTableFieldId="13" dataDxfId="40"/>
    <tableColumn id="22" xr3:uid="{00D04033-6C13-411B-9B6E-190044C1FC77}" uniqueName="22" name="CHECK" queryTableFieldId="32" dataDxfId="39"/>
    <tableColumn id="23" xr3:uid="{C709AF6A-8D08-4563-85FC-4671DF592FEF}" uniqueName="23" name="JUSTIFICATION" queryTableFieldId="33" dataDxfId="38"/>
    <tableColumn id="24" xr3:uid="{FDA85C5C-6296-4407-9B67-077BCE26D544}" uniqueName="24" name="SUPPORTING DOC." queryTableFieldId="34" dataDxfId="37"/>
    <tableColumn id="25" xr3:uid="{29FF4F94-93E5-444B-B30C-5E2CD39761DF}" uniqueName="25" name="SUPPORTING DOC. LOCATION" queryTableFieldId="35" dataDxfId="3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B2E4-DE9B-4DC8-8190-E6F40FAE89D0}">
  <dimension ref="A1"/>
  <sheetViews>
    <sheetView workbookViewId="0"/>
  </sheetViews>
  <sheetFormatPr defaultRowHeight="15" x14ac:dyDescent="0.25"/>
  <cols>
    <col min="1" max="16384" width="9.140625" style="112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BFE6-26C8-4571-8B0C-60E9819E77A6}">
  <sheetPr>
    <tabColor theme="7"/>
  </sheetPr>
  <dimension ref="C1:AA11"/>
  <sheetViews>
    <sheetView showGridLines="0" topLeftCell="A3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2" width="3" style="1" customWidth="1"/>
    <col min="3" max="3" width="5.85546875" style="1" bestFit="1" customWidth="1"/>
    <col min="4" max="4" width="8.7109375" style="1" bestFit="1" customWidth="1"/>
    <col min="5" max="5" width="9.28515625" style="1" bestFit="1" customWidth="1"/>
    <col min="6" max="6" width="6.85546875" style="1" bestFit="1" customWidth="1"/>
    <col min="7" max="7" width="5.42578125" style="1" bestFit="1" customWidth="1"/>
    <col min="8" max="8" width="12.140625" style="1" bestFit="1" customWidth="1"/>
    <col min="9" max="9" width="10.28515625" style="1" bestFit="1" customWidth="1"/>
    <col min="10" max="10" width="15.42578125" style="1" bestFit="1" customWidth="1"/>
    <col min="11" max="11" width="15" style="1" bestFit="1" customWidth="1"/>
    <col min="12" max="12" width="11.5703125" style="1" bestFit="1" customWidth="1"/>
    <col min="13" max="13" width="21" style="1" bestFit="1" customWidth="1"/>
    <col min="14" max="14" width="10.140625" style="1" bestFit="1" customWidth="1"/>
    <col min="15" max="15" width="33.28515625" style="1" bestFit="1" customWidth="1"/>
    <col min="16" max="16" width="8.42578125" style="1" bestFit="1" customWidth="1"/>
    <col min="17" max="17" width="13.5703125" style="1" bestFit="1" customWidth="1"/>
    <col min="18" max="18" width="9" style="1" bestFit="1" customWidth="1"/>
    <col min="19" max="19" width="13.85546875" style="1" bestFit="1" customWidth="1"/>
    <col min="20" max="20" width="6.140625" style="1" bestFit="1" customWidth="1"/>
    <col min="21" max="21" width="11.42578125" style="1" bestFit="1" customWidth="1"/>
    <col min="22" max="22" width="14.140625" style="1" bestFit="1" customWidth="1"/>
    <col min="23" max="23" width="14.7109375" style="1" bestFit="1" customWidth="1"/>
    <col min="24" max="24" width="6.85546875" style="1" bestFit="1" customWidth="1"/>
    <col min="25" max="25" width="13.85546875" style="1" bestFit="1" customWidth="1"/>
    <col min="26" max="26" width="16.28515625" style="1" bestFit="1" customWidth="1"/>
    <col min="27" max="27" width="16.7109375" style="1" bestFit="1" customWidth="1"/>
    <col min="28" max="16384" width="8.85546875" style="1"/>
  </cols>
  <sheetData>
    <row r="1" spans="3:27" s="9" customFormat="1" ht="21.6" customHeight="1" x14ac:dyDescent="0.3">
      <c r="C1" s="10" t="s">
        <v>75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+SUM(AR_To_Analyze[[#All],[Total Deb./Cred.]])</f>
        <v>12839833.020000001</v>
      </c>
      <c r="T3" s="29">
        <f>+SUM(AR_To_Analyze[[#All],[   Debit amount]])</f>
        <v>4120861.7800000003</v>
      </c>
      <c r="U3" s="29">
        <f>+SUM(AR_To_Analyze[[#All],[  Credit amount]])</f>
        <v>4120861.7800000003</v>
      </c>
      <c r="V3" s="29"/>
      <c r="W3" s="29"/>
      <c r="X3" s="29"/>
      <c r="Y3" s="29"/>
    </row>
    <row r="4" spans="3:27" ht="4.1500000000000004" customHeight="1" thickBot="1" x14ac:dyDescent="0.25"/>
    <row r="5" spans="3:27" ht="24.75" thickBot="1" x14ac:dyDescent="0.25">
      <c r="C5" s="36" t="s">
        <v>3</v>
      </c>
      <c r="D5" s="37" t="s">
        <v>4</v>
      </c>
      <c r="E5" s="37" t="s">
        <v>5</v>
      </c>
      <c r="F5" s="37" t="s">
        <v>6</v>
      </c>
      <c r="G5" s="37" t="s">
        <v>8</v>
      </c>
      <c r="H5" s="37" t="s">
        <v>10</v>
      </c>
      <c r="I5" s="37" t="s">
        <v>13</v>
      </c>
      <c r="J5" s="37" t="s">
        <v>14</v>
      </c>
      <c r="K5" s="37" t="s">
        <v>17</v>
      </c>
      <c r="L5" s="38" t="s">
        <v>22</v>
      </c>
      <c r="M5" s="38" t="s">
        <v>23</v>
      </c>
      <c r="N5" s="38" t="s">
        <v>61</v>
      </c>
      <c r="O5" s="38" t="s">
        <v>62</v>
      </c>
      <c r="P5" s="38" t="s">
        <v>30</v>
      </c>
      <c r="Q5" s="38" t="s">
        <v>33</v>
      </c>
      <c r="R5" s="38" t="s">
        <v>31</v>
      </c>
      <c r="S5" s="38" t="s">
        <v>34</v>
      </c>
      <c r="T5" s="38" t="s">
        <v>32</v>
      </c>
      <c r="U5" s="38" t="s">
        <v>35</v>
      </c>
      <c r="V5" s="38" t="s">
        <v>24</v>
      </c>
      <c r="W5" s="39" t="s">
        <v>26</v>
      </c>
      <c r="X5" s="113" t="s">
        <v>77</v>
      </c>
      <c r="Y5" s="114" t="s">
        <v>78</v>
      </c>
      <c r="Z5" s="115" t="s">
        <v>79</v>
      </c>
      <c r="AA5" s="116" t="s">
        <v>80</v>
      </c>
    </row>
    <row r="6" spans="3:27" ht="15" x14ac:dyDescent="0.25">
      <c r="C6" s="4" t="s">
        <v>81</v>
      </c>
      <c r="D6" s="4" t="s">
        <v>98</v>
      </c>
      <c r="E6" s="4" t="s">
        <v>99</v>
      </c>
      <c r="F6" s="4" t="s">
        <v>84</v>
      </c>
      <c r="G6" s="4" t="s">
        <v>64</v>
      </c>
      <c r="H6" s="4">
        <v>2500005447</v>
      </c>
      <c r="I6" s="4">
        <v>45596</v>
      </c>
      <c r="K6" s="8">
        <v>2299054.73</v>
      </c>
      <c r="L6" s="4">
        <v>1330101001</v>
      </c>
      <c r="M6" s="1" t="s">
        <v>100</v>
      </c>
      <c r="N6">
        <v>3000001</v>
      </c>
      <c r="O6" t="s">
        <v>102</v>
      </c>
      <c r="V6" s="8">
        <v>2299054.73</v>
      </c>
      <c r="W6" s="8">
        <v>0</v>
      </c>
    </row>
    <row r="7" spans="3:27" ht="15" x14ac:dyDescent="0.25">
      <c r="C7" s="4" t="s">
        <v>81</v>
      </c>
      <c r="D7" s="4" t="s">
        <v>98</v>
      </c>
      <c r="E7" s="4" t="s">
        <v>99</v>
      </c>
      <c r="F7" s="4" t="s">
        <v>84</v>
      </c>
      <c r="G7" s="4" t="s">
        <v>64</v>
      </c>
      <c r="H7" s="4">
        <v>2500005447</v>
      </c>
      <c r="I7" s="4">
        <v>45596</v>
      </c>
      <c r="K7" s="8">
        <v>2299054.73</v>
      </c>
      <c r="L7" s="4">
        <v>1200101001</v>
      </c>
      <c r="M7" s="1" t="s">
        <v>103</v>
      </c>
      <c r="N7">
        <v>3000001</v>
      </c>
      <c r="O7" t="s">
        <v>102</v>
      </c>
      <c r="V7" s="8">
        <v>0</v>
      </c>
      <c r="W7" s="8">
        <v>1147807.44</v>
      </c>
    </row>
    <row r="8" spans="3:27" ht="15" x14ac:dyDescent="0.25">
      <c r="C8" s="4" t="s">
        <v>81</v>
      </c>
      <c r="D8" s="4" t="s">
        <v>98</v>
      </c>
      <c r="E8" s="4" t="s">
        <v>99</v>
      </c>
      <c r="F8" s="4" t="s">
        <v>84</v>
      </c>
      <c r="G8" s="4" t="s">
        <v>64</v>
      </c>
      <c r="H8" s="4">
        <v>2500005447</v>
      </c>
      <c r="I8" s="4">
        <v>45596</v>
      </c>
      <c r="K8" s="8">
        <v>2299054.73</v>
      </c>
      <c r="L8" s="4">
        <v>1200101001</v>
      </c>
      <c r="M8" s="1" t="s">
        <v>103</v>
      </c>
      <c r="N8">
        <v>3000001</v>
      </c>
      <c r="O8" t="s">
        <v>102</v>
      </c>
      <c r="V8" s="8">
        <v>0</v>
      </c>
      <c r="W8" s="8">
        <v>90131.19</v>
      </c>
    </row>
    <row r="9" spans="3:27" ht="15" x14ac:dyDescent="0.25">
      <c r="C9" s="4" t="s">
        <v>81</v>
      </c>
      <c r="D9" s="4" t="s">
        <v>98</v>
      </c>
      <c r="E9" s="4" t="s">
        <v>99</v>
      </c>
      <c r="F9" s="4" t="s">
        <v>84</v>
      </c>
      <c r="G9" s="4" t="s">
        <v>64</v>
      </c>
      <c r="H9" s="4">
        <v>2500005447</v>
      </c>
      <c r="I9" s="4">
        <v>45596</v>
      </c>
      <c r="K9" s="8">
        <v>2299054.73</v>
      </c>
      <c r="L9" s="4">
        <v>1200101001</v>
      </c>
      <c r="M9" s="1" t="s">
        <v>103</v>
      </c>
      <c r="N9">
        <v>3000001</v>
      </c>
      <c r="O9" t="s">
        <v>102</v>
      </c>
      <c r="V9" s="8">
        <v>0</v>
      </c>
      <c r="W9" s="8">
        <v>1061116.1000000001</v>
      </c>
    </row>
    <row r="10" spans="3:27" ht="15" x14ac:dyDescent="0.25">
      <c r="C10" s="4" t="s">
        <v>147</v>
      </c>
      <c r="D10" s="4" t="s">
        <v>98</v>
      </c>
      <c r="E10" s="4" t="s">
        <v>99</v>
      </c>
      <c r="F10" s="4" t="s">
        <v>84</v>
      </c>
      <c r="G10" s="4" t="s">
        <v>64</v>
      </c>
      <c r="H10" s="4">
        <v>2500001219</v>
      </c>
      <c r="I10" s="4">
        <v>45596</v>
      </c>
      <c r="K10" s="8">
        <v>1821807.05</v>
      </c>
      <c r="L10" s="4">
        <v>1200101001</v>
      </c>
      <c r="M10" s="1" t="s">
        <v>103</v>
      </c>
      <c r="N10">
        <v>3000000</v>
      </c>
      <c r="O10" t="s">
        <v>153</v>
      </c>
      <c r="V10" s="8">
        <v>0</v>
      </c>
      <c r="W10" s="8">
        <v>1821807.05</v>
      </c>
    </row>
    <row r="11" spans="3:27" ht="15" x14ac:dyDescent="0.25">
      <c r="C11" s="4" t="s">
        <v>147</v>
      </c>
      <c r="D11" s="4" t="s">
        <v>98</v>
      </c>
      <c r="E11" s="4" t="s">
        <v>99</v>
      </c>
      <c r="F11" s="4" t="s">
        <v>84</v>
      </c>
      <c r="G11" s="4" t="s">
        <v>64</v>
      </c>
      <c r="H11" s="4">
        <v>2500001219</v>
      </c>
      <c r="I11" s="4">
        <v>45596</v>
      </c>
      <c r="K11" s="8">
        <v>1821807.05</v>
      </c>
      <c r="L11" s="4">
        <v>1330101001</v>
      </c>
      <c r="M11" s="1" t="s">
        <v>100</v>
      </c>
      <c r="N11">
        <v>3000000</v>
      </c>
      <c r="O11" t="s">
        <v>153</v>
      </c>
      <c r="V11" s="8">
        <v>1821807.05</v>
      </c>
      <c r="W11" s="8">
        <v>0</v>
      </c>
    </row>
  </sheetData>
  <phoneticPr fontId="17" type="noConversion"/>
  <conditionalFormatting sqref="X5:X11">
    <cfRule type="containsText" dxfId="27" priority="1" operator="containsText" text="WRONG">
      <formula>NOT(ISERROR(SEARCH("WRONG",X5)))</formula>
    </cfRule>
    <cfRule type="containsText" dxfId="26" priority="2" operator="containsText" text="CORRECT">
      <formula>NOT(ISERROR(SEARCH("CORRECT",X5)))</formula>
    </cfRule>
  </conditionalFormatting>
  <dataValidations count="1">
    <dataValidation type="list" allowBlank="1" showInputMessage="1" showErrorMessage="1" sqref="X5:X11" xr:uid="{A6034F39-20A6-4492-9EF5-09ADBCA49AB5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A887-3361-4C77-B6D9-0E29A1756929}">
  <sheetPr>
    <tabColor theme="7"/>
  </sheetPr>
  <dimension ref="C1:AA6"/>
  <sheetViews>
    <sheetView showGridLines="0" zoomScale="90" zoomScaleNormal="90" workbookViewId="0">
      <pane xSplit="11" topLeftCell="W1" activePane="topRight" state="frozen"/>
      <selection pane="topRight" activeCell="X6" sqref="X6"/>
    </sheetView>
  </sheetViews>
  <sheetFormatPr defaultColWidth="8.85546875" defaultRowHeight="12" x14ac:dyDescent="0.2"/>
  <cols>
    <col min="1" max="1" width="3.7109375" style="1" customWidth="1"/>
    <col min="2" max="2" width="2.42578125" style="1" customWidth="1"/>
    <col min="3" max="3" width="5.85546875" style="1" bestFit="1" customWidth="1"/>
    <col min="4" max="4" width="8.7109375" style="1" bestFit="1" customWidth="1"/>
    <col min="5" max="5" width="5.28515625" style="1" bestFit="1" customWidth="1"/>
    <col min="6" max="6" width="6.85546875" style="1" bestFit="1" customWidth="1"/>
    <col min="7" max="7" width="5.42578125" style="1" bestFit="1" customWidth="1"/>
    <col min="8" max="8" width="12.140625" style="1" bestFit="1" customWidth="1"/>
    <col min="9" max="9" width="10.28515625" style="1" bestFit="1" customWidth="1"/>
    <col min="10" max="10" width="15.42578125" style="1" bestFit="1" customWidth="1"/>
    <col min="11" max="11" width="15" style="1" bestFit="1" customWidth="1"/>
    <col min="12" max="12" width="11.5703125" style="1" bestFit="1" customWidth="1"/>
    <col min="13" max="13" width="17.7109375" style="1" bestFit="1" customWidth="1"/>
    <col min="14" max="14" width="10.140625" style="1" bestFit="1" customWidth="1"/>
    <col min="15" max="15" width="8.7109375" style="1" bestFit="1" customWidth="1"/>
    <col min="16" max="16" width="8.42578125" style="1" bestFit="1" customWidth="1"/>
    <col min="17" max="17" width="13.5703125" style="1" bestFit="1" customWidth="1"/>
    <col min="18" max="18" width="9" style="1" bestFit="1" customWidth="1"/>
    <col min="19" max="19" width="13.85546875" style="1" bestFit="1" customWidth="1"/>
    <col min="20" max="20" width="6.140625" style="1" bestFit="1" customWidth="1"/>
    <col min="21" max="21" width="11.42578125" style="1" bestFit="1" customWidth="1"/>
    <col min="22" max="22" width="14.140625" style="1" bestFit="1" customWidth="1"/>
    <col min="23" max="23" width="14.7109375" style="1" bestFit="1" customWidth="1"/>
    <col min="24" max="24" width="6.85546875" style="1" bestFit="1" customWidth="1"/>
    <col min="25" max="25" width="13.85546875" style="1" bestFit="1" customWidth="1"/>
    <col min="26" max="26" width="11.85546875" style="1" bestFit="1" customWidth="1"/>
    <col min="27" max="27" width="16.7109375" style="1" bestFit="1" customWidth="1"/>
    <col min="28" max="16384" width="8.85546875" style="1"/>
  </cols>
  <sheetData>
    <row r="1" spans="3:27" s="9" customFormat="1" ht="21.6" customHeight="1" x14ac:dyDescent="0.3">
      <c r="C1" s="10" t="s">
        <v>76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3" spans="3:27" x14ac:dyDescent="0.2">
      <c r="K3" s="29">
        <f>+SUM(AP_To_Analyze[[#All],[Total Deb./Cred.]])</f>
        <v>0</v>
      </c>
      <c r="T3" s="29">
        <f>+SUM(AP_To_Analyze[[#All],[   Debit amount]])</f>
        <v>0</v>
      </c>
      <c r="U3" s="29">
        <f>+SUM(AP_To_Analyze[[#All],[  Credit amount]])</f>
        <v>0</v>
      </c>
      <c r="V3" s="29"/>
      <c r="W3" s="29"/>
      <c r="X3" s="29"/>
      <c r="Y3" s="29"/>
    </row>
    <row r="4" spans="3:27" ht="12.75" thickBot="1" x14ac:dyDescent="0.25"/>
    <row r="5" spans="3:27" ht="24.75" thickBot="1" x14ac:dyDescent="0.25">
      <c r="C5" s="40" t="s">
        <v>3</v>
      </c>
      <c r="D5" s="40" t="s">
        <v>4</v>
      </c>
      <c r="E5" s="40" t="s">
        <v>5</v>
      </c>
      <c r="F5" s="40" t="s">
        <v>6</v>
      </c>
      <c r="G5" s="40" t="s">
        <v>8</v>
      </c>
      <c r="H5" s="40" t="s">
        <v>10</v>
      </c>
      <c r="I5" s="40" t="s">
        <v>13</v>
      </c>
      <c r="J5" s="40" t="s">
        <v>14</v>
      </c>
      <c r="K5" s="40" t="s">
        <v>17</v>
      </c>
      <c r="L5" s="41" t="s">
        <v>22</v>
      </c>
      <c r="M5" s="41" t="s">
        <v>23</v>
      </c>
      <c r="N5" s="41" t="s">
        <v>61</v>
      </c>
      <c r="O5" s="41" t="s">
        <v>62</v>
      </c>
      <c r="P5" s="41" t="s">
        <v>30</v>
      </c>
      <c r="Q5" s="41" t="s">
        <v>33</v>
      </c>
      <c r="R5" s="41" t="s">
        <v>31</v>
      </c>
      <c r="S5" s="41" t="s">
        <v>34</v>
      </c>
      <c r="T5" s="41" t="s">
        <v>32</v>
      </c>
      <c r="U5" s="41" t="s">
        <v>35</v>
      </c>
      <c r="V5" s="41" t="s">
        <v>24</v>
      </c>
      <c r="W5" s="41" t="s">
        <v>26</v>
      </c>
      <c r="X5" s="113" t="s">
        <v>77</v>
      </c>
      <c r="Y5" s="114" t="s">
        <v>78</v>
      </c>
      <c r="Z5" s="115" t="s">
        <v>79</v>
      </c>
      <c r="AA5" s="116" t="s">
        <v>80</v>
      </c>
    </row>
    <row r="6" spans="3:27" ht="15" x14ac:dyDescent="0.25">
      <c r="C6" s="4"/>
      <c r="D6" s="4"/>
      <c r="E6" s="4"/>
      <c r="F6" s="4"/>
      <c r="G6" s="4"/>
      <c r="H6" s="4"/>
      <c r="I6" s="4"/>
      <c r="K6" s="8"/>
      <c r="L6" s="4"/>
      <c r="N6"/>
      <c r="O6"/>
      <c r="V6" s="8"/>
      <c r="W6" s="8"/>
    </row>
  </sheetData>
  <phoneticPr fontId="17" type="noConversion"/>
  <conditionalFormatting sqref="X5:X6">
    <cfRule type="containsText" dxfId="25" priority="1" operator="containsText" text="WRONG">
      <formula>NOT(ISERROR(SEARCH("WRONG",X5)))</formula>
    </cfRule>
    <cfRule type="containsText" dxfId="24" priority="2" operator="containsText" text="CORRECT">
      <formula>NOT(ISERROR(SEARCH("CORRECT",X5)))</formula>
    </cfRule>
  </conditionalFormatting>
  <dataValidations count="1">
    <dataValidation type="list" allowBlank="1" showInputMessage="1" showErrorMessage="1" sqref="X5:X6" xr:uid="{0DC51411-5323-4F55-9F07-EF7B5AD9D749}">
      <formula1>"CORRECT,WRONG"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B4009-18FF-494C-A06D-1F7DC02D9460}">
  <sheetPr>
    <tabColor rgb="FFFFFFCC"/>
  </sheetPr>
  <dimension ref="B1:T7"/>
  <sheetViews>
    <sheetView showGridLines="0" workbookViewId="0">
      <pane ySplit="5" topLeftCell="A6" activePane="bottomLeft" state="frozen"/>
      <selection pane="bottomLeft" activeCell="I6" sqref="I6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13.710937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59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+COUNTA(Sample_AR[[#All],[Type + TCode + Co + Doc N]])-1</f>
        <v>2</v>
      </c>
      <c r="L3" s="29">
        <f>+SUM(Sample_AR[[#All],[Total Deb./Cred.]])</f>
        <v>4120861.7800000003</v>
      </c>
    </row>
    <row r="4" spans="2:20" ht="6" customHeight="1" x14ac:dyDescent="0.2"/>
    <row r="5" spans="2:20" ht="12.75" thickBot="1" x14ac:dyDescent="0.25">
      <c r="B5" s="13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10</v>
      </c>
      <c r="J5" s="12" t="s">
        <v>13</v>
      </c>
      <c r="K5" s="12" t="s">
        <v>14</v>
      </c>
      <c r="L5" s="12" t="s">
        <v>17</v>
      </c>
      <c r="M5" s="18" t="s">
        <v>43</v>
      </c>
    </row>
    <row r="6" spans="2:20" x14ac:dyDescent="0.2">
      <c r="B6" s="4" t="s">
        <v>168</v>
      </c>
      <c r="C6" s="4" t="s">
        <v>81</v>
      </c>
      <c r="D6" s="4" t="s">
        <v>98</v>
      </c>
      <c r="E6" s="4" t="s">
        <v>99</v>
      </c>
      <c r="F6" s="4" t="s">
        <v>84</v>
      </c>
      <c r="G6" s="1" t="s">
        <v>85</v>
      </c>
      <c r="H6" s="4" t="s">
        <v>64</v>
      </c>
      <c r="I6" s="4">
        <v>2500005447</v>
      </c>
      <c r="J6" s="4">
        <v>45596</v>
      </c>
      <c r="L6" s="8">
        <v>2299054.73</v>
      </c>
      <c r="M6" s="4" t="s">
        <v>41</v>
      </c>
    </row>
    <row r="7" spans="2:20" x14ac:dyDescent="0.2">
      <c r="B7" s="4" t="s">
        <v>190</v>
      </c>
      <c r="C7" s="4" t="s">
        <v>147</v>
      </c>
      <c r="D7" s="4" t="s">
        <v>98</v>
      </c>
      <c r="E7" s="4" t="s">
        <v>99</v>
      </c>
      <c r="F7" s="4" t="s">
        <v>84</v>
      </c>
      <c r="G7" s="1" t="s">
        <v>85</v>
      </c>
      <c r="H7" s="4" t="s">
        <v>64</v>
      </c>
      <c r="I7" s="4">
        <v>2500001219</v>
      </c>
      <c r="J7" s="4">
        <v>45596</v>
      </c>
      <c r="L7" s="8">
        <v>1821807.05</v>
      </c>
      <c r="M7" s="4" t="s">
        <v>41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3D96-D99C-40FF-A59C-6C757F93EFC5}">
  <sheetPr>
    <tabColor rgb="FFFFFFCC"/>
  </sheetPr>
  <dimension ref="B1:T6"/>
  <sheetViews>
    <sheetView showGridLines="0" workbookViewId="0">
      <pane ySplit="5" topLeftCell="A6" activePane="bottomLeft" state="frozen"/>
      <selection pane="bottomLeft" activeCell="B12" sqref="B12"/>
    </sheetView>
  </sheetViews>
  <sheetFormatPr defaultColWidth="8.85546875" defaultRowHeight="12" x14ac:dyDescent="0.2"/>
  <cols>
    <col min="1" max="1" width="2.710937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9.140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6384" width="8.85546875" style="1"/>
  </cols>
  <sheetData>
    <row r="1" spans="2:20" s="9" customFormat="1" ht="21.6" customHeight="1" x14ac:dyDescent="0.3">
      <c r="B1" s="10" t="s">
        <v>58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3" spans="2:20" x14ac:dyDescent="0.2">
      <c r="B3" s="35">
        <f>+COUNTA(Sample_AP[[#All],[Type + TCode + Co + Doc N]])-1</f>
        <v>0</v>
      </c>
      <c r="L3" s="29">
        <f>+SUM(Sample_AP[[#All],[Total Deb./Cred.]])</f>
        <v>0</v>
      </c>
    </row>
    <row r="4" spans="2:20" ht="6" customHeight="1" x14ac:dyDescent="0.2"/>
    <row r="5" spans="2:20" ht="12.75" thickBot="1" x14ac:dyDescent="0.25">
      <c r="B5" s="13" t="s">
        <v>2</v>
      </c>
      <c r="C5" s="12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2" t="s">
        <v>8</v>
      </c>
      <c r="I5" s="12" t="s">
        <v>10</v>
      </c>
      <c r="J5" s="12" t="s">
        <v>13</v>
      </c>
      <c r="K5" s="12" t="s">
        <v>14</v>
      </c>
      <c r="L5" s="12" t="s">
        <v>17</v>
      </c>
      <c r="M5" s="18" t="s">
        <v>43</v>
      </c>
    </row>
    <row r="6" spans="2:20" x14ac:dyDescent="0.2">
      <c r="B6" s="4"/>
      <c r="C6" s="4"/>
      <c r="D6" s="4"/>
      <c r="E6" s="4"/>
      <c r="F6" s="4"/>
      <c r="H6" s="4"/>
      <c r="I6" s="4"/>
      <c r="J6" s="4"/>
      <c r="L6" s="8"/>
      <c r="M6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C32A6-92F5-4BEA-B9A5-20C1722F6AD7}">
  <sheetPr>
    <tabColor rgb="FF0070C0"/>
  </sheetPr>
  <dimension ref="B1:AM64"/>
  <sheetViews>
    <sheetView showGridLines="0" tabSelected="1" topLeftCell="AE1" zoomScale="90" zoomScaleNormal="90" workbookViewId="0">
      <pane ySplit="4" topLeftCell="A5" activePane="bottomLeft" state="frozen"/>
      <selection pane="bottomLeft" activeCell="S14" sqref="S14"/>
    </sheetView>
  </sheetViews>
  <sheetFormatPr defaultColWidth="8.85546875" defaultRowHeight="12" x14ac:dyDescent="0.2"/>
  <cols>
    <col min="1" max="1" width="2.42578125" style="1" customWidth="1"/>
    <col min="2" max="2" width="14.5703125" style="1" customWidth="1"/>
    <col min="3" max="3" width="17.28515625" style="1" customWidth="1"/>
    <col min="4" max="4" width="26.28515625" style="1" bestFit="1" customWidth="1"/>
    <col min="5" max="5" width="8.28515625" style="1" bestFit="1" customWidth="1"/>
    <col min="6" max="6" width="11.7109375" style="1" bestFit="1" customWidth="1"/>
    <col min="7" max="7" width="12.85546875" style="1" bestFit="1" customWidth="1"/>
    <col min="8" max="8" width="9" style="1" bestFit="1" customWidth="1"/>
    <col min="9" max="9" width="15" style="1" bestFit="1" customWidth="1"/>
    <col min="10" max="10" width="7.7109375" style="1" bestFit="1" customWidth="1"/>
    <col min="11" max="11" width="18.28515625" style="1" bestFit="1" customWidth="1"/>
    <col min="12" max="12" width="14.28515625" style="1" bestFit="1" customWidth="1"/>
    <col min="13" max="13" width="11.28515625" style="1" bestFit="1" customWidth="1"/>
    <col min="14" max="14" width="12.140625" style="1" bestFit="1" customWidth="1"/>
    <col min="15" max="15" width="12.42578125" style="1" bestFit="1" customWidth="1"/>
    <col min="16" max="16" width="21.28515625" style="1" bestFit="1" customWidth="1"/>
    <col min="17" max="17" width="12.28515625" style="1" bestFit="1" customWidth="1"/>
    <col min="18" max="18" width="13.5703125" style="1" bestFit="1" customWidth="1"/>
    <col min="19" max="19" width="17.140625" style="1" bestFit="1" customWidth="1"/>
    <col min="20" max="20" width="17.140625" style="1" customWidth="1"/>
    <col min="21" max="21" width="21.28515625" style="1" bestFit="1" customWidth="1"/>
    <col min="22" max="22" width="6.28515625" style="1" bestFit="1" customWidth="1"/>
    <col min="23" max="23" width="5.7109375" style="1" bestFit="1" customWidth="1"/>
    <col min="24" max="24" width="7.28515625" style="1" bestFit="1" customWidth="1"/>
    <col min="25" max="25" width="13.7109375" style="1" bestFit="1" customWidth="1"/>
    <col min="26" max="26" width="19.7109375" style="1" bestFit="1" customWidth="1"/>
    <col min="27" max="27" width="16.28515625" style="1" bestFit="1" customWidth="1"/>
    <col min="28" max="28" width="19.7109375" style="1" bestFit="1" customWidth="1"/>
    <col min="29" max="29" width="16.7109375" style="1" bestFit="1" customWidth="1"/>
    <col min="30" max="30" width="20.7109375" style="1" bestFit="1" customWidth="1"/>
    <col min="31" max="31" width="40.7109375" style="1" bestFit="1" customWidth="1"/>
    <col min="32" max="32" width="11.28515625" style="1" bestFit="1" customWidth="1"/>
    <col min="33" max="33" width="10.7109375" style="1" bestFit="1" customWidth="1"/>
    <col min="34" max="35" width="11.28515625" style="1" bestFit="1" customWidth="1"/>
    <col min="36" max="36" width="21.7109375" style="1" bestFit="1" customWidth="1"/>
    <col min="37" max="37" width="22" style="1" bestFit="1" customWidth="1"/>
    <col min="38" max="38" width="15.28515625" style="1" bestFit="1" customWidth="1"/>
    <col min="39" max="39" width="12.28515625" style="1" bestFit="1" customWidth="1"/>
    <col min="40" max="40" width="11" style="1" bestFit="1" customWidth="1"/>
    <col min="41" max="16384" width="8.85546875" style="1"/>
  </cols>
  <sheetData>
    <row r="1" spans="2:39" s="2" customFormat="1" ht="20.25" x14ac:dyDescent="0.3">
      <c r="B1" s="119" t="s">
        <v>73</v>
      </c>
      <c r="C1" s="119"/>
      <c r="D1" s="119"/>
      <c r="E1" s="119"/>
      <c r="F1" s="119"/>
      <c r="G1" s="119"/>
      <c r="H1" s="119"/>
    </row>
    <row r="2" spans="2:39" ht="16.899999999999999" customHeight="1" x14ac:dyDescent="0.25">
      <c r="F2" s="120" t="s">
        <v>74</v>
      </c>
      <c r="G2" s="120"/>
      <c r="H2" s="120"/>
      <c r="I2" s="120"/>
      <c r="J2" s="120"/>
      <c r="T2"/>
    </row>
    <row r="3" spans="2:39" ht="15.75" thickBot="1" x14ac:dyDescent="0.3">
      <c r="T3"/>
    </row>
    <row r="4" spans="2:39" ht="12.75" thickBot="1" x14ac:dyDescent="0.25">
      <c r="B4" s="21" t="s">
        <v>0</v>
      </c>
      <c r="C4" s="22" t="s">
        <v>1</v>
      </c>
      <c r="D4" s="23" t="s">
        <v>2</v>
      </c>
      <c r="E4" s="26" t="s">
        <v>3</v>
      </c>
      <c r="F4" s="27" t="s">
        <v>4</v>
      </c>
      <c r="G4" s="27" t="s">
        <v>5</v>
      </c>
      <c r="H4" s="27" t="s">
        <v>6</v>
      </c>
      <c r="I4" s="27" t="s">
        <v>7</v>
      </c>
      <c r="J4" s="27" t="s">
        <v>8</v>
      </c>
      <c r="K4" s="27" t="s">
        <v>9</v>
      </c>
      <c r="L4" s="27" t="s">
        <v>10</v>
      </c>
      <c r="M4" s="27" t="s">
        <v>11</v>
      </c>
      <c r="N4" s="27" t="s">
        <v>12</v>
      </c>
      <c r="O4" s="27" t="s">
        <v>13</v>
      </c>
      <c r="P4" s="27" t="s">
        <v>14</v>
      </c>
      <c r="Q4" s="27" t="s">
        <v>15</v>
      </c>
      <c r="R4" s="27" t="s">
        <v>16</v>
      </c>
      <c r="S4" s="27" t="s">
        <v>17</v>
      </c>
      <c r="T4" s="27" t="s">
        <v>18</v>
      </c>
      <c r="U4" s="27" t="s">
        <v>19</v>
      </c>
      <c r="V4" s="27" t="s">
        <v>20</v>
      </c>
      <c r="W4" s="27" t="s">
        <v>21</v>
      </c>
      <c r="X4" s="27" t="s">
        <v>22</v>
      </c>
      <c r="Y4" s="27" t="s">
        <v>23</v>
      </c>
      <c r="Z4" s="27" t="s">
        <v>24</v>
      </c>
      <c r="AA4" s="27" t="s">
        <v>25</v>
      </c>
      <c r="AB4" s="27" t="s">
        <v>26</v>
      </c>
      <c r="AC4" s="27" t="s">
        <v>27</v>
      </c>
      <c r="AD4" s="27" t="s">
        <v>28</v>
      </c>
      <c r="AE4" s="27" t="s">
        <v>29</v>
      </c>
      <c r="AF4" s="27" t="s">
        <v>30</v>
      </c>
      <c r="AG4" s="27" t="s">
        <v>31</v>
      </c>
      <c r="AH4" s="27" t="s">
        <v>32</v>
      </c>
      <c r="AI4" s="27" t="s">
        <v>33</v>
      </c>
      <c r="AJ4" s="27" t="s">
        <v>34</v>
      </c>
      <c r="AK4" s="28" t="s">
        <v>35</v>
      </c>
      <c r="AL4" s="28" t="s">
        <v>61</v>
      </c>
      <c r="AM4" s="28" t="s">
        <v>62</v>
      </c>
    </row>
    <row r="5" spans="2:39" x14ac:dyDescent="0.2">
      <c r="B5" s="2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" s="5" t="str">
        <f>+CONCATENATE(ZEUFI037[[#This Row],[Type]],"-",ZEUFI037[[#This Row],[G/L Account]])</f>
        <v>DF-1960101001</v>
      </c>
      <c r="D5" s="25" t="str">
        <f>+CONCATENATE(ZEUFI037[[#This Row],[Type]],"-",ZEUFI037[[#This Row],[TCode]],"-",ZEUFI037[[#This Row],[CoCd]],"-",ZEUFI037[[#This Row],[DocumentNo]])</f>
        <v>DF-FB1D-CY01-2500004886</v>
      </c>
      <c r="E5" s="11" t="s">
        <v>81</v>
      </c>
      <c r="F5" s="6" t="s">
        <v>82</v>
      </c>
      <c r="G5" s="6" t="s">
        <v>83</v>
      </c>
      <c r="H5" s="6" t="s">
        <v>84</v>
      </c>
      <c r="I5" s="6" t="s">
        <v>85</v>
      </c>
      <c r="J5" s="6" t="s">
        <v>64</v>
      </c>
      <c r="K5" s="6" t="s">
        <v>86</v>
      </c>
      <c r="L5" s="6">
        <v>2500004886</v>
      </c>
      <c r="M5" s="132">
        <v>45572</v>
      </c>
      <c r="N5" s="132">
        <v>45572</v>
      </c>
      <c r="O5" s="132">
        <v>45572</v>
      </c>
      <c r="P5" s="6"/>
      <c r="Q5" s="6"/>
      <c r="R5" s="6"/>
      <c r="S5" s="6">
        <v>1129.5</v>
      </c>
      <c r="T5" s="6">
        <v>0</v>
      </c>
      <c r="U5" s="6">
        <v>2</v>
      </c>
      <c r="V5" s="6">
        <v>9</v>
      </c>
      <c r="W5" s="6">
        <v>0</v>
      </c>
      <c r="X5" s="6">
        <v>1960101001</v>
      </c>
      <c r="Y5" s="6" t="s">
        <v>87</v>
      </c>
      <c r="Z5" s="6">
        <v>1129.5</v>
      </c>
      <c r="AA5" s="6">
        <v>0</v>
      </c>
      <c r="AB5" s="6">
        <v>0</v>
      </c>
      <c r="AC5" s="6">
        <v>0</v>
      </c>
      <c r="AD5" s="6"/>
      <c r="AE5" s="6"/>
      <c r="AF5" s="6"/>
      <c r="AG5" s="6"/>
      <c r="AH5" s="6"/>
      <c r="AI5" s="6"/>
      <c r="AJ5" s="6"/>
      <c r="AK5" s="7"/>
      <c r="AL5" s="6">
        <v>21456030</v>
      </c>
      <c r="AM5" s="6" t="s">
        <v>88</v>
      </c>
    </row>
    <row r="6" spans="2:39" x14ac:dyDescent="0.2">
      <c r="B6" s="133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6" s="135" t="str">
        <f>+CONCATENATE(ZEUFI037[[#This Row],[Type]],"-",ZEUFI037[[#This Row],[G/L Account]])</f>
        <v>DF-1350101001</v>
      </c>
      <c r="D6" s="136" t="str">
        <f>+CONCATENATE(ZEUFI037[[#This Row],[Type]],"-",ZEUFI037[[#This Row],[TCode]],"-",ZEUFI037[[#This Row],[CoCd]],"-",ZEUFI037[[#This Row],[DocumentNo]])</f>
        <v>DF-FB1D-CY01-2500004886</v>
      </c>
      <c r="E6" s="137" t="s">
        <v>81</v>
      </c>
      <c r="F6" s="137" t="s">
        <v>82</v>
      </c>
      <c r="G6" s="137" t="s">
        <v>83</v>
      </c>
      <c r="H6" s="137" t="s">
        <v>84</v>
      </c>
      <c r="I6" s="137" t="s">
        <v>85</v>
      </c>
      <c r="J6" s="137" t="s">
        <v>64</v>
      </c>
      <c r="K6" s="137" t="s">
        <v>86</v>
      </c>
      <c r="L6" s="137">
        <v>2500004886</v>
      </c>
      <c r="M6" s="138">
        <v>45572</v>
      </c>
      <c r="N6" s="138">
        <v>45572</v>
      </c>
      <c r="O6" s="138">
        <v>45572</v>
      </c>
      <c r="P6" s="137"/>
      <c r="Q6" s="137"/>
      <c r="R6" s="137"/>
      <c r="S6" s="137">
        <v>1129.5</v>
      </c>
      <c r="T6" s="6">
        <v>0</v>
      </c>
      <c r="U6" s="137">
        <v>1</v>
      </c>
      <c r="V6" s="137">
        <v>17</v>
      </c>
      <c r="W6" s="137">
        <v>1</v>
      </c>
      <c r="X6" s="137">
        <v>1350101001</v>
      </c>
      <c r="Y6" s="137" t="s">
        <v>89</v>
      </c>
      <c r="Z6" s="137">
        <v>0</v>
      </c>
      <c r="AA6" s="137">
        <v>0</v>
      </c>
      <c r="AB6" s="137">
        <v>1129.5</v>
      </c>
      <c r="AC6" s="137">
        <v>0</v>
      </c>
      <c r="AD6" s="137"/>
      <c r="AE6" s="137"/>
      <c r="AF6" s="137"/>
      <c r="AG6" s="137"/>
      <c r="AH6" s="137"/>
      <c r="AI6" s="137"/>
      <c r="AJ6" s="137"/>
      <c r="AK6" s="139"/>
      <c r="AL6" s="137">
        <v>21456030</v>
      </c>
      <c r="AM6" s="137" t="s">
        <v>88</v>
      </c>
    </row>
    <row r="7" spans="2:39" x14ac:dyDescent="0.2">
      <c r="B7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7" s="135" t="str">
        <f>+CONCATENATE(ZEUFI037[[#This Row],[Type]],"-",ZEUFI037[[#This Row],[G/L Account]])</f>
        <v>DF-1350101001</v>
      </c>
      <c r="D7" s="136" t="str">
        <f>+CONCATENATE(ZEUFI037[[#This Row],[Type]],"-",ZEUFI037[[#This Row],[TCode]],"-",ZEUFI037[[#This Row],[CoCd]],"-",ZEUFI037[[#This Row],[DocumentNo]])</f>
        <v>DF-FB1D-CY01-2500004899</v>
      </c>
      <c r="E7" s="6" t="s">
        <v>81</v>
      </c>
      <c r="F7" s="6" t="s">
        <v>82</v>
      </c>
      <c r="G7" s="6" t="s">
        <v>83</v>
      </c>
      <c r="H7" s="6" t="s">
        <v>84</v>
      </c>
      <c r="I7" s="6" t="s">
        <v>85</v>
      </c>
      <c r="J7" s="6" t="s">
        <v>64</v>
      </c>
      <c r="K7" s="6" t="s">
        <v>86</v>
      </c>
      <c r="L7" s="6">
        <v>2500004899</v>
      </c>
      <c r="M7" s="132">
        <v>45572</v>
      </c>
      <c r="N7" s="132">
        <v>45572</v>
      </c>
      <c r="O7" s="132">
        <v>45572</v>
      </c>
      <c r="P7" s="6"/>
      <c r="Q7" s="6"/>
      <c r="R7" s="6"/>
      <c r="S7" s="6">
        <v>1750</v>
      </c>
      <c r="T7" s="6">
        <v>0</v>
      </c>
      <c r="U7" s="6">
        <v>1</v>
      </c>
      <c r="V7" s="6">
        <v>17</v>
      </c>
      <c r="W7" s="6">
        <v>1</v>
      </c>
      <c r="X7" s="6">
        <v>1350101001</v>
      </c>
      <c r="Y7" s="6" t="s">
        <v>89</v>
      </c>
      <c r="Z7" s="6">
        <v>0</v>
      </c>
      <c r="AA7" s="6">
        <v>0</v>
      </c>
      <c r="AB7" s="6">
        <v>1750</v>
      </c>
      <c r="AC7" s="6">
        <v>0</v>
      </c>
      <c r="AD7" s="6"/>
      <c r="AE7" s="6"/>
      <c r="AF7" s="6"/>
      <c r="AG7" s="6"/>
      <c r="AH7" s="6"/>
      <c r="AI7" s="6"/>
      <c r="AJ7" s="6"/>
      <c r="AK7" s="7"/>
      <c r="AL7" s="6">
        <v>21455651</v>
      </c>
      <c r="AM7" s="6" t="s">
        <v>90</v>
      </c>
    </row>
    <row r="8" spans="2:39" x14ac:dyDescent="0.2">
      <c r="B8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8" s="135" t="str">
        <f>+CONCATENATE(ZEUFI037[[#This Row],[Type]],"-",ZEUFI037[[#This Row],[G/L Account]])</f>
        <v>DF-1960101001</v>
      </c>
      <c r="D8" s="136" t="str">
        <f>+CONCATENATE(ZEUFI037[[#This Row],[Type]],"-",ZEUFI037[[#This Row],[TCode]],"-",ZEUFI037[[#This Row],[CoCd]],"-",ZEUFI037[[#This Row],[DocumentNo]])</f>
        <v>DF-FB1D-CY01-2500004899</v>
      </c>
      <c r="E8" s="6" t="s">
        <v>81</v>
      </c>
      <c r="F8" s="6" t="s">
        <v>82</v>
      </c>
      <c r="G8" s="6" t="s">
        <v>83</v>
      </c>
      <c r="H8" s="6" t="s">
        <v>84</v>
      </c>
      <c r="I8" s="6" t="s">
        <v>85</v>
      </c>
      <c r="J8" s="6" t="s">
        <v>64</v>
      </c>
      <c r="K8" s="6" t="s">
        <v>86</v>
      </c>
      <c r="L8" s="6">
        <v>2500004899</v>
      </c>
      <c r="M8" s="132">
        <v>45572</v>
      </c>
      <c r="N8" s="132">
        <v>45572</v>
      </c>
      <c r="O8" s="132">
        <v>45572</v>
      </c>
      <c r="P8" s="6"/>
      <c r="Q8" s="6"/>
      <c r="R8" s="6"/>
      <c r="S8" s="6">
        <v>1750</v>
      </c>
      <c r="T8" s="6">
        <v>0</v>
      </c>
      <c r="U8" s="6">
        <v>2</v>
      </c>
      <c r="V8" s="6">
        <v>9</v>
      </c>
      <c r="W8" s="6">
        <v>0</v>
      </c>
      <c r="X8" s="6">
        <v>1960101001</v>
      </c>
      <c r="Y8" s="6" t="s">
        <v>87</v>
      </c>
      <c r="Z8" s="6">
        <v>1750</v>
      </c>
      <c r="AA8" s="6">
        <v>0</v>
      </c>
      <c r="AB8" s="6">
        <v>0</v>
      </c>
      <c r="AC8" s="6">
        <v>0</v>
      </c>
      <c r="AD8" s="6"/>
      <c r="AE8" s="6"/>
      <c r="AF8" s="6"/>
      <c r="AG8" s="6"/>
      <c r="AH8" s="6"/>
      <c r="AI8" s="6"/>
      <c r="AJ8" s="6"/>
      <c r="AK8" s="7"/>
      <c r="AL8" s="6">
        <v>21455651</v>
      </c>
      <c r="AM8" s="6" t="s">
        <v>90</v>
      </c>
    </row>
    <row r="9" spans="2:39" x14ac:dyDescent="0.2">
      <c r="B9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9" s="135" t="str">
        <f>+CONCATENATE(ZEUFI037[[#This Row],[Type]],"-",ZEUFI037[[#This Row],[G/L Account]])</f>
        <v>DF-1960101001</v>
      </c>
      <c r="D9" s="136" t="str">
        <f>+CONCATENATE(ZEUFI037[[#This Row],[Type]],"-",ZEUFI037[[#This Row],[TCode]],"-",ZEUFI037[[#This Row],[CoCd]],"-",ZEUFI037[[#This Row],[DocumentNo]])</f>
        <v>DF-FB1D-CY01-2500004913</v>
      </c>
      <c r="E9" s="6" t="s">
        <v>81</v>
      </c>
      <c r="F9" s="6" t="s">
        <v>82</v>
      </c>
      <c r="G9" s="6" t="s">
        <v>83</v>
      </c>
      <c r="H9" s="6" t="s">
        <v>84</v>
      </c>
      <c r="I9" s="6" t="s">
        <v>85</v>
      </c>
      <c r="J9" s="6" t="s">
        <v>64</v>
      </c>
      <c r="K9" s="6" t="s">
        <v>86</v>
      </c>
      <c r="L9" s="6">
        <v>2500004913</v>
      </c>
      <c r="M9" s="132">
        <v>45572</v>
      </c>
      <c r="N9" s="132">
        <v>45572</v>
      </c>
      <c r="O9" s="132">
        <v>45572</v>
      </c>
      <c r="P9" s="6"/>
      <c r="Q9" s="6"/>
      <c r="R9" s="6"/>
      <c r="S9" s="6">
        <v>1129.5</v>
      </c>
      <c r="T9" s="6">
        <v>0</v>
      </c>
      <c r="U9" s="6">
        <v>2</v>
      </c>
      <c r="V9" s="6">
        <v>9</v>
      </c>
      <c r="W9" s="6">
        <v>0</v>
      </c>
      <c r="X9" s="6">
        <v>1960101001</v>
      </c>
      <c r="Y9" s="6" t="s">
        <v>87</v>
      </c>
      <c r="Z9" s="6">
        <v>1129.5</v>
      </c>
      <c r="AA9" s="6">
        <v>0</v>
      </c>
      <c r="AB9" s="6">
        <v>0</v>
      </c>
      <c r="AC9" s="6">
        <v>0</v>
      </c>
      <c r="AD9" s="6"/>
      <c r="AE9" s="6"/>
      <c r="AF9" s="6"/>
      <c r="AG9" s="6"/>
      <c r="AH9" s="6"/>
      <c r="AI9" s="6"/>
      <c r="AJ9" s="6"/>
      <c r="AK9" s="7"/>
      <c r="AL9" s="6">
        <v>21455922</v>
      </c>
      <c r="AM9" s="6" t="s">
        <v>91</v>
      </c>
    </row>
    <row r="10" spans="2:39" x14ac:dyDescent="0.2">
      <c r="B10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0" s="135" t="str">
        <f>+CONCATENATE(ZEUFI037[[#This Row],[Type]],"-",ZEUFI037[[#This Row],[G/L Account]])</f>
        <v>DF-1350101001</v>
      </c>
      <c r="D10" s="136" t="str">
        <f>+CONCATENATE(ZEUFI037[[#This Row],[Type]],"-",ZEUFI037[[#This Row],[TCode]],"-",ZEUFI037[[#This Row],[CoCd]],"-",ZEUFI037[[#This Row],[DocumentNo]])</f>
        <v>DF-FB1D-CY01-2500004913</v>
      </c>
      <c r="E10" s="6" t="s">
        <v>81</v>
      </c>
      <c r="F10" s="6" t="s">
        <v>82</v>
      </c>
      <c r="G10" s="6" t="s">
        <v>83</v>
      </c>
      <c r="H10" s="6" t="s">
        <v>84</v>
      </c>
      <c r="I10" s="6" t="s">
        <v>85</v>
      </c>
      <c r="J10" s="6" t="s">
        <v>64</v>
      </c>
      <c r="K10" s="6" t="s">
        <v>86</v>
      </c>
      <c r="L10" s="6">
        <v>2500004913</v>
      </c>
      <c r="M10" s="132">
        <v>45572</v>
      </c>
      <c r="N10" s="132">
        <v>45572</v>
      </c>
      <c r="O10" s="132">
        <v>45572</v>
      </c>
      <c r="P10" s="6"/>
      <c r="Q10" s="6"/>
      <c r="R10" s="6"/>
      <c r="S10" s="6">
        <v>1129.5</v>
      </c>
      <c r="T10" s="6">
        <v>0</v>
      </c>
      <c r="U10" s="6">
        <v>1</v>
      </c>
      <c r="V10" s="6">
        <v>17</v>
      </c>
      <c r="W10" s="6">
        <v>1</v>
      </c>
      <c r="X10" s="6">
        <v>1350101001</v>
      </c>
      <c r="Y10" s="6" t="s">
        <v>89</v>
      </c>
      <c r="Z10" s="6">
        <v>0</v>
      </c>
      <c r="AA10" s="6">
        <v>0</v>
      </c>
      <c r="AB10" s="6">
        <v>1129.5</v>
      </c>
      <c r="AC10" s="6">
        <v>0</v>
      </c>
      <c r="AD10" s="6"/>
      <c r="AE10" s="6"/>
      <c r="AF10" s="6"/>
      <c r="AG10" s="6"/>
      <c r="AH10" s="6"/>
      <c r="AI10" s="6"/>
      <c r="AJ10" s="6"/>
      <c r="AK10" s="7"/>
      <c r="AL10" s="6">
        <v>21455922</v>
      </c>
      <c r="AM10" s="6" t="s">
        <v>91</v>
      </c>
    </row>
    <row r="11" spans="2:39" x14ac:dyDescent="0.2">
      <c r="B11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1" s="135" t="str">
        <f>+CONCATENATE(ZEUFI037[[#This Row],[Type]],"-",ZEUFI037[[#This Row],[G/L Account]])</f>
        <v>DF-1350101001</v>
      </c>
      <c r="D11" s="136" t="str">
        <f>+CONCATENATE(ZEUFI037[[#This Row],[Type]],"-",ZEUFI037[[#This Row],[TCode]],"-",ZEUFI037[[#This Row],[CoCd]],"-",ZEUFI037[[#This Row],[DocumentNo]])</f>
        <v>DF-FB1D-CY01-2500004942</v>
      </c>
      <c r="E11" s="6" t="s">
        <v>81</v>
      </c>
      <c r="F11" s="6" t="s">
        <v>82</v>
      </c>
      <c r="G11" s="6" t="s">
        <v>83</v>
      </c>
      <c r="H11" s="6" t="s">
        <v>84</v>
      </c>
      <c r="I11" s="6" t="s">
        <v>85</v>
      </c>
      <c r="J11" s="6" t="s">
        <v>64</v>
      </c>
      <c r="K11" s="6" t="s">
        <v>86</v>
      </c>
      <c r="L11" s="6">
        <v>2500004942</v>
      </c>
      <c r="M11" s="132">
        <v>45572</v>
      </c>
      <c r="N11" s="132">
        <v>45572</v>
      </c>
      <c r="O11" s="132">
        <v>45572</v>
      </c>
      <c r="P11" s="6"/>
      <c r="Q11" s="6"/>
      <c r="R11" s="6"/>
      <c r="S11" s="6">
        <v>1129.5</v>
      </c>
      <c r="T11" s="6">
        <v>0</v>
      </c>
      <c r="U11" s="6">
        <v>1</v>
      </c>
      <c r="V11" s="6">
        <v>17</v>
      </c>
      <c r="W11" s="6">
        <v>1</v>
      </c>
      <c r="X11" s="6">
        <v>1350101001</v>
      </c>
      <c r="Y11" s="6" t="s">
        <v>89</v>
      </c>
      <c r="Z11" s="6">
        <v>0</v>
      </c>
      <c r="AA11" s="6">
        <v>0</v>
      </c>
      <c r="AB11" s="6">
        <v>1129.5</v>
      </c>
      <c r="AC11" s="6">
        <v>0</v>
      </c>
      <c r="AD11" s="6"/>
      <c r="AE11" s="6"/>
      <c r="AF11" s="6"/>
      <c r="AG11" s="6"/>
      <c r="AH11" s="6"/>
      <c r="AI11" s="6"/>
      <c r="AJ11" s="6"/>
      <c r="AK11" s="7"/>
      <c r="AL11" s="6">
        <v>21455835</v>
      </c>
      <c r="AM11" s="6" t="s">
        <v>92</v>
      </c>
    </row>
    <row r="12" spans="2:39" x14ac:dyDescent="0.2">
      <c r="B12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2" s="135" t="str">
        <f>+CONCATENATE(ZEUFI037[[#This Row],[Type]],"-",ZEUFI037[[#This Row],[G/L Account]])</f>
        <v>DF-1960101001</v>
      </c>
      <c r="D12" s="136" t="str">
        <f>+CONCATENATE(ZEUFI037[[#This Row],[Type]],"-",ZEUFI037[[#This Row],[TCode]],"-",ZEUFI037[[#This Row],[CoCd]],"-",ZEUFI037[[#This Row],[DocumentNo]])</f>
        <v>DF-FB1D-CY01-2500004942</v>
      </c>
      <c r="E12" s="6" t="s">
        <v>81</v>
      </c>
      <c r="F12" s="6" t="s">
        <v>82</v>
      </c>
      <c r="G12" s="6" t="s">
        <v>83</v>
      </c>
      <c r="H12" s="6" t="s">
        <v>84</v>
      </c>
      <c r="I12" s="6" t="s">
        <v>85</v>
      </c>
      <c r="J12" s="6" t="s">
        <v>64</v>
      </c>
      <c r="K12" s="6" t="s">
        <v>86</v>
      </c>
      <c r="L12" s="6">
        <v>2500004942</v>
      </c>
      <c r="M12" s="132">
        <v>45572</v>
      </c>
      <c r="N12" s="132">
        <v>45572</v>
      </c>
      <c r="O12" s="132">
        <v>45572</v>
      </c>
      <c r="P12" s="6"/>
      <c r="Q12" s="6"/>
      <c r="R12" s="6"/>
      <c r="S12" s="6">
        <v>1129.5</v>
      </c>
      <c r="T12" s="6">
        <v>0</v>
      </c>
      <c r="U12" s="6">
        <v>2</v>
      </c>
      <c r="V12" s="6">
        <v>9</v>
      </c>
      <c r="W12" s="6">
        <v>0</v>
      </c>
      <c r="X12" s="6">
        <v>1960101001</v>
      </c>
      <c r="Y12" s="6" t="s">
        <v>87</v>
      </c>
      <c r="Z12" s="6">
        <v>1129.5</v>
      </c>
      <c r="AA12" s="6">
        <v>0</v>
      </c>
      <c r="AB12" s="6">
        <v>0</v>
      </c>
      <c r="AC12" s="6">
        <v>0</v>
      </c>
      <c r="AD12" s="6"/>
      <c r="AE12" s="6"/>
      <c r="AF12" s="6"/>
      <c r="AG12" s="6"/>
      <c r="AH12" s="6"/>
      <c r="AI12" s="6"/>
      <c r="AJ12" s="6"/>
      <c r="AK12" s="7"/>
      <c r="AL12" s="6">
        <v>21455835</v>
      </c>
      <c r="AM12" s="6" t="s">
        <v>92</v>
      </c>
    </row>
    <row r="13" spans="2:39" x14ac:dyDescent="0.2">
      <c r="B13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3" s="135" t="str">
        <f>+CONCATENATE(ZEUFI037[[#This Row],[Type]],"-",ZEUFI037[[#This Row],[G/L Account]])</f>
        <v>DF-1350101001</v>
      </c>
      <c r="D13" s="136" t="str">
        <f>+CONCATENATE(ZEUFI037[[#This Row],[Type]],"-",ZEUFI037[[#This Row],[TCode]],"-",ZEUFI037[[#This Row],[CoCd]],"-",ZEUFI037[[#This Row],[DocumentNo]])</f>
        <v>DF-FB1D-CY01-2500004952</v>
      </c>
      <c r="E13" s="6" t="s">
        <v>81</v>
      </c>
      <c r="F13" s="6" t="s">
        <v>82</v>
      </c>
      <c r="G13" s="6" t="s">
        <v>83</v>
      </c>
      <c r="H13" s="6" t="s">
        <v>84</v>
      </c>
      <c r="I13" s="6" t="s">
        <v>85</v>
      </c>
      <c r="J13" s="6" t="s">
        <v>64</v>
      </c>
      <c r="K13" s="6" t="s">
        <v>86</v>
      </c>
      <c r="L13" s="6">
        <v>2500004952</v>
      </c>
      <c r="M13" s="132">
        <v>45572</v>
      </c>
      <c r="N13" s="132">
        <v>45572</v>
      </c>
      <c r="O13" s="132">
        <v>45572</v>
      </c>
      <c r="P13" s="6"/>
      <c r="Q13" s="6"/>
      <c r="R13" s="6"/>
      <c r="S13" s="6">
        <v>2351.25</v>
      </c>
      <c r="T13" s="6">
        <v>0</v>
      </c>
      <c r="U13" s="6">
        <v>1</v>
      </c>
      <c r="V13" s="6">
        <v>17</v>
      </c>
      <c r="W13" s="6">
        <v>1</v>
      </c>
      <c r="X13" s="6">
        <v>1350101001</v>
      </c>
      <c r="Y13" s="6" t="s">
        <v>89</v>
      </c>
      <c r="Z13" s="6">
        <v>0</v>
      </c>
      <c r="AA13" s="6">
        <v>0</v>
      </c>
      <c r="AB13" s="6">
        <v>2351.25</v>
      </c>
      <c r="AC13" s="6">
        <v>0</v>
      </c>
      <c r="AD13" s="6"/>
      <c r="AE13" s="6"/>
      <c r="AF13" s="6"/>
      <c r="AG13" s="6"/>
      <c r="AH13" s="6"/>
      <c r="AI13" s="6"/>
      <c r="AJ13" s="6"/>
      <c r="AK13" s="7"/>
      <c r="AL13" s="6">
        <v>21455927</v>
      </c>
      <c r="AM13" s="6" t="s">
        <v>93</v>
      </c>
    </row>
    <row r="14" spans="2:39" x14ac:dyDescent="0.2">
      <c r="B14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4" s="135" t="str">
        <f>+CONCATENATE(ZEUFI037[[#This Row],[Type]],"-",ZEUFI037[[#This Row],[G/L Account]])</f>
        <v>DF-1960101001</v>
      </c>
      <c r="D14" s="136" t="str">
        <f>+CONCATENATE(ZEUFI037[[#This Row],[Type]],"-",ZEUFI037[[#This Row],[TCode]],"-",ZEUFI037[[#This Row],[CoCd]],"-",ZEUFI037[[#This Row],[DocumentNo]])</f>
        <v>DF-FB1D-CY01-2500004952</v>
      </c>
      <c r="E14" s="6" t="s">
        <v>81</v>
      </c>
      <c r="F14" s="6" t="s">
        <v>82</v>
      </c>
      <c r="G14" s="6" t="s">
        <v>83</v>
      </c>
      <c r="H14" s="6" t="s">
        <v>84</v>
      </c>
      <c r="I14" s="6" t="s">
        <v>85</v>
      </c>
      <c r="J14" s="6" t="s">
        <v>64</v>
      </c>
      <c r="K14" s="6" t="s">
        <v>86</v>
      </c>
      <c r="L14" s="6">
        <v>2500004952</v>
      </c>
      <c r="M14" s="132">
        <v>45572</v>
      </c>
      <c r="N14" s="132">
        <v>45572</v>
      </c>
      <c r="O14" s="132">
        <v>45572</v>
      </c>
      <c r="P14" s="6"/>
      <c r="Q14" s="6"/>
      <c r="R14" s="6"/>
      <c r="S14" s="6">
        <v>2351.25</v>
      </c>
      <c r="T14" s="6">
        <v>0</v>
      </c>
      <c r="U14" s="6">
        <v>2</v>
      </c>
      <c r="V14" s="6">
        <v>9</v>
      </c>
      <c r="W14" s="6">
        <v>0</v>
      </c>
      <c r="X14" s="6">
        <v>1960101001</v>
      </c>
      <c r="Y14" s="6" t="s">
        <v>87</v>
      </c>
      <c r="Z14" s="6">
        <v>2351.25</v>
      </c>
      <c r="AA14" s="6">
        <v>0</v>
      </c>
      <c r="AB14" s="6">
        <v>0</v>
      </c>
      <c r="AC14" s="6">
        <v>0</v>
      </c>
      <c r="AD14" s="6"/>
      <c r="AE14" s="6"/>
      <c r="AF14" s="6"/>
      <c r="AG14" s="6"/>
      <c r="AH14" s="6"/>
      <c r="AI14" s="6"/>
      <c r="AJ14" s="6"/>
      <c r="AK14" s="7"/>
      <c r="AL14" s="6">
        <v>21455927</v>
      </c>
      <c r="AM14" s="6" t="s">
        <v>93</v>
      </c>
    </row>
    <row r="15" spans="2:39" x14ac:dyDescent="0.2">
      <c r="B15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5" s="135" t="str">
        <f>+CONCATENATE(ZEUFI037[[#This Row],[Type]],"-",ZEUFI037[[#This Row],[G/L Account]])</f>
        <v>DF-1350101001</v>
      </c>
      <c r="D15" s="136" t="str">
        <f>+CONCATENATE(ZEUFI037[[#This Row],[Type]],"-",ZEUFI037[[#This Row],[TCode]],"-",ZEUFI037[[#This Row],[CoCd]],"-",ZEUFI037[[#This Row],[DocumentNo]])</f>
        <v>DF-FB1D-CY01-2500005000</v>
      </c>
      <c r="E15" s="6" t="s">
        <v>81</v>
      </c>
      <c r="F15" s="6" t="s">
        <v>82</v>
      </c>
      <c r="G15" s="6" t="s">
        <v>83</v>
      </c>
      <c r="H15" s="6" t="s">
        <v>84</v>
      </c>
      <c r="I15" s="6" t="s">
        <v>85</v>
      </c>
      <c r="J15" s="6" t="s">
        <v>64</v>
      </c>
      <c r="K15" s="6" t="s">
        <v>86</v>
      </c>
      <c r="L15" s="6">
        <v>2500005000</v>
      </c>
      <c r="M15" s="132">
        <v>45572</v>
      </c>
      <c r="N15" s="132">
        <v>45572</v>
      </c>
      <c r="O15" s="132">
        <v>45572</v>
      </c>
      <c r="P15" s="6"/>
      <c r="Q15" s="6"/>
      <c r="R15" s="6"/>
      <c r="S15" s="6">
        <v>1129.5</v>
      </c>
      <c r="T15" s="6">
        <v>0</v>
      </c>
      <c r="U15" s="6">
        <v>1</v>
      </c>
      <c r="V15" s="6">
        <v>17</v>
      </c>
      <c r="W15" s="6">
        <v>1</v>
      </c>
      <c r="X15" s="6">
        <v>1350101001</v>
      </c>
      <c r="Y15" s="6" t="s">
        <v>89</v>
      </c>
      <c r="Z15" s="6">
        <v>0</v>
      </c>
      <c r="AA15" s="6">
        <v>0</v>
      </c>
      <c r="AB15" s="6">
        <v>1129.5</v>
      </c>
      <c r="AC15" s="6">
        <v>0</v>
      </c>
      <c r="AD15" s="6"/>
      <c r="AE15" s="6"/>
      <c r="AF15" s="6"/>
      <c r="AG15" s="6"/>
      <c r="AH15" s="6"/>
      <c r="AI15" s="6"/>
      <c r="AJ15" s="6"/>
      <c r="AK15" s="7"/>
      <c r="AL15" s="6">
        <v>21455702</v>
      </c>
      <c r="AM15" s="6" t="s">
        <v>94</v>
      </c>
    </row>
    <row r="16" spans="2:39" x14ac:dyDescent="0.2">
      <c r="B16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6" s="135" t="str">
        <f>+CONCATENATE(ZEUFI037[[#This Row],[Type]],"-",ZEUFI037[[#This Row],[G/L Account]])</f>
        <v>DF-1960101001</v>
      </c>
      <c r="D16" s="136" t="str">
        <f>+CONCATENATE(ZEUFI037[[#This Row],[Type]],"-",ZEUFI037[[#This Row],[TCode]],"-",ZEUFI037[[#This Row],[CoCd]],"-",ZEUFI037[[#This Row],[DocumentNo]])</f>
        <v>DF-FB1D-CY01-2500005000</v>
      </c>
      <c r="E16" s="6" t="s">
        <v>81</v>
      </c>
      <c r="F16" s="6" t="s">
        <v>82</v>
      </c>
      <c r="G16" s="6" t="s">
        <v>83</v>
      </c>
      <c r="H16" s="6" t="s">
        <v>84</v>
      </c>
      <c r="I16" s="6" t="s">
        <v>85</v>
      </c>
      <c r="J16" s="6" t="s">
        <v>64</v>
      </c>
      <c r="K16" s="6" t="s">
        <v>86</v>
      </c>
      <c r="L16" s="6">
        <v>2500005000</v>
      </c>
      <c r="M16" s="132">
        <v>45572</v>
      </c>
      <c r="N16" s="132">
        <v>45572</v>
      </c>
      <c r="O16" s="132">
        <v>45572</v>
      </c>
      <c r="P16" s="6"/>
      <c r="Q16" s="6"/>
      <c r="R16" s="6"/>
      <c r="S16" s="6">
        <v>1129.5</v>
      </c>
      <c r="T16" s="6">
        <v>0</v>
      </c>
      <c r="U16" s="6">
        <v>2</v>
      </c>
      <c r="V16" s="6">
        <v>9</v>
      </c>
      <c r="W16" s="6">
        <v>0</v>
      </c>
      <c r="X16" s="6">
        <v>1960101001</v>
      </c>
      <c r="Y16" s="6" t="s">
        <v>87</v>
      </c>
      <c r="Z16" s="6">
        <v>1129.5</v>
      </c>
      <c r="AA16" s="6">
        <v>0</v>
      </c>
      <c r="AB16" s="6">
        <v>0</v>
      </c>
      <c r="AC16" s="6">
        <v>0</v>
      </c>
      <c r="AD16" s="6"/>
      <c r="AE16" s="6"/>
      <c r="AF16" s="6"/>
      <c r="AG16" s="6"/>
      <c r="AH16" s="6"/>
      <c r="AI16" s="6"/>
      <c r="AJ16" s="6"/>
      <c r="AK16" s="7"/>
      <c r="AL16" s="6">
        <v>21455702</v>
      </c>
      <c r="AM16" s="6" t="s">
        <v>94</v>
      </c>
    </row>
    <row r="17" spans="2:39" x14ac:dyDescent="0.2">
      <c r="B17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7" s="135" t="str">
        <f>+CONCATENATE(ZEUFI037[[#This Row],[Type]],"-",ZEUFI037[[#This Row],[G/L Account]])</f>
        <v>DF-1350101001</v>
      </c>
      <c r="D17" s="136" t="str">
        <f>+CONCATENATE(ZEUFI037[[#This Row],[Type]],"-",ZEUFI037[[#This Row],[TCode]],"-",ZEUFI037[[#This Row],[CoCd]],"-",ZEUFI037[[#This Row],[DocumentNo]])</f>
        <v>DF-FB1D-CY01-2500005001</v>
      </c>
      <c r="E17" s="6" t="s">
        <v>81</v>
      </c>
      <c r="F17" s="6" t="s">
        <v>82</v>
      </c>
      <c r="G17" s="6" t="s">
        <v>83</v>
      </c>
      <c r="H17" s="6" t="s">
        <v>84</v>
      </c>
      <c r="I17" s="6" t="s">
        <v>85</v>
      </c>
      <c r="J17" s="6" t="s">
        <v>64</v>
      </c>
      <c r="K17" s="6" t="s">
        <v>86</v>
      </c>
      <c r="L17" s="6">
        <v>2500005001</v>
      </c>
      <c r="M17" s="132">
        <v>45572</v>
      </c>
      <c r="N17" s="132">
        <v>45572</v>
      </c>
      <c r="O17" s="132">
        <v>45572</v>
      </c>
      <c r="P17" s="6"/>
      <c r="Q17" s="6"/>
      <c r="R17" s="6"/>
      <c r="S17" s="6">
        <v>1129.5</v>
      </c>
      <c r="T17" s="6">
        <v>0</v>
      </c>
      <c r="U17" s="6">
        <v>1</v>
      </c>
      <c r="V17" s="6">
        <v>17</v>
      </c>
      <c r="W17" s="6">
        <v>1</v>
      </c>
      <c r="X17" s="6">
        <v>1350101001</v>
      </c>
      <c r="Y17" s="6" t="s">
        <v>89</v>
      </c>
      <c r="Z17" s="6">
        <v>0</v>
      </c>
      <c r="AA17" s="6">
        <v>0</v>
      </c>
      <c r="AB17" s="6">
        <v>1129.5</v>
      </c>
      <c r="AC17" s="6">
        <v>0</v>
      </c>
      <c r="AD17" s="6"/>
      <c r="AE17" s="6"/>
      <c r="AF17" s="6"/>
      <c r="AG17" s="6"/>
      <c r="AH17" s="6"/>
      <c r="AI17" s="6"/>
      <c r="AJ17" s="6"/>
      <c r="AK17" s="7"/>
      <c r="AL17" s="6">
        <v>21450775</v>
      </c>
      <c r="AM17" s="6" t="s">
        <v>95</v>
      </c>
    </row>
    <row r="18" spans="2:39" x14ac:dyDescent="0.2">
      <c r="B18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8" s="135" t="str">
        <f>+CONCATENATE(ZEUFI037[[#This Row],[Type]],"-",ZEUFI037[[#This Row],[G/L Account]])</f>
        <v>DF-1960101001</v>
      </c>
      <c r="D18" s="136" t="str">
        <f>+CONCATENATE(ZEUFI037[[#This Row],[Type]],"-",ZEUFI037[[#This Row],[TCode]],"-",ZEUFI037[[#This Row],[CoCd]],"-",ZEUFI037[[#This Row],[DocumentNo]])</f>
        <v>DF-FB1D-CY01-2500005001</v>
      </c>
      <c r="E18" s="6" t="s">
        <v>81</v>
      </c>
      <c r="F18" s="6" t="s">
        <v>82</v>
      </c>
      <c r="G18" s="6" t="s">
        <v>83</v>
      </c>
      <c r="H18" s="6" t="s">
        <v>84</v>
      </c>
      <c r="I18" s="6" t="s">
        <v>85</v>
      </c>
      <c r="J18" s="6" t="s">
        <v>64</v>
      </c>
      <c r="K18" s="6" t="s">
        <v>86</v>
      </c>
      <c r="L18" s="6">
        <v>2500005001</v>
      </c>
      <c r="M18" s="132">
        <v>45572</v>
      </c>
      <c r="N18" s="132">
        <v>45572</v>
      </c>
      <c r="O18" s="132">
        <v>45572</v>
      </c>
      <c r="P18" s="6"/>
      <c r="Q18" s="6"/>
      <c r="R18" s="6"/>
      <c r="S18" s="6">
        <v>1129.5</v>
      </c>
      <c r="T18" s="6">
        <v>0</v>
      </c>
      <c r="U18" s="6">
        <v>2</v>
      </c>
      <c r="V18" s="6">
        <v>9</v>
      </c>
      <c r="W18" s="6">
        <v>0</v>
      </c>
      <c r="X18" s="6">
        <v>1960101001</v>
      </c>
      <c r="Y18" s="6" t="s">
        <v>87</v>
      </c>
      <c r="Z18" s="6">
        <v>1129.5</v>
      </c>
      <c r="AA18" s="6">
        <v>0</v>
      </c>
      <c r="AB18" s="6">
        <v>0</v>
      </c>
      <c r="AC18" s="6">
        <v>0</v>
      </c>
      <c r="AD18" s="6"/>
      <c r="AE18" s="6"/>
      <c r="AF18" s="6"/>
      <c r="AG18" s="6"/>
      <c r="AH18" s="6"/>
      <c r="AI18" s="6"/>
      <c r="AJ18" s="6"/>
      <c r="AK18" s="7"/>
      <c r="AL18" s="6">
        <v>21450775</v>
      </c>
      <c r="AM18" s="6" t="s">
        <v>95</v>
      </c>
    </row>
    <row r="19" spans="2:39" x14ac:dyDescent="0.2">
      <c r="B19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19" s="135" t="str">
        <f>+CONCATENATE(ZEUFI037[[#This Row],[Type]],"-",ZEUFI037[[#This Row],[G/L Account]])</f>
        <v>DF-1350101001</v>
      </c>
      <c r="D19" s="136" t="str">
        <f>+CONCATENATE(ZEUFI037[[#This Row],[Type]],"-",ZEUFI037[[#This Row],[TCode]],"-",ZEUFI037[[#This Row],[CoCd]],"-",ZEUFI037[[#This Row],[DocumentNo]])</f>
        <v>DF-FB1D-CY01-2500005008</v>
      </c>
      <c r="E19" s="6" t="s">
        <v>81</v>
      </c>
      <c r="F19" s="6" t="s">
        <v>82</v>
      </c>
      <c r="G19" s="6" t="s">
        <v>83</v>
      </c>
      <c r="H19" s="6" t="s">
        <v>84</v>
      </c>
      <c r="I19" s="6" t="s">
        <v>85</v>
      </c>
      <c r="J19" s="6" t="s">
        <v>64</v>
      </c>
      <c r="K19" s="6" t="s">
        <v>86</v>
      </c>
      <c r="L19" s="6">
        <v>2500005008</v>
      </c>
      <c r="M19" s="132">
        <v>45572</v>
      </c>
      <c r="N19" s="132">
        <v>45572</v>
      </c>
      <c r="O19" s="132">
        <v>45572</v>
      </c>
      <c r="P19" s="6"/>
      <c r="Q19" s="6"/>
      <c r="R19" s="6"/>
      <c r="S19" s="6">
        <v>517.5</v>
      </c>
      <c r="T19" s="6">
        <v>0</v>
      </c>
      <c r="U19" s="6">
        <v>1</v>
      </c>
      <c r="V19" s="6">
        <v>17</v>
      </c>
      <c r="W19" s="6">
        <v>1</v>
      </c>
      <c r="X19" s="6">
        <v>1350101001</v>
      </c>
      <c r="Y19" s="6" t="s">
        <v>89</v>
      </c>
      <c r="Z19" s="6">
        <v>0</v>
      </c>
      <c r="AA19" s="6">
        <v>0</v>
      </c>
      <c r="AB19" s="6">
        <v>517.5</v>
      </c>
      <c r="AC19" s="6">
        <v>0</v>
      </c>
      <c r="AD19" s="6"/>
      <c r="AE19" s="6"/>
      <c r="AF19" s="6"/>
      <c r="AG19" s="6"/>
      <c r="AH19" s="6"/>
      <c r="AI19" s="6"/>
      <c r="AJ19" s="6"/>
      <c r="AK19" s="7"/>
      <c r="AL19" s="6">
        <v>21455759</v>
      </c>
      <c r="AM19" s="6" t="s">
        <v>96</v>
      </c>
    </row>
    <row r="20" spans="2:39" x14ac:dyDescent="0.2">
      <c r="B20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20" s="135" t="str">
        <f>+CONCATENATE(ZEUFI037[[#This Row],[Type]],"-",ZEUFI037[[#This Row],[G/L Account]])</f>
        <v>DF-1960101001</v>
      </c>
      <c r="D20" s="136" t="str">
        <f>+CONCATENATE(ZEUFI037[[#This Row],[Type]],"-",ZEUFI037[[#This Row],[TCode]],"-",ZEUFI037[[#This Row],[CoCd]],"-",ZEUFI037[[#This Row],[DocumentNo]])</f>
        <v>DF-FB1D-CY01-2500005008</v>
      </c>
      <c r="E20" s="6" t="s">
        <v>81</v>
      </c>
      <c r="F20" s="6" t="s">
        <v>82</v>
      </c>
      <c r="G20" s="6" t="s">
        <v>83</v>
      </c>
      <c r="H20" s="6" t="s">
        <v>84</v>
      </c>
      <c r="I20" s="6" t="s">
        <v>85</v>
      </c>
      <c r="J20" s="6" t="s">
        <v>64</v>
      </c>
      <c r="K20" s="6" t="s">
        <v>86</v>
      </c>
      <c r="L20" s="6">
        <v>2500005008</v>
      </c>
      <c r="M20" s="132">
        <v>45572</v>
      </c>
      <c r="N20" s="132">
        <v>45572</v>
      </c>
      <c r="O20" s="132">
        <v>45572</v>
      </c>
      <c r="P20" s="6"/>
      <c r="Q20" s="6"/>
      <c r="R20" s="6"/>
      <c r="S20" s="6">
        <v>517.5</v>
      </c>
      <c r="T20" s="6">
        <v>0</v>
      </c>
      <c r="U20" s="6">
        <v>2</v>
      </c>
      <c r="V20" s="6">
        <v>9</v>
      </c>
      <c r="W20" s="6">
        <v>0</v>
      </c>
      <c r="X20" s="6">
        <v>1960101001</v>
      </c>
      <c r="Y20" s="6" t="s">
        <v>87</v>
      </c>
      <c r="Z20" s="6">
        <v>517.5</v>
      </c>
      <c r="AA20" s="6">
        <v>0</v>
      </c>
      <c r="AB20" s="6">
        <v>0</v>
      </c>
      <c r="AC20" s="6">
        <v>0</v>
      </c>
      <c r="AD20" s="6"/>
      <c r="AE20" s="6"/>
      <c r="AF20" s="6"/>
      <c r="AG20" s="6"/>
      <c r="AH20" s="6"/>
      <c r="AI20" s="6"/>
      <c r="AJ20" s="6"/>
      <c r="AK20" s="7"/>
      <c r="AL20" s="6">
        <v>21455759</v>
      </c>
      <c r="AM20" s="6" t="s">
        <v>96</v>
      </c>
    </row>
    <row r="21" spans="2:39" x14ac:dyDescent="0.2">
      <c r="B21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21" s="135" t="str">
        <f>+CONCATENATE(ZEUFI037[[#This Row],[Type]],"-",ZEUFI037[[#This Row],[G/L Account]])</f>
        <v>DF-1960101001</v>
      </c>
      <c r="D21" s="136" t="str">
        <f>+CONCATENATE(ZEUFI037[[#This Row],[Type]],"-",ZEUFI037[[#This Row],[TCode]],"-",ZEUFI037[[#This Row],[CoCd]],"-",ZEUFI037[[#This Row],[DocumentNo]])</f>
        <v>DF-FB1D-CY01-2500005019</v>
      </c>
      <c r="E21" s="6" t="s">
        <v>81</v>
      </c>
      <c r="F21" s="6" t="s">
        <v>82</v>
      </c>
      <c r="G21" s="6" t="s">
        <v>83</v>
      </c>
      <c r="H21" s="6" t="s">
        <v>84</v>
      </c>
      <c r="I21" s="6" t="s">
        <v>85</v>
      </c>
      <c r="J21" s="6" t="s">
        <v>64</v>
      </c>
      <c r="K21" s="6" t="s">
        <v>86</v>
      </c>
      <c r="L21" s="6">
        <v>2500005019</v>
      </c>
      <c r="M21" s="132">
        <v>45572</v>
      </c>
      <c r="N21" s="132">
        <v>45572</v>
      </c>
      <c r="O21" s="132">
        <v>45572</v>
      </c>
      <c r="P21" s="6"/>
      <c r="Q21" s="6"/>
      <c r="R21" s="6"/>
      <c r="S21" s="6">
        <v>1129.5</v>
      </c>
      <c r="T21" s="6">
        <v>0</v>
      </c>
      <c r="U21" s="6">
        <v>2</v>
      </c>
      <c r="V21" s="6">
        <v>9</v>
      </c>
      <c r="W21" s="6">
        <v>0</v>
      </c>
      <c r="X21" s="6">
        <v>1960101001</v>
      </c>
      <c r="Y21" s="6" t="s">
        <v>87</v>
      </c>
      <c r="Z21" s="6">
        <v>1129.5</v>
      </c>
      <c r="AA21" s="6">
        <v>0</v>
      </c>
      <c r="AB21" s="6">
        <v>0</v>
      </c>
      <c r="AC21" s="6">
        <v>0</v>
      </c>
      <c r="AD21" s="6"/>
      <c r="AE21" s="6"/>
      <c r="AF21" s="6"/>
      <c r="AG21" s="6"/>
      <c r="AH21" s="6"/>
      <c r="AI21" s="6"/>
      <c r="AJ21" s="6"/>
      <c r="AK21" s="7"/>
      <c r="AL21" s="6">
        <v>21450886</v>
      </c>
      <c r="AM21" s="6" t="s">
        <v>97</v>
      </c>
    </row>
    <row r="22" spans="2:39" x14ac:dyDescent="0.2">
      <c r="B22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22" s="135" t="str">
        <f>+CONCATENATE(ZEUFI037[[#This Row],[Type]],"-",ZEUFI037[[#This Row],[G/L Account]])</f>
        <v>DF-1350101001</v>
      </c>
      <c r="D22" s="136" t="str">
        <f>+CONCATENATE(ZEUFI037[[#This Row],[Type]],"-",ZEUFI037[[#This Row],[TCode]],"-",ZEUFI037[[#This Row],[CoCd]],"-",ZEUFI037[[#This Row],[DocumentNo]])</f>
        <v>DF-FB1D-CY01-2500005019</v>
      </c>
      <c r="E22" s="6" t="s">
        <v>81</v>
      </c>
      <c r="F22" s="6" t="s">
        <v>82</v>
      </c>
      <c r="G22" s="6" t="s">
        <v>83</v>
      </c>
      <c r="H22" s="6" t="s">
        <v>84</v>
      </c>
      <c r="I22" s="6" t="s">
        <v>85</v>
      </c>
      <c r="J22" s="6" t="s">
        <v>64</v>
      </c>
      <c r="K22" s="6" t="s">
        <v>86</v>
      </c>
      <c r="L22" s="6">
        <v>2500005019</v>
      </c>
      <c r="M22" s="132">
        <v>45572</v>
      </c>
      <c r="N22" s="132">
        <v>45572</v>
      </c>
      <c r="O22" s="132">
        <v>45572</v>
      </c>
      <c r="P22" s="6"/>
      <c r="Q22" s="6"/>
      <c r="R22" s="6"/>
      <c r="S22" s="6">
        <v>1129.5</v>
      </c>
      <c r="T22" s="6">
        <v>0</v>
      </c>
      <c r="U22" s="6">
        <v>1</v>
      </c>
      <c r="V22" s="6">
        <v>17</v>
      </c>
      <c r="W22" s="6">
        <v>1</v>
      </c>
      <c r="X22" s="6">
        <v>1350101001</v>
      </c>
      <c r="Y22" s="6" t="s">
        <v>89</v>
      </c>
      <c r="Z22" s="6">
        <v>0</v>
      </c>
      <c r="AA22" s="6">
        <v>0</v>
      </c>
      <c r="AB22" s="6">
        <v>1129.5</v>
      </c>
      <c r="AC22" s="6">
        <v>0</v>
      </c>
      <c r="AD22" s="6"/>
      <c r="AE22" s="6"/>
      <c r="AF22" s="6"/>
      <c r="AG22" s="6"/>
      <c r="AH22" s="6"/>
      <c r="AI22" s="6"/>
      <c r="AJ22" s="6"/>
      <c r="AK22" s="7"/>
      <c r="AL22" s="6">
        <v>21450886</v>
      </c>
      <c r="AM22" s="6" t="s">
        <v>97</v>
      </c>
    </row>
    <row r="23" spans="2:39" x14ac:dyDescent="0.2">
      <c r="B23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23" s="135" t="str">
        <f>+CONCATENATE(ZEUFI037[[#This Row],[Type]],"-",ZEUFI037[[#This Row],[G/L Account]])</f>
        <v>DF-1960101001</v>
      </c>
      <c r="D23" s="136" t="str">
        <f>+CONCATENATE(ZEUFI037[[#This Row],[Type]],"-",ZEUFI037[[#This Row],[TCode]],"-",ZEUFI037[[#This Row],[CoCd]],"-",ZEUFI037[[#This Row],[DocumentNo]])</f>
        <v>DF-FB1D-CY01-2500005224</v>
      </c>
      <c r="E23" s="6" t="s">
        <v>81</v>
      </c>
      <c r="F23" s="6" t="s">
        <v>82</v>
      </c>
      <c r="G23" s="6" t="s">
        <v>83</v>
      </c>
      <c r="H23" s="6" t="s">
        <v>84</v>
      </c>
      <c r="I23" s="6" t="s">
        <v>85</v>
      </c>
      <c r="J23" s="6" t="s">
        <v>64</v>
      </c>
      <c r="K23" s="6" t="s">
        <v>86</v>
      </c>
      <c r="L23" s="6">
        <v>2500005224</v>
      </c>
      <c r="M23" s="132">
        <v>45596</v>
      </c>
      <c r="N23" s="132">
        <v>45596</v>
      </c>
      <c r="O23" s="132">
        <v>45596</v>
      </c>
      <c r="P23" s="6"/>
      <c r="Q23" s="6"/>
      <c r="R23" s="6"/>
      <c r="S23" s="6">
        <v>1129.5</v>
      </c>
      <c r="T23" s="6">
        <v>0</v>
      </c>
      <c r="U23" s="6">
        <v>2</v>
      </c>
      <c r="V23" s="6">
        <v>9</v>
      </c>
      <c r="W23" s="6">
        <v>0</v>
      </c>
      <c r="X23" s="6">
        <v>1960101001</v>
      </c>
      <c r="Y23" s="6" t="s">
        <v>87</v>
      </c>
      <c r="Z23" s="6">
        <v>1129.5</v>
      </c>
      <c r="AA23" s="6">
        <v>0</v>
      </c>
      <c r="AB23" s="6">
        <v>0</v>
      </c>
      <c r="AC23" s="6">
        <v>0</v>
      </c>
      <c r="AD23" s="6"/>
      <c r="AE23" s="6"/>
      <c r="AF23" s="6"/>
      <c r="AG23" s="6"/>
      <c r="AH23" s="6"/>
      <c r="AI23" s="6"/>
      <c r="AJ23" s="6"/>
      <c r="AK23" s="7"/>
      <c r="AL23" s="6">
        <v>21456030</v>
      </c>
      <c r="AM23" s="6" t="s">
        <v>88</v>
      </c>
    </row>
    <row r="24" spans="2:39" x14ac:dyDescent="0.2">
      <c r="B24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24" s="135" t="str">
        <f>+CONCATENATE(ZEUFI037[[#This Row],[Type]],"-",ZEUFI037[[#This Row],[G/L Account]])</f>
        <v>DF-1350101001</v>
      </c>
      <c r="D24" s="136" t="str">
        <f>+CONCATENATE(ZEUFI037[[#This Row],[Type]],"-",ZEUFI037[[#This Row],[TCode]],"-",ZEUFI037[[#This Row],[CoCd]],"-",ZEUFI037[[#This Row],[DocumentNo]])</f>
        <v>DF-FB1D-CY01-2500005224</v>
      </c>
      <c r="E24" s="6" t="s">
        <v>81</v>
      </c>
      <c r="F24" s="6" t="s">
        <v>82</v>
      </c>
      <c r="G24" s="6" t="s">
        <v>83</v>
      </c>
      <c r="H24" s="6" t="s">
        <v>84</v>
      </c>
      <c r="I24" s="6" t="s">
        <v>85</v>
      </c>
      <c r="J24" s="6" t="s">
        <v>64</v>
      </c>
      <c r="K24" s="6" t="s">
        <v>86</v>
      </c>
      <c r="L24" s="6">
        <v>2500005224</v>
      </c>
      <c r="M24" s="132">
        <v>45596</v>
      </c>
      <c r="N24" s="132">
        <v>45596</v>
      </c>
      <c r="O24" s="132">
        <v>45596</v>
      </c>
      <c r="P24" s="6"/>
      <c r="Q24" s="6"/>
      <c r="R24" s="6"/>
      <c r="S24" s="6">
        <v>1129.5</v>
      </c>
      <c r="T24" s="6">
        <v>0</v>
      </c>
      <c r="U24" s="6">
        <v>1</v>
      </c>
      <c r="V24" s="6">
        <v>17</v>
      </c>
      <c r="W24" s="6">
        <v>1</v>
      </c>
      <c r="X24" s="6">
        <v>1350101001</v>
      </c>
      <c r="Y24" s="6" t="s">
        <v>89</v>
      </c>
      <c r="Z24" s="6">
        <v>0</v>
      </c>
      <c r="AA24" s="6">
        <v>0</v>
      </c>
      <c r="AB24" s="6">
        <v>1129.5</v>
      </c>
      <c r="AC24" s="6">
        <v>0</v>
      </c>
      <c r="AD24" s="6"/>
      <c r="AE24" s="6"/>
      <c r="AF24" s="6"/>
      <c r="AG24" s="6"/>
      <c r="AH24" s="6"/>
      <c r="AI24" s="6"/>
      <c r="AJ24" s="6"/>
      <c r="AK24" s="7"/>
      <c r="AL24" s="6">
        <v>21456030</v>
      </c>
      <c r="AM24" s="6" t="s">
        <v>88</v>
      </c>
    </row>
    <row r="25" spans="2:39" x14ac:dyDescent="0.2">
      <c r="B25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25" s="135" t="str">
        <f>+CONCATENATE(ZEUFI037[[#This Row],[Type]],"-",ZEUFI037[[#This Row],[G/L Account]])</f>
        <v>DF-1330101001</v>
      </c>
      <c r="D25" s="136" t="str">
        <f>+CONCATENATE(ZEUFI037[[#This Row],[Type]],"-",ZEUFI037[[#This Row],[TCode]],"-",ZEUFI037[[#This Row],[CoCd]],"-",ZEUFI037[[#This Row],[DocumentNo]])</f>
        <v>DF-FB1D-CY01-2500005447</v>
      </c>
      <c r="E25" s="6" t="s">
        <v>81</v>
      </c>
      <c r="F25" s="6" t="s">
        <v>98</v>
      </c>
      <c r="G25" s="6" t="s">
        <v>99</v>
      </c>
      <c r="H25" s="6" t="s">
        <v>84</v>
      </c>
      <c r="I25" s="6" t="s">
        <v>85</v>
      </c>
      <c r="J25" s="6" t="s">
        <v>64</v>
      </c>
      <c r="K25" s="6" t="s">
        <v>86</v>
      </c>
      <c r="L25" s="6">
        <v>2500005447</v>
      </c>
      <c r="M25" s="132">
        <v>45596</v>
      </c>
      <c r="N25" s="132">
        <v>45600</v>
      </c>
      <c r="O25" s="132">
        <v>45596</v>
      </c>
      <c r="P25" s="6"/>
      <c r="Q25" s="6"/>
      <c r="R25" s="6"/>
      <c r="S25" s="6">
        <v>2299054.73</v>
      </c>
      <c r="T25" s="6">
        <v>0</v>
      </c>
      <c r="U25" s="6">
        <v>1</v>
      </c>
      <c r="V25" s="6">
        <v>9</v>
      </c>
      <c r="W25" s="6">
        <v>0</v>
      </c>
      <c r="X25" s="6">
        <v>1330101001</v>
      </c>
      <c r="Y25" s="6" t="s">
        <v>100</v>
      </c>
      <c r="Z25" s="6">
        <v>2299054.73</v>
      </c>
      <c r="AA25" s="6">
        <v>0</v>
      </c>
      <c r="AB25" s="6">
        <v>0</v>
      </c>
      <c r="AC25" s="6">
        <v>0</v>
      </c>
      <c r="AD25" s="6" t="s">
        <v>101</v>
      </c>
      <c r="AE25" s="6"/>
      <c r="AF25" s="6"/>
      <c r="AG25" s="6"/>
      <c r="AH25" s="6"/>
      <c r="AI25" s="6"/>
      <c r="AJ25" s="6"/>
      <c r="AK25" s="7"/>
      <c r="AL25" s="6">
        <v>3000001</v>
      </c>
      <c r="AM25" s="6" t="s">
        <v>102</v>
      </c>
    </row>
    <row r="26" spans="2:39" x14ac:dyDescent="0.2">
      <c r="B26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Under Control</v>
      </c>
      <c r="C26" s="135" t="str">
        <f>+CONCATENATE(ZEUFI037[[#This Row],[Type]],"-",ZEUFI037[[#This Row],[G/L Account]])</f>
        <v>DF-1200101001</v>
      </c>
      <c r="D26" s="136" t="str">
        <f>+CONCATENATE(ZEUFI037[[#This Row],[Type]],"-",ZEUFI037[[#This Row],[TCode]],"-",ZEUFI037[[#This Row],[CoCd]],"-",ZEUFI037[[#This Row],[DocumentNo]])</f>
        <v>DF-FB1D-CY01-2500005447</v>
      </c>
      <c r="E26" s="6" t="s">
        <v>81</v>
      </c>
      <c r="F26" s="6" t="s">
        <v>98</v>
      </c>
      <c r="G26" s="6" t="s">
        <v>99</v>
      </c>
      <c r="H26" s="6" t="s">
        <v>84</v>
      </c>
      <c r="I26" s="6" t="s">
        <v>85</v>
      </c>
      <c r="J26" s="6" t="s">
        <v>64</v>
      </c>
      <c r="K26" s="6" t="s">
        <v>86</v>
      </c>
      <c r="L26" s="6">
        <v>2500005447</v>
      </c>
      <c r="M26" s="132">
        <v>45596</v>
      </c>
      <c r="N26" s="132">
        <v>45600</v>
      </c>
      <c r="O26" s="132">
        <v>45596</v>
      </c>
      <c r="P26" s="6"/>
      <c r="Q26" s="6"/>
      <c r="R26" s="6"/>
      <c r="S26" s="6">
        <v>2299054.73</v>
      </c>
      <c r="T26" s="6">
        <v>0</v>
      </c>
      <c r="U26" s="6">
        <v>2</v>
      </c>
      <c r="V26" s="6">
        <v>17</v>
      </c>
      <c r="W26" s="6">
        <v>1</v>
      </c>
      <c r="X26" s="6">
        <v>1200101001</v>
      </c>
      <c r="Y26" s="6" t="s">
        <v>103</v>
      </c>
      <c r="Z26" s="6">
        <v>0</v>
      </c>
      <c r="AA26" s="6">
        <v>0</v>
      </c>
      <c r="AB26" s="6">
        <v>1147807.44</v>
      </c>
      <c r="AC26" s="6">
        <v>0</v>
      </c>
      <c r="AD26" s="6"/>
      <c r="AE26" s="6"/>
      <c r="AF26" s="6"/>
      <c r="AG26" s="6"/>
      <c r="AH26" s="6"/>
      <c r="AI26" s="6"/>
      <c r="AJ26" s="6"/>
      <c r="AK26" s="7"/>
      <c r="AL26" s="6">
        <v>3000001</v>
      </c>
      <c r="AM26" s="6" t="s">
        <v>102</v>
      </c>
    </row>
    <row r="27" spans="2:39" x14ac:dyDescent="0.2">
      <c r="B27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Under Control</v>
      </c>
      <c r="C27" s="135" t="str">
        <f>+CONCATENATE(ZEUFI037[[#This Row],[Type]],"-",ZEUFI037[[#This Row],[G/L Account]])</f>
        <v>DF-1200101001</v>
      </c>
      <c r="D27" s="136" t="str">
        <f>+CONCATENATE(ZEUFI037[[#This Row],[Type]],"-",ZEUFI037[[#This Row],[TCode]],"-",ZEUFI037[[#This Row],[CoCd]],"-",ZEUFI037[[#This Row],[DocumentNo]])</f>
        <v>DF-FB1D-CY01-2500005447</v>
      </c>
      <c r="E27" s="6" t="s">
        <v>81</v>
      </c>
      <c r="F27" s="6" t="s">
        <v>98</v>
      </c>
      <c r="G27" s="6" t="s">
        <v>99</v>
      </c>
      <c r="H27" s="6" t="s">
        <v>84</v>
      </c>
      <c r="I27" s="6" t="s">
        <v>85</v>
      </c>
      <c r="J27" s="6" t="s">
        <v>64</v>
      </c>
      <c r="K27" s="6" t="s">
        <v>86</v>
      </c>
      <c r="L27" s="6">
        <v>2500005447</v>
      </c>
      <c r="M27" s="132">
        <v>45596</v>
      </c>
      <c r="N27" s="132">
        <v>45600</v>
      </c>
      <c r="O27" s="132">
        <v>45596</v>
      </c>
      <c r="P27" s="6"/>
      <c r="Q27" s="6"/>
      <c r="R27" s="6"/>
      <c r="S27" s="6">
        <v>2299054.73</v>
      </c>
      <c r="T27" s="6">
        <v>0</v>
      </c>
      <c r="U27" s="6">
        <v>3</v>
      </c>
      <c r="V27" s="6">
        <v>17</v>
      </c>
      <c r="W27" s="6">
        <v>1</v>
      </c>
      <c r="X27" s="6">
        <v>1200101001</v>
      </c>
      <c r="Y27" s="6" t="s">
        <v>103</v>
      </c>
      <c r="Z27" s="6">
        <v>0</v>
      </c>
      <c r="AA27" s="6">
        <v>0</v>
      </c>
      <c r="AB27" s="6">
        <v>90131.19</v>
      </c>
      <c r="AC27" s="6">
        <v>0</v>
      </c>
      <c r="AD27" s="6"/>
      <c r="AE27" s="6"/>
      <c r="AF27" s="6"/>
      <c r="AG27" s="6"/>
      <c r="AH27" s="6"/>
      <c r="AI27" s="6"/>
      <c r="AJ27" s="6"/>
      <c r="AK27" s="7"/>
      <c r="AL27" s="6">
        <v>3000001</v>
      </c>
      <c r="AM27" s="6" t="s">
        <v>102</v>
      </c>
    </row>
    <row r="28" spans="2:39" x14ac:dyDescent="0.2">
      <c r="B28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Under Control</v>
      </c>
      <c r="C28" s="135" t="str">
        <f>+CONCATENATE(ZEUFI037[[#This Row],[Type]],"-",ZEUFI037[[#This Row],[G/L Account]])</f>
        <v>DF-1200101001</v>
      </c>
      <c r="D28" s="136" t="str">
        <f>+CONCATENATE(ZEUFI037[[#This Row],[Type]],"-",ZEUFI037[[#This Row],[TCode]],"-",ZEUFI037[[#This Row],[CoCd]],"-",ZEUFI037[[#This Row],[DocumentNo]])</f>
        <v>DF-FB1D-CY01-2500005447</v>
      </c>
      <c r="E28" s="6" t="s">
        <v>81</v>
      </c>
      <c r="F28" s="6" t="s">
        <v>98</v>
      </c>
      <c r="G28" s="6" t="s">
        <v>99</v>
      </c>
      <c r="H28" s="6" t="s">
        <v>84</v>
      </c>
      <c r="I28" s="6" t="s">
        <v>85</v>
      </c>
      <c r="J28" s="6" t="s">
        <v>64</v>
      </c>
      <c r="K28" s="6" t="s">
        <v>86</v>
      </c>
      <c r="L28" s="6">
        <v>2500005447</v>
      </c>
      <c r="M28" s="132">
        <v>45596</v>
      </c>
      <c r="N28" s="132">
        <v>45600</v>
      </c>
      <c r="O28" s="132">
        <v>45596</v>
      </c>
      <c r="P28" s="6"/>
      <c r="Q28" s="6"/>
      <c r="R28" s="6"/>
      <c r="S28" s="6">
        <v>2299054.73</v>
      </c>
      <c r="T28" s="6">
        <v>0</v>
      </c>
      <c r="U28" s="6">
        <v>4</v>
      </c>
      <c r="V28" s="6">
        <v>17</v>
      </c>
      <c r="W28" s="6">
        <v>1</v>
      </c>
      <c r="X28" s="6">
        <v>1200101001</v>
      </c>
      <c r="Y28" s="6" t="s">
        <v>103</v>
      </c>
      <c r="Z28" s="6">
        <v>0</v>
      </c>
      <c r="AA28" s="6">
        <v>0</v>
      </c>
      <c r="AB28" s="6">
        <v>1061116.1000000001</v>
      </c>
      <c r="AC28" s="6">
        <v>0</v>
      </c>
      <c r="AD28" s="6"/>
      <c r="AE28" s="6"/>
      <c r="AF28" s="6"/>
      <c r="AG28" s="6"/>
      <c r="AH28" s="6"/>
      <c r="AI28" s="6"/>
      <c r="AJ28" s="6"/>
      <c r="AK28" s="7"/>
      <c r="AL28" s="6">
        <v>3000001</v>
      </c>
      <c r="AM28" s="6" t="s">
        <v>102</v>
      </c>
    </row>
    <row r="29" spans="2:39" x14ac:dyDescent="0.2">
      <c r="B29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29" s="135" t="str">
        <f>+CONCATENATE(ZEUFI037[[#This Row],[Type]],"-",ZEUFI037[[#This Row],[G/L Account]])</f>
        <v>KG-1570404001</v>
      </c>
      <c r="D29" s="136" t="str">
        <f>+CONCATENATE(ZEUFI037[[#This Row],[Type]],"-",ZEUFI037[[#This Row],[TCode]],"-",ZEUFI037[[#This Row],[CoCd]],"-",ZEUFI037[[#This Row],[DocumentNo]])</f>
        <v>KG-FB01-CY01-4200000958</v>
      </c>
      <c r="E29" s="6" t="s">
        <v>81</v>
      </c>
      <c r="F29" s="6" t="s">
        <v>82</v>
      </c>
      <c r="G29" s="6" t="s">
        <v>104</v>
      </c>
      <c r="H29" s="6" t="s">
        <v>105</v>
      </c>
      <c r="I29" s="6" t="s">
        <v>106</v>
      </c>
      <c r="J29" s="6" t="s">
        <v>65</v>
      </c>
      <c r="K29" s="6" t="s">
        <v>107</v>
      </c>
      <c r="L29" s="6">
        <v>4200000958</v>
      </c>
      <c r="M29" s="132">
        <v>45587</v>
      </c>
      <c r="N29" s="132">
        <v>45587</v>
      </c>
      <c r="O29" s="132">
        <v>45587</v>
      </c>
      <c r="P29" s="6" t="s">
        <v>108</v>
      </c>
      <c r="Q29" s="6"/>
      <c r="R29" s="6"/>
      <c r="S29" s="6">
        <v>26000</v>
      </c>
      <c r="T29" s="6">
        <v>0</v>
      </c>
      <c r="U29" s="6">
        <v>1</v>
      </c>
      <c r="V29" s="6">
        <v>50</v>
      </c>
      <c r="W29" s="6">
        <v>5</v>
      </c>
      <c r="X29" s="6">
        <v>1570404001</v>
      </c>
      <c r="Y29" s="6" t="s">
        <v>109</v>
      </c>
      <c r="Z29" s="6">
        <v>0</v>
      </c>
      <c r="AA29" s="6">
        <v>0</v>
      </c>
      <c r="AB29" s="6">
        <v>26000</v>
      </c>
      <c r="AC29" s="6">
        <v>0</v>
      </c>
      <c r="AD29" s="6" t="s">
        <v>110</v>
      </c>
      <c r="AE29" s="6"/>
      <c r="AF29" s="6"/>
      <c r="AG29" s="6"/>
      <c r="AH29" s="6"/>
      <c r="AI29" s="6"/>
      <c r="AJ29" s="6"/>
      <c r="AK29" s="7"/>
      <c r="AL29" s="6"/>
      <c r="AM29" s="6"/>
    </row>
    <row r="30" spans="2:39" x14ac:dyDescent="0.2">
      <c r="B30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0" s="135" t="str">
        <f>+CONCATENATE(ZEUFI037[[#This Row],[Type]],"-",ZEUFI037[[#This Row],[G/L Account]])</f>
        <v>KG-7703301001</v>
      </c>
      <c r="D30" s="136" t="str">
        <f>+CONCATENATE(ZEUFI037[[#This Row],[Type]],"-",ZEUFI037[[#This Row],[TCode]],"-",ZEUFI037[[#This Row],[CoCd]],"-",ZEUFI037[[#This Row],[DocumentNo]])</f>
        <v>KG-FB01-CY01-4200000958</v>
      </c>
      <c r="E30" s="6" t="s">
        <v>81</v>
      </c>
      <c r="F30" s="6" t="s">
        <v>82</v>
      </c>
      <c r="G30" s="6" t="s">
        <v>104</v>
      </c>
      <c r="H30" s="6" t="s">
        <v>105</v>
      </c>
      <c r="I30" s="6" t="s">
        <v>106</v>
      </c>
      <c r="J30" s="6" t="s">
        <v>65</v>
      </c>
      <c r="K30" s="6" t="s">
        <v>107</v>
      </c>
      <c r="L30" s="6">
        <v>4200000958</v>
      </c>
      <c r="M30" s="132">
        <v>45587</v>
      </c>
      <c r="N30" s="132">
        <v>45587</v>
      </c>
      <c r="O30" s="132">
        <v>45587</v>
      </c>
      <c r="P30" s="6" t="s">
        <v>108</v>
      </c>
      <c r="Q30" s="6"/>
      <c r="R30" s="6"/>
      <c r="S30" s="6">
        <v>26000</v>
      </c>
      <c r="T30" s="6">
        <v>0</v>
      </c>
      <c r="U30" s="6">
        <v>2</v>
      </c>
      <c r="V30" s="6">
        <v>40</v>
      </c>
      <c r="W30" s="6">
        <v>4</v>
      </c>
      <c r="X30" s="6">
        <v>7703301001</v>
      </c>
      <c r="Y30" s="6" t="s">
        <v>111</v>
      </c>
      <c r="Z30" s="6">
        <v>26000</v>
      </c>
      <c r="AA30" s="6">
        <v>0</v>
      </c>
      <c r="AB30" s="6">
        <v>0</v>
      </c>
      <c r="AC30" s="6">
        <v>0</v>
      </c>
      <c r="AD30" s="6" t="s">
        <v>110</v>
      </c>
      <c r="AE30" s="6"/>
      <c r="AF30" s="6" t="s">
        <v>112</v>
      </c>
      <c r="AG30" s="6" t="s">
        <v>112</v>
      </c>
      <c r="AH30" s="6"/>
      <c r="AI30" s="6"/>
      <c r="AJ30" s="6"/>
      <c r="AK30" s="7"/>
      <c r="AL30" s="6"/>
      <c r="AM30" s="6"/>
    </row>
    <row r="31" spans="2:39" x14ac:dyDescent="0.2">
      <c r="B31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1" s="135" t="str">
        <f>+CONCATENATE(ZEUFI037[[#This Row],[Type]],"-",ZEUFI037[[#This Row],[G/L Account]])</f>
        <v>KG-7304908001</v>
      </c>
      <c r="D31" s="136" t="str">
        <f>+CONCATENATE(ZEUFI037[[#This Row],[Type]],"-",ZEUFI037[[#This Row],[TCode]],"-",ZEUFI037[[#This Row],[CoCd]],"-",ZEUFI037[[#This Row],[DocumentNo]])</f>
        <v>KG-FB01-CY01-4200000959</v>
      </c>
      <c r="E31" s="6" t="s">
        <v>81</v>
      </c>
      <c r="F31" s="6" t="s">
        <v>82</v>
      </c>
      <c r="G31" s="6" t="s">
        <v>104</v>
      </c>
      <c r="H31" s="6" t="s">
        <v>105</v>
      </c>
      <c r="I31" s="6" t="s">
        <v>106</v>
      </c>
      <c r="J31" s="6" t="s">
        <v>65</v>
      </c>
      <c r="K31" s="6" t="s">
        <v>107</v>
      </c>
      <c r="L31" s="6">
        <v>4200000959</v>
      </c>
      <c r="M31" s="132">
        <v>45587</v>
      </c>
      <c r="N31" s="132">
        <v>45587</v>
      </c>
      <c r="O31" s="132">
        <v>45587</v>
      </c>
      <c r="P31" s="6" t="s">
        <v>113</v>
      </c>
      <c r="Q31" s="6"/>
      <c r="R31" s="6"/>
      <c r="S31" s="6">
        <v>41091.879999999997</v>
      </c>
      <c r="T31" s="6">
        <v>0</v>
      </c>
      <c r="U31" s="6">
        <v>1</v>
      </c>
      <c r="V31" s="6">
        <v>40</v>
      </c>
      <c r="W31" s="6">
        <v>4</v>
      </c>
      <c r="X31" s="6">
        <v>7304908001</v>
      </c>
      <c r="Y31" s="6" t="s">
        <v>114</v>
      </c>
      <c r="Z31" s="6">
        <v>20545.93</v>
      </c>
      <c r="AA31" s="6">
        <v>0</v>
      </c>
      <c r="AB31" s="6">
        <v>0</v>
      </c>
      <c r="AC31" s="6">
        <v>0</v>
      </c>
      <c r="AD31" s="6" t="s">
        <v>113</v>
      </c>
      <c r="AE31" s="6"/>
      <c r="AF31" s="6" t="s">
        <v>115</v>
      </c>
      <c r="AG31" s="6" t="s">
        <v>115</v>
      </c>
      <c r="AH31" s="6"/>
      <c r="AI31" s="6"/>
      <c r="AJ31" s="6"/>
      <c r="AK31" s="7"/>
      <c r="AL31" s="6"/>
      <c r="AM31" s="6"/>
    </row>
    <row r="32" spans="2:39" x14ac:dyDescent="0.2">
      <c r="B32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2" s="135" t="str">
        <f>+CONCATENATE(ZEUFI037[[#This Row],[Type]],"-",ZEUFI037[[#This Row],[G/L Account]])</f>
        <v>KG-7304908001</v>
      </c>
      <c r="D32" s="136" t="str">
        <f>+CONCATENATE(ZEUFI037[[#This Row],[Type]],"-",ZEUFI037[[#This Row],[TCode]],"-",ZEUFI037[[#This Row],[CoCd]],"-",ZEUFI037[[#This Row],[DocumentNo]])</f>
        <v>KG-FB01-CY01-4200000959</v>
      </c>
      <c r="E32" s="6" t="s">
        <v>81</v>
      </c>
      <c r="F32" s="6" t="s">
        <v>82</v>
      </c>
      <c r="G32" s="6" t="s">
        <v>104</v>
      </c>
      <c r="H32" s="6" t="s">
        <v>105</v>
      </c>
      <c r="I32" s="6" t="s">
        <v>106</v>
      </c>
      <c r="J32" s="6" t="s">
        <v>65</v>
      </c>
      <c r="K32" s="6" t="s">
        <v>107</v>
      </c>
      <c r="L32" s="6">
        <v>4200000959</v>
      </c>
      <c r="M32" s="132">
        <v>45587</v>
      </c>
      <c r="N32" s="132">
        <v>45587</v>
      </c>
      <c r="O32" s="132">
        <v>45587</v>
      </c>
      <c r="P32" s="6" t="s">
        <v>113</v>
      </c>
      <c r="Q32" s="6"/>
      <c r="R32" s="6"/>
      <c r="S32" s="6">
        <v>41091.879999999997</v>
      </c>
      <c r="T32" s="6">
        <v>0</v>
      </c>
      <c r="U32" s="6">
        <v>2</v>
      </c>
      <c r="V32" s="6">
        <v>40</v>
      </c>
      <c r="W32" s="6">
        <v>4</v>
      </c>
      <c r="X32" s="6">
        <v>7304908001</v>
      </c>
      <c r="Y32" s="6" t="s">
        <v>114</v>
      </c>
      <c r="Z32" s="6">
        <v>20545.95</v>
      </c>
      <c r="AA32" s="6">
        <v>0</v>
      </c>
      <c r="AB32" s="6">
        <v>0</v>
      </c>
      <c r="AC32" s="6">
        <v>0</v>
      </c>
      <c r="AD32" s="6" t="s">
        <v>113</v>
      </c>
      <c r="AE32" s="6"/>
      <c r="AF32" s="6" t="s">
        <v>116</v>
      </c>
      <c r="AG32" s="6" t="s">
        <v>116</v>
      </c>
      <c r="AH32" s="6"/>
      <c r="AI32" s="6"/>
      <c r="AJ32" s="6"/>
      <c r="AK32" s="7"/>
      <c r="AL32" s="6"/>
      <c r="AM32" s="6"/>
    </row>
    <row r="33" spans="2:39" x14ac:dyDescent="0.2">
      <c r="B33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3" s="135" t="str">
        <f>+CONCATENATE(ZEUFI037[[#This Row],[Type]],"-",ZEUFI037[[#This Row],[G/L Account]])</f>
        <v>KG-1570404001</v>
      </c>
      <c r="D33" s="136" t="str">
        <f>+CONCATENATE(ZEUFI037[[#This Row],[Type]],"-",ZEUFI037[[#This Row],[TCode]],"-",ZEUFI037[[#This Row],[CoCd]],"-",ZEUFI037[[#This Row],[DocumentNo]])</f>
        <v>KG-FB01-CY01-4200000959</v>
      </c>
      <c r="E33" s="6" t="s">
        <v>81</v>
      </c>
      <c r="F33" s="6" t="s">
        <v>82</v>
      </c>
      <c r="G33" s="6" t="s">
        <v>104</v>
      </c>
      <c r="H33" s="6" t="s">
        <v>105</v>
      </c>
      <c r="I33" s="6" t="s">
        <v>106</v>
      </c>
      <c r="J33" s="6" t="s">
        <v>65</v>
      </c>
      <c r="K33" s="6" t="s">
        <v>107</v>
      </c>
      <c r="L33" s="6">
        <v>4200000959</v>
      </c>
      <c r="M33" s="132">
        <v>45587</v>
      </c>
      <c r="N33" s="132">
        <v>45587</v>
      </c>
      <c r="O33" s="132">
        <v>45587</v>
      </c>
      <c r="P33" s="6" t="s">
        <v>113</v>
      </c>
      <c r="Q33" s="6"/>
      <c r="R33" s="6"/>
      <c r="S33" s="6">
        <v>41091.879999999997</v>
      </c>
      <c r="T33" s="6">
        <v>0</v>
      </c>
      <c r="U33" s="6">
        <v>3</v>
      </c>
      <c r="V33" s="6">
        <v>50</v>
      </c>
      <c r="W33" s="6">
        <v>5</v>
      </c>
      <c r="X33" s="6">
        <v>1570404001</v>
      </c>
      <c r="Y33" s="6" t="s">
        <v>109</v>
      </c>
      <c r="Z33" s="6">
        <v>0</v>
      </c>
      <c r="AA33" s="6">
        <v>0</v>
      </c>
      <c r="AB33" s="6">
        <v>41091.879999999997</v>
      </c>
      <c r="AC33" s="6">
        <v>0</v>
      </c>
      <c r="AD33" s="6" t="s">
        <v>113</v>
      </c>
      <c r="AE33" s="6"/>
      <c r="AF33" s="6"/>
      <c r="AG33" s="6"/>
      <c r="AH33" s="6"/>
      <c r="AI33" s="6"/>
      <c r="AJ33" s="6"/>
      <c r="AK33" s="7"/>
      <c r="AL33" s="6"/>
      <c r="AM33" s="6"/>
    </row>
    <row r="34" spans="2:39" x14ac:dyDescent="0.2">
      <c r="B34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4" s="135" t="str">
        <f>+CONCATENATE(ZEUFI037[[#This Row],[Type]],"-",ZEUFI037[[#This Row],[G/L Account]])</f>
        <v>KG-1570404001</v>
      </c>
      <c r="D34" s="136" t="str">
        <f>+CONCATENATE(ZEUFI037[[#This Row],[Type]],"-",ZEUFI037[[#This Row],[TCode]],"-",ZEUFI037[[#This Row],[CoCd]],"-",ZEUFI037[[#This Row],[DocumentNo]])</f>
        <v>KG-FB01-CY01-4200000960</v>
      </c>
      <c r="E34" s="6" t="s">
        <v>81</v>
      </c>
      <c r="F34" s="6" t="s">
        <v>82</v>
      </c>
      <c r="G34" s="6" t="s">
        <v>104</v>
      </c>
      <c r="H34" s="6" t="s">
        <v>105</v>
      </c>
      <c r="I34" s="6" t="s">
        <v>106</v>
      </c>
      <c r="J34" s="6" t="s">
        <v>65</v>
      </c>
      <c r="K34" s="6" t="s">
        <v>107</v>
      </c>
      <c r="L34" s="6">
        <v>4200000960</v>
      </c>
      <c r="M34" s="132">
        <v>45587</v>
      </c>
      <c r="N34" s="132">
        <v>45587</v>
      </c>
      <c r="O34" s="132">
        <v>45587</v>
      </c>
      <c r="P34" s="6" t="s">
        <v>117</v>
      </c>
      <c r="Q34" s="6"/>
      <c r="R34" s="6"/>
      <c r="S34" s="6">
        <v>73259.37</v>
      </c>
      <c r="T34" s="6">
        <v>0</v>
      </c>
      <c r="U34" s="6">
        <v>1</v>
      </c>
      <c r="V34" s="6">
        <v>40</v>
      </c>
      <c r="W34" s="6">
        <v>4</v>
      </c>
      <c r="X34" s="6">
        <v>1570404001</v>
      </c>
      <c r="Y34" s="6" t="s">
        <v>109</v>
      </c>
      <c r="Z34" s="6">
        <v>73259.37</v>
      </c>
      <c r="AA34" s="6">
        <v>0</v>
      </c>
      <c r="AB34" s="6">
        <v>0</v>
      </c>
      <c r="AC34" s="6">
        <v>0</v>
      </c>
      <c r="AD34" s="6" t="s">
        <v>118</v>
      </c>
      <c r="AE34" s="6"/>
      <c r="AF34" s="6"/>
      <c r="AG34" s="6"/>
      <c r="AH34" s="6"/>
      <c r="AI34" s="6"/>
      <c r="AJ34" s="6"/>
      <c r="AK34" s="7"/>
      <c r="AL34" s="6"/>
      <c r="AM34" s="6"/>
    </row>
    <row r="35" spans="2:39" x14ac:dyDescent="0.2">
      <c r="B35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5" s="135" t="str">
        <f>+CONCATENATE(ZEUFI037[[#This Row],[Type]],"-",ZEUFI037[[#This Row],[G/L Account]])</f>
        <v>KG-1570303001</v>
      </c>
      <c r="D35" s="136" t="str">
        <f>+CONCATENATE(ZEUFI037[[#This Row],[Type]],"-",ZEUFI037[[#This Row],[TCode]],"-",ZEUFI037[[#This Row],[CoCd]],"-",ZEUFI037[[#This Row],[DocumentNo]])</f>
        <v>KG-FB01-CY01-4200000960</v>
      </c>
      <c r="E35" s="6" t="s">
        <v>81</v>
      </c>
      <c r="F35" s="6" t="s">
        <v>82</v>
      </c>
      <c r="G35" s="6" t="s">
        <v>104</v>
      </c>
      <c r="H35" s="6" t="s">
        <v>105</v>
      </c>
      <c r="I35" s="6" t="s">
        <v>106</v>
      </c>
      <c r="J35" s="6" t="s">
        <v>65</v>
      </c>
      <c r="K35" s="6" t="s">
        <v>107</v>
      </c>
      <c r="L35" s="6">
        <v>4200000960</v>
      </c>
      <c r="M35" s="132">
        <v>45587</v>
      </c>
      <c r="N35" s="132">
        <v>45587</v>
      </c>
      <c r="O35" s="132">
        <v>45587</v>
      </c>
      <c r="P35" s="6" t="s">
        <v>117</v>
      </c>
      <c r="Q35" s="6"/>
      <c r="R35" s="6"/>
      <c r="S35" s="6">
        <v>73259.37</v>
      </c>
      <c r="T35" s="6">
        <v>0</v>
      </c>
      <c r="U35" s="6">
        <v>2</v>
      </c>
      <c r="V35" s="6">
        <v>50</v>
      </c>
      <c r="W35" s="6">
        <v>5</v>
      </c>
      <c r="X35" s="6">
        <v>1570303001</v>
      </c>
      <c r="Y35" s="6" t="s">
        <v>119</v>
      </c>
      <c r="Z35" s="6">
        <v>0</v>
      </c>
      <c r="AA35" s="6">
        <v>0</v>
      </c>
      <c r="AB35" s="6">
        <v>73259.37</v>
      </c>
      <c r="AC35" s="6">
        <v>0</v>
      </c>
      <c r="AD35" s="6" t="s">
        <v>118</v>
      </c>
      <c r="AE35" s="6"/>
      <c r="AF35" s="6"/>
      <c r="AG35" s="6"/>
      <c r="AH35" s="6"/>
      <c r="AI35" s="6"/>
      <c r="AJ35" s="6"/>
      <c r="AK35" s="7"/>
      <c r="AL35" s="6"/>
      <c r="AM35" s="6"/>
    </row>
    <row r="36" spans="2:39" x14ac:dyDescent="0.2">
      <c r="B36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6" s="135" t="str">
        <f>+CONCATENATE(ZEUFI037[[#This Row],[Type]],"-",ZEUFI037[[#This Row],[G/L Account]])</f>
        <v>KG-1570404001</v>
      </c>
      <c r="D36" s="136" t="str">
        <f>+CONCATENATE(ZEUFI037[[#This Row],[Type]],"-",ZEUFI037[[#This Row],[TCode]],"-",ZEUFI037[[#This Row],[CoCd]],"-",ZEUFI037[[#This Row],[DocumentNo]])</f>
        <v>KG-FB01-CY01-4200000961</v>
      </c>
      <c r="E36" s="6" t="s">
        <v>81</v>
      </c>
      <c r="F36" s="6" t="s">
        <v>82</v>
      </c>
      <c r="G36" s="6" t="s">
        <v>104</v>
      </c>
      <c r="H36" s="6" t="s">
        <v>105</v>
      </c>
      <c r="I36" s="6" t="s">
        <v>106</v>
      </c>
      <c r="J36" s="6" t="s">
        <v>65</v>
      </c>
      <c r="K36" s="6" t="s">
        <v>107</v>
      </c>
      <c r="L36" s="6">
        <v>4200000961</v>
      </c>
      <c r="M36" s="132">
        <v>45587</v>
      </c>
      <c r="N36" s="132">
        <v>45587</v>
      </c>
      <c r="O36" s="132">
        <v>45587</v>
      </c>
      <c r="P36" s="6" t="s">
        <v>120</v>
      </c>
      <c r="Q36" s="6"/>
      <c r="R36" s="6"/>
      <c r="S36" s="6">
        <v>54239.75</v>
      </c>
      <c r="T36" s="6">
        <v>0</v>
      </c>
      <c r="U36" s="6">
        <v>1</v>
      </c>
      <c r="V36" s="6">
        <v>50</v>
      </c>
      <c r="W36" s="6">
        <v>5</v>
      </c>
      <c r="X36" s="6">
        <v>1570404001</v>
      </c>
      <c r="Y36" s="6" t="s">
        <v>109</v>
      </c>
      <c r="Z36" s="6">
        <v>0</v>
      </c>
      <c r="AA36" s="6">
        <v>0</v>
      </c>
      <c r="AB36" s="6">
        <v>54239.75</v>
      </c>
      <c r="AC36" s="6">
        <v>0</v>
      </c>
      <c r="AD36" s="6" t="s">
        <v>121</v>
      </c>
      <c r="AE36" s="6"/>
      <c r="AF36" s="6"/>
      <c r="AG36" s="6"/>
      <c r="AH36" s="6"/>
      <c r="AI36" s="6"/>
      <c r="AJ36" s="6"/>
      <c r="AK36" s="7"/>
      <c r="AL36" s="6"/>
      <c r="AM36" s="6"/>
    </row>
    <row r="37" spans="2:39" x14ac:dyDescent="0.2">
      <c r="B37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7" s="135" t="str">
        <f>+CONCATENATE(ZEUFI037[[#This Row],[Type]],"-",ZEUFI037[[#This Row],[G/L Account]])</f>
        <v>KG-7304908001</v>
      </c>
      <c r="D37" s="136" t="str">
        <f>+CONCATENATE(ZEUFI037[[#This Row],[Type]],"-",ZEUFI037[[#This Row],[TCode]],"-",ZEUFI037[[#This Row],[CoCd]],"-",ZEUFI037[[#This Row],[DocumentNo]])</f>
        <v>KG-FB01-CY01-4200000961</v>
      </c>
      <c r="E37" s="6" t="s">
        <v>81</v>
      </c>
      <c r="F37" s="6" t="s">
        <v>82</v>
      </c>
      <c r="G37" s="6" t="s">
        <v>104</v>
      </c>
      <c r="H37" s="6" t="s">
        <v>105</v>
      </c>
      <c r="I37" s="6" t="s">
        <v>106</v>
      </c>
      <c r="J37" s="6" t="s">
        <v>65</v>
      </c>
      <c r="K37" s="6" t="s">
        <v>107</v>
      </c>
      <c r="L37" s="6">
        <v>4200000961</v>
      </c>
      <c r="M37" s="132">
        <v>45587</v>
      </c>
      <c r="N37" s="132">
        <v>45587</v>
      </c>
      <c r="O37" s="132">
        <v>45587</v>
      </c>
      <c r="P37" s="6" t="s">
        <v>120</v>
      </c>
      <c r="Q37" s="6"/>
      <c r="R37" s="6"/>
      <c r="S37" s="6">
        <v>54239.75</v>
      </c>
      <c r="T37" s="6">
        <v>0</v>
      </c>
      <c r="U37" s="6">
        <v>2</v>
      </c>
      <c r="V37" s="6">
        <v>40</v>
      </c>
      <c r="W37" s="6">
        <v>4</v>
      </c>
      <c r="X37" s="6">
        <v>7304908001</v>
      </c>
      <c r="Y37" s="6" t="s">
        <v>114</v>
      </c>
      <c r="Z37" s="6">
        <v>54239.75</v>
      </c>
      <c r="AA37" s="6">
        <v>0</v>
      </c>
      <c r="AB37" s="6">
        <v>0</v>
      </c>
      <c r="AC37" s="6">
        <v>0</v>
      </c>
      <c r="AD37" s="6" t="s">
        <v>121</v>
      </c>
      <c r="AE37" s="6"/>
      <c r="AF37" s="6" t="s">
        <v>122</v>
      </c>
      <c r="AG37" s="6" t="s">
        <v>122</v>
      </c>
      <c r="AH37" s="6"/>
      <c r="AI37" s="6"/>
      <c r="AJ37" s="6"/>
      <c r="AK37" s="7"/>
      <c r="AL37" s="6"/>
      <c r="AM37" s="6"/>
    </row>
    <row r="38" spans="2:39" x14ac:dyDescent="0.2">
      <c r="B38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8" s="135" t="str">
        <f>+CONCATENATE(ZEUFI037[[#This Row],[Type]],"-",ZEUFI037[[#This Row],[G/L Account]])</f>
        <v>KG-7304299001</v>
      </c>
      <c r="D38" s="136" t="str">
        <f>+CONCATENATE(ZEUFI037[[#This Row],[Type]],"-",ZEUFI037[[#This Row],[TCode]],"-",ZEUFI037[[#This Row],[CoCd]],"-",ZEUFI037[[#This Row],[DocumentNo]])</f>
        <v>KG-FB01-CY01-4200000962</v>
      </c>
      <c r="E38" s="6" t="s">
        <v>81</v>
      </c>
      <c r="F38" s="6" t="s">
        <v>82</v>
      </c>
      <c r="G38" s="6" t="s">
        <v>104</v>
      </c>
      <c r="H38" s="6" t="s">
        <v>105</v>
      </c>
      <c r="I38" s="6" t="s">
        <v>106</v>
      </c>
      <c r="J38" s="6" t="s">
        <v>65</v>
      </c>
      <c r="K38" s="6" t="s">
        <v>107</v>
      </c>
      <c r="L38" s="6">
        <v>4200000962</v>
      </c>
      <c r="M38" s="132">
        <v>45587</v>
      </c>
      <c r="N38" s="132">
        <v>45587</v>
      </c>
      <c r="O38" s="132">
        <v>45587</v>
      </c>
      <c r="P38" s="6" t="s">
        <v>123</v>
      </c>
      <c r="Q38" s="6"/>
      <c r="R38" s="6"/>
      <c r="S38" s="6">
        <v>240000.75</v>
      </c>
      <c r="T38" s="6">
        <v>0</v>
      </c>
      <c r="U38" s="6">
        <v>2</v>
      </c>
      <c r="V38" s="6">
        <v>40</v>
      </c>
      <c r="W38" s="6">
        <v>4</v>
      </c>
      <c r="X38" s="6">
        <v>7304299001</v>
      </c>
      <c r="Y38" s="6" t="s">
        <v>124</v>
      </c>
      <c r="Z38" s="6">
        <v>240000.75</v>
      </c>
      <c r="AA38" s="6">
        <v>0</v>
      </c>
      <c r="AB38" s="6">
        <v>0</v>
      </c>
      <c r="AC38" s="6">
        <v>0</v>
      </c>
      <c r="AD38" s="6" t="s">
        <v>125</v>
      </c>
      <c r="AE38" s="6"/>
      <c r="AF38" s="6" t="s">
        <v>126</v>
      </c>
      <c r="AG38" s="6" t="s">
        <v>126</v>
      </c>
      <c r="AH38" s="6"/>
      <c r="AI38" s="6"/>
      <c r="AJ38" s="6"/>
      <c r="AK38" s="7"/>
      <c r="AL38" s="6"/>
      <c r="AM38" s="6"/>
    </row>
    <row r="39" spans="2:39" x14ac:dyDescent="0.2">
      <c r="B39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39" s="135" t="str">
        <f>+CONCATENATE(ZEUFI037[[#This Row],[Type]],"-",ZEUFI037[[#This Row],[G/L Account]])</f>
        <v>KG-1570404001</v>
      </c>
      <c r="D39" s="136" t="str">
        <f>+CONCATENATE(ZEUFI037[[#This Row],[Type]],"-",ZEUFI037[[#This Row],[TCode]],"-",ZEUFI037[[#This Row],[CoCd]],"-",ZEUFI037[[#This Row],[DocumentNo]])</f>
        <v>KG-FB01-CY01-4200000962</v>
      </c>
      <c r="E39" s="6" t="s">
        <v>81</v>
      </c>
      <c r="F39" s="6" t="s">
        <v>82</v>
      </c>
      <c r="G39" s="6" t="s">
        <v>104</v>
      </c>
      <c r="H39" s="6" t="s">
        <v>105</v>
      </c>
      <c r="I39" s="6" t="s">
        <v>106</v>
      </c>
      <c r="J39" s="6" t="s">
        <v>65</v>
      </c>
      <c r="K39" s="6" t="s">
        <v>107</v>
      </c>
      <c r="L39" s="6">
        <v>4200000962</v>
      </c>
      <c r="M39" s="132">
        <v>45587</v>
      </c>
      <c r="N39" s="132">
        <v>45587</v>
      </c>
      <c r="O39" s="132">
        <v>45587</v>
      </c>
      <c r="P39" s="6" t="s">
        <v>123</v>
      </c>
      <c r="Q39" s="6"/>
      <c r="R39" s="6"/>
      <c r="S39" s="6">
        <v>240000.75</v>
      </c>
      <c r="T39" s="6">
        <v>0</v>
      </c>
      <c r="U39" s="6">
        <v>1</v>
      </c>
      <c r="V39" s="6">
        <v>50</v>
      </c>
      <c r="W39" s="6">
        <v>5</v>
      </c>
      <c r="X39" s="6">
        <v>1570404001</v>
      </c>
      <c r="Y39" s="6" t="s">
        <v>109</v>
      </c>
      <c r="Z39" s="6">
        <v>0</v>
      </c>
      <c r="AA39" s="6">
        <v>0</v>
      </c>
      <c r="AB39" s="6">
        <v>240000.75</v>
      </c>
      <c r="AC39" s="6">
        <v>0</v>
      </c>
      <c r="AD39" s="6" t="s">
        <v>125</v>
      </c>
      <c r="AE39" s="6"/>
      <c r="AF39" s="6"/>
      <c r="AG39" s="6"/>
      <c r="AH39" s="6"/>
      <c r="AI39" s="6"/>
      <c r="AJ39" s="6"/>
      <c r="AK39" s="7"/>
      <c r="AL39" s="6"/>
      <c r="AM39" s="6"/>
    </row>
    <row r="40" spans="2:39" x14ac:dyDescent="0.2">
      <c r="B40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0" s="135" t="str">
        <f>+CONCATENATE(ZEUFI037[[#This Row],[Type]],"-",ZEUFI037[[#This Row],[G/L Account]])</f>
        <v>KG-6590101001</v>
      </c>
      <c r="D40" s="136" t="str">
        <f>+CONCATENATE(ZEUFI037[[#This Row],[Type]],"-",ZEUFI037[[#This Row],[TCode]],"-",ZEUFI037[[#This Row],[CoCd]],"-",ZEUFI037[[#This Row],[DocumentNo]])</f>
        <v>KG-FB01-CY01-4200000963</v>
      </c>
      <c r="E40" s="6" t="s">
        <v>81</v>
      </c>
      <c r="F40" s="6" t="s">
        <v>82</v>
      </c>
      <c r="G40" s="6" t="s">
        <v>104</v>
      </c>
      <c r="H40" s="6" t="s">
        <v>105</v>
      </c>
      <c r="I40" s="6" t="s">
        <v>106</v>
      </c>
      <c r="J40" s="6" t="s">
        <v>65</v>
      </c>
      <c r="K40" s="6" t="s">
        <v>107</v>
      </c>
      <c r="L40" s="6">
        <v>4200000963</v>
      </c>
      <c r="M40" s="132">
        <v>45587</v>
      </c>
      <c r="N40" s="132">
        <v>45587</v>
      </c>
      <c r="O40" s="132">
        <v>45587</v>
      </c>
      <c r="P40" s="6" t="s">
        <v>127</v>
      </c>
      <c r="Q40" s="6"/>
      <c r="R40" s="6"/>
      <c r="S40" s="6">
        <v>57052.98</v>
      </c>
      <c r="T40" s="6">
        <v>0</v>
      </c>
      <c r="U40" s="6">
        <v>4</v>
      </c>
      <c r="V40" s="6">
        <v>40</v>
      </c>
      <c r="W40" s="6">
        <v>4</v>
      </c>
      <c r="X40" s="6">
        <v>6590101001</v>
      </c>
      <c r="Y40" s="6" t="s">
        <v>128</v>
      </c>
      <c r="Z40" s="6">
        <v>6802.98</v>
      </c>
      <c r="AA40" s="6">
        <v>0</v>
      </c>
      <c r="AB40" s="6">
        <v>0</v>
      </c>
      <c r="AC40" s="6">
        <v>0</v>
      </c>
      <c r="AD40" s="6" t="s">
        <v>129</v>
      </c>
      <c r="AE40" s="6"/>
      <c r="AF40" s="6" t="s">
        <v>130</v>
      </c>
      <c r="AG40" s="6" t="s">
        <v>130</v>
      </c>
      <c r="AH40" s="6"/>
      <c r="AI40" s="6"/>
      <c r="AJ40" s="6"/>
      <c r="AK40" s="7"/>
      <c r="AL40" s="6"/>
      <c r="AM40" s="6"/>
    </row>
    <row r="41" spans="2:39" x14ac:dyDescent="0.2">
      <c r="B41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1" s="135" t="str">
        <f>+CONCATENATE(ZEUFI037[[#This Row],[Type]],"-",ZEUFI037[[#This Row],[G/L Account]])</f>
        <v>KG-6590101001</v>
      </c>
      <c r="D41" s="136" t="str">
        <f>+CONCATENATE(ZEUFI037[[#This Row],[Type]],"-",ZEUFI037[[#This Row],[TCode]],"-",ZEUFI037[[#This Row],[CoCd]],"-",ZEUFI037[[#This Row],[DocumentNo]])</f>
        <v>KG-FB01-CY01-4200000963</v>
      </c>
      <c r="E41" s="6" t="s">
        <v>81</v>
      </c>
      <c r="F41" s="6" t="s">
        <v>82</v>
      </c>
      <c r="G41" s="6" t="s">
        <v>104</v>
      </c>
      <c r="H41" s="6" t="s">
        <v>105</v>
      </c>
      <c r="I41" s="6" t="s">
        <v>106</v>
      </c>
      <c r="J41" s="6" t="s">
        <v>65</v>
      </c>
      <c r="K41" s="6" t="s">
        <v>107</v>
      </c>
      <c r="L41" s="6">
        <v>4200000963</v>
      </c>
      <c r="M41" s="132">
        <v>45587</v>
      </c>
      <c r="N41" s="132">
        <v>45587</v>
      </c>
      <c r="O41" s="132">
        <v>45587</v>
      </c>
      <c r="P41" s="6" t="s">
        <v>127</v>
      </c>
      <c r="Q41" s="6"/>
      <c r="R41" s="6"/>
      <c r="S41" s="6">
        <v>57052.98</v>
      </c>
      <c r="T41" s="6">
        <v>0</v>
      </c>
      <c r="U41" s="6">
        <v>3</v>
      </c>
      <c r="V41" s="6">
        <v>40</v>
      </c>
      <c r="W41" s="6">
        <v>4</v>
      </c>
      <c r="X41" s="6">
        <v>6590101001</v>
      </c>
      <c r="Y41" s="6" t="s">
        <v>128</v>
      </c>
      <c r="Z41" s="6">
        <v>50250</v>
      </c>
      <c r="AA41" s="6">
        <v>0</v>
      </c>
      <c r="AB41" s="6">
        <v>0</v>
      </c>
      <c r="AC41" s="6">
        <v>0</v>
      </c>
      <c r="AD41" s="6" t="s">
        <v>131</v>
      </c>
      <c r="AE41" s="6"/>
      <c r="AF41" s="6" t="s">
        <v>132</v>
      </c>
      <c r="AG41" s="6" t="s">
        <v>132</v>
      </c>
      <c r="AH41" s="6"/>
      <c r="AI41" s="6"/>
      <c r="AJ41" s="6"/>
      <c r="AK41" s="7"/>
      <c r="AL41" s="6"/>
      <c r="AM41" s="6"/>
    </row>
    <row r="42" spans="2:39" x14ac:dyDescent="0.2">
      <c r="B42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2" s="135" t="str">
        <f>+CONCATENATE(ZEUFI037[[#This Row],[Type]],"-",ZEUFI037[[#This Row],[G/L Account]])</f>
        <v>KG-1570303001</v>
      </c>
      <c r="D42" s="136" t="str">
        <f>+CONCATENATE(ZEUFI037[[#This Row],[Type]],"-",ZEUFI037[[#This Row],[TCode]],"-",ZEUFI037[[#This Row],[CoCd]],"-",ZEUFI037[[#This Row],[DocumentNo]])</f>
        <v>KG-FB01-CY01-4200000963</v>
      </c>
      <c r="E42" s="6" t="s">
        <v>81</v>
      </c>
      <c r="F42" s="6" t="s">
        <v>82</v>
      </c>
      <c r="G42" s="6" t="s">
        <v>104</v>
      </c>
      <c r="H42" s="6" t="s">
        <v>105</v>
      </c>
      <c r="I42" s="6" t="s">
        <v>106</v>
      </c>
      <c r="J42" s="6" t="s">
        <v>65</v>
      </c>
      <c r="K42" s="6" t="s">
        <v>107</v>
      </c>
      <c r="L42" s="6">
        <v>4200000963</v>
      </c>
      <c r="M42" s="132">
        <v>45587</v>
      </c>
      <c r="N42" s="132">
        <v>45587</v>
      </c>
      <c r="O42" s="132">
        <v>45587</v>
      </c>
      <c r="P42" s="6" t="s">
        <v>127</v>
      </c>
      <c r="Q42" s="6"/>
      <c r="R42" s="6"/>
      <c r="S42" s="6">
        <v>57052.98</v>
      </c>
      <c r="T42" s="6">
        <v>0</v>
      </c>
      <c r="U42" s="6">
        <v>2</v>
      </c>
      <c r="V42" s="6">
        <v>50</v>
      </c>
      <c r="W42" s="6">
        <v>5</v>
      </c>
      <c r="X42" s="6">
        <v>1570303001</v>
      </c>
      <c r="Y42" s="6" t="s">
        <v>119</v>
      </c>
      <c r="Z42" s="6">
        <v>0</v>
      </c>
      <c r="AA42" s="6">
        <v>0</v>
      </c>
      <c r="AB42" s="6">
        <v>6802.98</v>
      </c>
      <c r="AC42" s="6">
        <v>0</v>
      </c>
      <c r="AD42" s="6" t="s">
        <v>129</v>
      </c>
      <c r="AE42" s="6"/>
      <c r="AF42" s="6"/>
      <c r="AG42" s="6"/>
      <c r="AH42" s="6"/>
      <c r="AI42" s="6"/>
      <c r="AJ42" s="6"/>
      <c r="AK42" s="7"/>
      <c r="AL42" s="6"/>
      <c r="AM42" s="6"/>
    </row>
    <row r="43" spans="2:39" x14ac:dyDescent="0.2">
      <c r="B43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3" s="135" t="str">
        <f>+CONCATENATE(ZEUFI037[[#This Row],[Type]],"-",ZEUFI037[[#This Row],[G/L Account]])</f>
        <v>KG-1570303001</v>
      </c>
      <c r="D43" s="136" t="str">
        <f>+CONCATENATE(ZEUFI037[[#This Row],[Type]],"-",ZEUFI037[[#This Row],[TCode]],"-",ZEUFI037[[#This Row],[CoCd]],"-",ZEUFI037[[#This Row],[DocumentNo]])</f>
        <v>KG-FB01-CY01-4200000963</v>
      </c>
      <c r="E43" s="6" t="s">
        <v>81</v>
      </c>
      <c r="F43" s="6" t="s">
        <v>82</v>
      </c>
      <c r="G43" s="6" t="s">
        <v>104</v>
      </c>
      <c r="H43" s="6" t="s">
        <v>105</v>
      </c>
      <c r="I43" s="6" t="s">
        <v>106</v>
      </c>
      <c r="J43" s="6" t="s">
        <v>65</v>
      </c>
      <c r="K43" s="6" t="s">
        <v>107</v>
      </c>
      <c r="L43" s="6">
        <v>4200000963</v>
      </c>
      <c r="M43" s="132">
        <v>45587</v>
      </c>
      <c r="N43" s="132">
        <v>45587</v>
      </c>
      <c r="O43" s="132">
        <v>45587</v>
      </c>
      <c r="P43" s="6" t="s">
        <v>127</v>
      </c>
      <c r="Q43" s="6"/>
      <c r="R43" s="6"/>
      <c r="S43" s="6">
        <v>57052.98</v>
      </c>
      <c r="T43" s="6">
        <v>0</v>
      </c>
      <c r="U43" s="6">
        <v>1</v>
      </c>
      <c r="V43" s="6">
        <v>50</v>
      </c>
      <c r="W43" s="6">
        <v>5</v>
      </c>
      <c r="X43" s="6">
        <v>1570303001</v>
      </c>
      <c r="Y43" s="6" t="s">
        <v>119</v>
      </c>
      <c r="Z43" s="6">
        <v>0</v>
      </c>
      <c r="AA43" s="6">
        <v>0</v>
      </c>
      <c r="AB43" s="6">
        <v>50250</v>
      </c>
      <c r="AC43" s="6">
        <v>0</v>
      </c>
      <c r="AD43" s="6" t="s">
        <v>131</v>
      </c>
      <c r="AE43" s="6"/>
      <c r="AF43" s="6"/>
      <c r="AG43" s="6"/>
      <c r="AH43" s="6"/>
      <c r="AI43" s="6"/>
      <c r="AJ43" s="6"/>
      <c r="AK43" s="7"/>
      <c r="AL43" s="6"/>
      <c r="AM43" s="6"/>
    </row>
    <row r="44" spans="2:39" x14ac:dyDescent="0.2">
      <c r="B44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4" s="135" t="str">
        <f>+CONCATENATE(ZEUFI037[[#This Row],[Type]],"-",ZEUFI037[[#This Row],[G/L Account]])</f>
        <v>KG-1570303001</v>
      </c>
      <c r="D44" s="136" t="str">
        <f>+CONCATENATE(ZEUFI037[[#This Row],[Type]],"-",ZEUFI037[[#This Row],[TCode]],"-",ZEUFI037[[#This Row],[CoCd]],"-",ZEUFI037[[#This Row],[DocumentNo]])</f>
        <v>KG-FB01-CY01-4200000964</v>
      </c>
      <c r="E44" s="6" t="s">
        <v>81</v>
      </c>
      <c r="F44" s="6" t="s">
        <v>82</v>
      </c>
      <c r="G44" s="6" t="s">
        <v>104</v>
      </c>
      <c r="H44" s="6" t="s">
        <v>105</v>
      </c>
      <c r="I44" s="6" t="s">
        <v>106</v>
      </c>
      <c r="J44" s="6" t="s">
        <v>65</v>
      </c>
      <c r="K44" s="6" t="s">
        <v>107</v>
      </c>
      <c r="L44" s="6">
        <v>4200000964</v>
      </c>
      <c r="M44" s="132">
        <v>45587</v>
      </c>
      <c r="N44" s="132">
        <v>45587</v>
      </c>
      <c r="O44" s="132">
        <v>45587</v>
      </c>
      <c r="P44" s="6" t="s">
        <v>133</v>
      </c>
      <c r="Q44" s="6"/>
      <c r="R44" s="6"/>
      <c r="S44" s="6">
        <v>66390.009999999995</v>
      </c>
      <c r="T44" s="6">
        <v>0</v>
      </c>
      <c r="U44" s="6">
        <v>2</v>
      </c>
      <c r="V44" s="6">
        <v>50</v>
      </c>
      <c r="W44" s="6">
        <v>5</v>
      </c>
      <c r="X44" s="6">
        <v>1570303001</v>
      </c>
      <c r="Y44" s="6" t="s">
        <v>119</v>
      </c>
      <c r="Z44" s="6">
        <v>0</v>
      </c>
      <c r="AA44" s="6">
        <v>0</v>
      </c>
      <c r="AB44" s="6">
        <v>21495.98</v>
      </c>
      <c r="AC44" s="6">
        <v>0</v>
      </c>
      <c r="AD44" s="6" t="s">
        <v>134</v>
      </c>
      <c r="AE44" s="6"/>
      <c r="AF44" s="6"/>
      <c r="AG44" s="6"/>
      <c r="AH44" s="6"/>
      <c r="AI44" s="6"/>
      <c r="AJ44" s="6"/>
      <c r="AK44" s="7"/>
      <c r="AL44" s="6"/>
      <c r="AM44" s="6"/>
    </row>
    <row r="45" spans="2:39" x14ac:dyDescent="0.2">
      <c r="B45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5" s="135" t="str">
        <f>+CONCATENATE(ZEUFI037[[#This Row],[Type]],"-",ZEUFI037[[#This Row],[G/L Account]])</f>
        <v>KG-1570303001</v>
      </c>
      <c r="D45" s="136" t="str">
        <f>+CONCATENATE(ZEUFI037[[#This Row],[Type]],"-",ZEUFI037[[#This Row],[TCode]],"-",ZEUFI037[[#This Row],[CoCd]],"-",ZEUFI037[[#This Row],[DocumentNo]])</f>
        <v>KG-FB01-CY01-4200000964</v>
      </c>
      <c r="E45" s="6" t="s">
        <v>81</v>
      </c>
      <c r="F45" s="6" t="s">
        <v>82</v>
      </c>
      <c r="G45" s="6" t="s">
        <v>104</v>
      </c>
      <c r="H45" s="6" t="s">
        <v>105</v>
      </c>
      <c r="I45" s="6" t="s">
        <v>106</v>
      </c>
      <c r="J45" s="6" t="s">
        <v>65</v>
      </c>
      <c r="K45" s="6" t="s">
        <v>107</v>
      </c>
      <c r="L45" s="6">
        <v>4200000964</v>
      </c>
      <c r="M45" s="132">
        <v>45587</v>
      </c>
      <c r="N45" s="132">
        <v>45587</v>
      </c>
      <c r="O45" s="132">
        <v>45587</v>
      </c>
      <c r="P45" s="6" t="s">
        <v>133</v>
      </c>
      <c r="Q45" s="6"/>
      <c r="R45" s="6"/>
      <c r="S45" s="6">
        <v>66390.009999999995</v>
      </c>
      <c r="T45" s="6">
        <v>0</v>
      </c>
      <c r="U45" s="6">
        <v>1</v>
      </c>
      <c r="V45" s="6">
        <v>50</v>
      </c>
      <c r="W45" s="6">
        <v>5</v>
      </c>
      <c r="X45" s="6">
        <v>1570303001</v>
      </c>
      <c r="Y45" s="6" t="s">
        <v>119</v>
      </c>
      <c r="Z45" s="6">
        <v>0</v>
      </c>
      <c r="AA45" s="6">
        <v>0</v>
      </c>
      <c r="AB45" s="6">
        <v>951.03</v>
      </c>
      <c r="AC45" s="6">
        <v>0</v>
      </c>
      <c r="AD45" s="6" t="s">
        <v>135</v>
      </c>
      <c r="AE45" s="6"/>
      <c r="AF45" s="6"/>
      <c r="AG45" s="6"/>
      <c r="AH45" s="6"/>
      <c r="AI45" s="6"/>
      <c r="AJ45" s="6"/>
      <c r="AK45" s="7"/>
      <c r="AL45" s="6"/>
      <c r="AM45" s="6"/>
    </row>
    <row r="46" spans="2:39" x14ac:dyDescent="0.2">
      <c r="B46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6" s="135" t="str">
        <f>+CONCATENATE(ZEUFI037[[#This Row],[Type]],"-",ZEUFI037[[#This Row],[G/L Account]])</f>
        <v>KG-1570303001</v>
      </c>
      <c r="D46" s="136" t="str">
        <f>+CONCATENATE(ZEUFI037[[#This Row],[Type]],"-",ZEUFI037[[#This Row],[TCode]],"-",ZEUFI037[[#This Row],[CoCd]],"-",ZEUFI037[[#This Row],[DocumentNo]])</f>
        <v>KG-FB01-CY01-4200000964</v>
      </c>
      <c r="E46" s="6" t="s">
        <v>81</v>
      </c>
      <c r="F46" s="6" t="s">
        <v>82</v>
      </c>
      <c r="G46" s="6" t="s">
        <v>104</v>
      </c>
      <c r="H46" s="6" t="s">
        <v>105</v>
      </c>
      <c r="I46" s="6" t="s">
        <v>106</v>
      </c>
      <c r="J46" s="6" t="s">
        <v>65</v>
      </c>
      <c r="K46" s="6" t="s">
        <v>107</v>
      </c>
      <c r="L46" s="6">
        <v>4200000964</v>
      </c>
      <c r="M46" s="132">
        <v>45587</v>
      </c>
      <c r="N46" s="132">
        <v>45587</v>
      </c>
      <c r="O46" s="132">
        <v>45587</v>
      </c>
      <c r="P46" s="6" t="s">
        <v>133</v>
      </c>
      <c r="Q46" s="6"/>
      <c r="R46" s="6"/>
      <c r="S46" s="6">
        <v>66390.009999999995</v>
      </c>
      <c r="T46" s="6">
        <v>0</v>
      </c>
      <c r="U46" s="6">
        <v>3</v>
      </c>
      <c r="V46" s="6">
        <v>50</v>
      </c>
      <c r="W46" s="6">
        <v>5</v>
      </c>
      <c r="X46" s="6">
        <v>1570303001</v>
      </c>
      <c r="Y46" s="6" t="s">
        <v>119</v>
      </c>
      <c r="Z46" s="6">
        <v>0</v>
      </c>
      <c r="AA46" s="6">
        <v>0</v>
      </c>
      <c r="AB46" s="6">
        <v>21495.98</v>
      </c>
      <c r="AC46" s="6">
        <v>0</v>
      </c>
      <c r="AD46" s="6" t="s">
        <v>134</v>
      </c>
      <c r="AE46" s="6"/>
      <c r="AF46" s="6"/>
      <c r="AG46" s="6"/>
      <c r="AH46" s="6"/>
      <c r="AI46" s="6"/>
      <c r="AJ46" s="6"/>
      <c r="AK46" s="7"/>
      <c r="AL46" s="6"/>
      <c r="AM46" s="6"/>
    </row>
    <row r="47" spans="2:39" x14ac:dyDescent="0.2">
      <c r="B47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7" s="135" t="str">
        <f>+CONCATENATE(ZEUFI037[[#This Row],[Type]],"-",ZEUFI037[[#This Row],[G/L Account]])</f>
        <v>KG-1570303001</v>
      </c>
      <c r="D47" s="136" t="str">
        <f>+CONCATENATE(ZEUFI037[[#This Row],[Type]],"-",ZEUFI037[[#This Row],[TCode]],"-",ZEUFI037[[#This Row],[CoCd]],"-",ZEUFI037[[#This Row],[DocumentNo]])</f>
        <v>KG-FB01-CY01-4200000964</v>
      </c>
      <c r="E47" s="6" t="s">
        <v>81</v>
      </c>
      <c r="F47" s="6" t="s">
        <v>82</v>
      </c>
      <c r="G47" s="6" t="s">
        <v>104</v>
      </c>
      <c r="H47" s="6" t="s">
        <v>105</v>
      </c>
      <c r="I47" s="6" t="s">
        <v>106</v>
      </c>
      <c r="J47" s="6" t="s">
        <v>65</v>
      </c>
      <c r="K47" s="6" t="s">
        <v>107</v>
      </c>
      <c r="L47" s="6">
        <v>4200000964</v>
      </c>
      <c r="M47" s="132">
        <v>45587</v>
      </c>
      <c r="N47" s="132">
        <v>45587</v>
      </c>
      <c r="O47" s="132">
        <v>45587</v>
      </c>
      <c r="P47" s="6" t="s">
        <v>133</v>
      </c>
      <c r="Q47" s="6"/>
      <c r="R47" s="6"/>
      <c r="S47" s="6">
        <v>66390.009999999995</v>
      </c>
      <c r="T47" s="6">
        <v>0</v>
      </c>
      <c r="U47" s="6">
        <v>4</v>
      </c>
      <c r="V47" s="6">
        <v>50</v>
      </c>
      <c r="W47" s="6">
        <v>5</v>
      </c>
      <c r="X47" s="6">
        <v>1570303001</v>
      </c>
      <c r="Y47" s="6" t="s">
        <v>119</v>
      </c>
      <c r="Z47" s="6">
        <v>0</v>
      </c>
      <c r="AA47" s="6">
        <v>0</v>
      </c>
      <c r="AB47" s="6">
        <v>21495.98</v>
      </c>
      <c r="AC47" s="6">
        <v>0</v>
      </c>
      <c r="AD47" s="6" t="s">
        <v>134</v>
      </c>
      <c r="AE47" s="6"/>
      <c r="AF47" s="6"/>
      <c r="AG47" s="6"/>
      <c r="AH47" s="6"/>
      <c r="AI47" s="6"/>
      <c r="AJ47" s="6"/>
      <c r="AK47" s="7"/>
      <c r="AL47" s="6"/>
      <c r="AM47" s="6"/>
    </row>
    <row r="48" spans="2:39" x14ac:dyDescent="0.2">
      <c r="B48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8" s="135" t="str">
        <f>+CONCATENATE(ZEUFI037[[#This Row],[Type]],"-",ZEUFI037[[#This Row],[G/L Account]])</f>
        <v>KG-1570303001</v>
      </c>
      <c r="D48" s="136" t="str">
        <f>+CONCATENATE(ZEUFI037[[#This Row],[Type]],"-",ZEUFI037[[#This Row],[TCode]],"-",ZEUFI037[[#This Row],[CoCd]],"-",ZEUFI037[[#This Row],[DocumentNo]])</f>
        <v>KG-FB01-CY01-4200000964</v>
      </c>
      <c r="E48" s="6" t="s">
        <v>81</v>
      </c>
      <c r="F48" s="6" t="s">
        <v>82</v>
      </c>
      <c r="G48" s="6" t="s">
        <v>104</v>
      </c>
      <c r="H48" s="6" t="s">
        <v>105</v>
      </c>
      <c r="I48" s="6" t="s">
        <v>106</v>
      </c>
      <c r="J48" s="6" t="s">
        <v>65</v>
      </c>
      <c r="K48" s="6" t="s">
        <v>107</v>
      </c>
      <c r="L48" s="6">
        <v>4200000964</v>
      </c>
      <c r="M48" s="132">
        <v>45587</v>
      </c>
      <c r="N48" s="132">
        <v>45587</v>
      </c>
      <c r="O48" s="132">
        <v>45587</v>
      </c>
      <c r="P48" s="6" t="s">
        <v>133</v>
      </c>
      <c r="Q48" s="6"/>
      <c r="R48" s="6"/>
      <c r="S48" s="6">
        <v>66390.009999999995</v>
      </c>
      <c r="T48" s="6">
        <v>0</v>
      </c>
      <c r="U48" s="6">
        <v>5</v>
      </c>
      <c r="V48" s="6">
        <v>50</v>
      </c>
      <c r="W48" s="6">
        <v>5</v>
      </c>
      <c r="X48" s="6">
        <v>1570303001</v>
      </c>
      <c r="Y48" s="6" t="s">
        <v>119</v>
      </c>
      <c r="Z48" s="6">
        <v>0</v>
      </c>
      <c r="AA48" s="6">
        <v>0</v>
      </c>
      <c r="AB48" s="6">
        <v>951.04</v>
      </c>
      <c r="AC48" s="6">
        <v>0</v>
      </c>
      <c r="AD48" s="6" t="s">
        <v>135</v>
      </c>
      <c r="AE48" s="6"/>
      <c r="AF48" s="6"/>
      <c r="AG48" s="6"/>
      <c r="AH48" s="6"/>
      <c r="AI48" s="6"/>
      <c r="AJ48" s="6"/>
      <c r="AK48" s="7"/>
      <c r="AL48" s="6"/>
      <c r="AM48" s="6"/>
    </row>
    <row r="49" spans="2:39" x14ac:dyDescent="0.2">
      <c r="B49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49" s="135" t="str">
        <f>+CONCATENATE(ZEUFI037[[#This Row],[Type]],"-",ZEUFI037[[#This Row],[G/L Account]])</f>
        <v>KG-7304908001</v>
      </c>
      <c r="D49" s="136" t="str">
        <f>+CONCATENATE(ZEUFI037[[#This Row],[Type]],"-",ZEUFI037[[#This Row],[TCode]],"-",ZEUFI037[[#This Row],[CoCd]],"-",ZEUFI037[[#This Row],[DocumentNo]])</f>
        <v>KG-FB01-CY01-4200000964</v>
      </c>
      <c r="E49" s="6" t="s">
        <v>81</v>
      </c>
      <c r="F49" s="6" t="s">
        <v>82</v>
      </c>
      <c r="G49" s="6" t="s">
        <v>104</v>
      </c>
      <c r="H49" s="6" t="s">
        <v>105</v>
      </c>
      <c r="I49" s="6" t="s">
        <v>106</v>
      </c>
      <c r="J49" s="6" t="s">
        <v>65</v>
      </c>
      <c r="K49" s="6" t="s">
        <v>107</v>
      </c>
      <c r="L49" s="6">
        <v>4200000964</v>
      </c>
      <c r="M49" s="132">
        <v>45587</v>
      </c>
      <c r="N49" s="132">
        <v>45587</v>
      </c>
      <c r="O49" s="132">
        <v>45587</v>
      </c>
      <c r="P49" s="6" t="s">
        <v>133</v>
      </c>
      <c r="Q49" s="6"/>
      <c r="R49" s="6"/>
      <c r="S49" s="6">
        <v>66390.009999999995</v>
      </c>
      <c r="T49" s="6">
        <v>0</v>
      </c>
      <c r="U49" s="6">
        <v>6</v>
      </c>
      <c r="V49" s="6">
        <v>40</v>
      </c>
      <c r="W49" s="6">
        <v>4</v>
      </c>
      <c r="X49" s="6">
        <v>7304908001</v>
      </c>
      <c r="Y49" s="6" t="s">
        <v>114</v>
      </c>
      <c r="Z49" s="6">
        <v>951.03</v>
      </c>
      <c r="AA49" s="6">
        <v>0</v>
      </c>
      <c r="AB49" s="6">
        <v>0</v>
      </c>
      <c r="AC49" s="6">
        <v>0</v>
      </c>
      <c r="AD49" s="6" t="s">
        <v>135</v>
      </c>
      <c r="AE49" s="6"/>
      <c r="AF49" s="6" t="s">
        <v>116</v>
      </c>
      <c r="AG49" s="6" t="s">
        <v>116</v>
      </c>
      <c r="AH49" s="6"/>
      <c r="AI49" s="6"/>
      <c r="AJ49" s="6"/>
      <c r="AK49" s="7"/>
      <c r="AL49" s="6"/>
      <c r="AM49" s="6"/>
    </row>
    <row r="50" spans="2:39" x14ac:dyDescent="0.2">
      <c r="B50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0" s="135" t="str">
        <f>+CONCATENATE(ZEUFI037[[#This Row],[Type]],"-",ZEUFI037[[#This Row],[G/L Account]])</f>
        <v>KG-7304908001</v>
      </c>
      <c r="D50" s="136" t="str">
        <f>+CONCATENATE(ZEUFI037[[#This Row],[Type]],"-",ZEUFI037[[#This Row],[TCode]],"-",ZEUFI037[[#This Row],[CoCd]],"-",ZEUFI037[[#This Row],[DocumentNo]])</f>
        <v>KG-FB01-CY01-4200000964</v>
      </c>
      <c r="E50" s="6" t="s">
        <v>81</v>
      </c>
      <c r="F50" s="6" t="s">
        <v>82</v>
      </c>
      <c r="G50" s="6" t="s">
        <v>104</v>
      </c>
      <c r="H50" s="6" t="s">
        <v>105</v>
      </c>
      <c r="I50" s="6" t="s">
        <v>106</v>
      </c>
      <c r="J50" s="6" t="s">
        <v>65</v>
      </c>
      <c r="K50" s="6" t="s">
        <v>107</v>
      </c>
      <c r="L50" s="6">
        <v>4200000964</v>
      </c>
      <c r="M50" s="132">
        <v>45587</v>
      </c>
      <c r="N50" s="132">
        <v>45587</v>
      </c>
      <c r="O50" s="132">
        <v>45587</v>
      </c>
      <c r="P50" s="6" t="s">
        <v>133</v>
      </c>
      <c r="Q50" s="6"/>
      <c r="R50" s="6"/>
      <c r="S50" s="6">
        <v>66390.009999999995</v>
      </c>
      <c r="T50" s="6">
        <v>0</v>
      </c>
      <c r="U50" s="6">
        <v>7</v>
      </c>
      <c r="V50" s="6">
        <v>40</v>
      </c>
      <c r="W50" s="6">
        <v>4</v>
      </c>
      <c r="X50" s="6">
        <v>7304908001</v>
      </c>
      <c r="Y50" s="6" t="s">
        <v>114</v>
      </c>
      <c r="Z50" s="6">
        <v>21495.98</v>
      </c>
      <c r="AA50" s="6">
        <v>0</v>
      </c>
      <c r="AB50" s="6">
        <v>0</v>
      </c>
      <c r="AC50" s="6">
        <v>0</v>
      </c>
      <c r="AD50" s="6" t="s">
        <v>134</v>
      </c>
      <c r="AE50" s="6"/>
      <c r="AF50" s="6" t="s">
        <v>136</v>
      </c>
      <c r="AG50" s="6" t="s">
        <v>136</v>
      </c>
      <c r="AH50" s="6"/>
      <c r="AI50" s="6"/>
      <c r="AJ50" s="6"/>
      <c r="AK50" s="7"/>
      <c r="AL50" s="6"/>
      <c r="AM50" s="6"/>
    </row>
    <row r="51" spans="2:39" x14ac:dyDescent="0.2">
      <c r="B51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1" s="135" t="str">
        <f>+CONCATENATE(ZEUFI037[[#This Row],[Type]],"-",ZEUFI037[[#This Row],[G/L Account]])</f>
        <v>KG-7304908001</v>
      </c>
      <c r="D51" s="136" t="str">
        <f>+CONCATENATE(ZEUFI037[[#This Row],[Type]],"-",ZEUFI037[[#This Row],[TCode]],"-",ZEUFI037[[#This Row],[CoCd]],"-",ZEUFI037[[#This Row],[DocumentNo]])</f>
        <v>KG-FB01-CY01-4200000964</v>
      </c>
      <c r="E51" s="6" t="s">
        <v>81</v>
      </c>
      <c r="F51" s="6" t="s">
        <v>82</v>
      </c>
      <c r="G51" s="6" t="s">
        <v>104</v>
      </c>
      <c r="H51" s="6" t="s">
        <v>105</v>
      </c>
      <c r="I51" s="6" t="s">
        <v>106</v>
      </c>
      <c r="J51" s="6" t="s">
        <v>65</v>
      </c>
      <c r="K51" s="6" t="s">
        <v>107</v>
      </c>
      <c r="L51" s="6">
        <v>4200000964</v>
      </c>
      <c r="M51" s="132">
        <v>45587</v>
      </c>
      <c r="N51" s="132">
        <v>45587</v>
      </c>
      <c r="O51" s="132">
        <v>45587</v>
      </c>
      <c r="P51" s="6" t="s">
        <v>133</v>
      </c>
      <c r="Q51" s="6"/>
      <c r="R51" s="6"/>
      <c r="S51" s="6">
        <v>66390.009999999995</v>
      </c>
      <c r="T51" s="6">
        <v>0</v>
      </c>
      <c r="U51" s="6">
        <v>8</v>
      </c>
      <c r="V51" s="6">
        <v>40</v>
      </c>
      <c r="W51" s="6">
        <v>4</v>
      </c>
      <c r="X51" s="6">
        <v>7304908001</v>
      </c>
      <c r="Y51" s="6" t="s">
        <v>114</v>
      </c>
      <c r="Z51" s="6">
        <v>21495.98</v>
      </c>
      <c r="AA51" s="6">
        <v>0</v>
      </c>
      <c r="AB51" s="6">
        <v>0</v>
      </c>
      <c r="AC51" s="6">
        <v>0</v>
      </c>
      <c r="AD51" s="6" t="s">
        <v>134</v>
      </c>
      <c r="AE51" s="6"/>
      <c r="AF51" s="6" t="s">
        <v>137</v>
      </c>
      <c r="AG51" s="6" t="s">
        <v>137</v>
      </c>
      <c r="AH51" s="6"/>
      <c r="AI51" s="6"/>
      <c r="AJ51" s="6"/>
      <c r="AK51" s="7"/>
      <c r="AL51" s="6"/>
      <c r="AM51" s="6"/>
    </row>
    <row r="52" spans="2:39" x14ac:dyDescent="0.2">
      <c r="B52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2" s="135" t="str">
        <f>+CONCATENATE(ZEUFI037[[#This Row],[Type]],"-",ZEUFI037[[#This Row],[G/L Account]])</f>
        <v>KG-7304908001</v>
      </c>
      <c r="D52" s="136" t="str">
        <f>+CONCATENATE(ZEUFI037[[#This Row],[Type]],"-",ZEUFI037[[#This Row],[TCode]],"-",ZEUFI037[[#This Row],[CoCd]],"-",ZEUFI037[[#This Row],[DocumentNo]])</f>
        <v>KG-FB01-CY01-4200000964</v>
      </c>
      <c r="E52" s="6" t="s">
        <v>81</v>
      </c>
      <c r="F52" s="6" t="s">
        <v>82</v>
      </c>
      <c r="G52" s="6" t="s">
        <v>104</v>
      </c>
      <c r="H52" s="6" t="s">
        <v>105</v>
      </c>
      <c r="I52" s="6" t="s">
        <v>106</v>
      </c>
      <c r="J52" s="6" t="s">
        <v>65</v>
      </c>
      <c r="K52" s="6" t="s">
        <v>107</v>
      </c>
      <c r="L52" s="6">
        <v>4200000964</v>
      </c>
      <c r="M52" s="132">
        <v>45587</v>
      </c>
      <c r="N52" s="132">
        <v>45587</v>
      </c>
      <c r="O52" s="132">
        <v>45587</v>
      </c>
      <c r="P52" s="6" t="s">
        <v>133</v>
      </c>
      <c r="Q52" s="6"/>
      <c r="R52" s="6"/>
      <c r="S52" s="6">
        <v>66390.009999999995</v>
      </c>
      <c r="T52" s="6">
        <v>0</v>
      </c>
      <c r="U52" s="6">
        <v>9</v>
      </c>
      <c r="V52" s="6">
        <v>40</v>
      </c>
      <c r="W52" s="6">
        <v>4</v>
      </c>
      <c r="X52" s="6">
        <v>7304908001</v>
      </c>
      <c r="Y52" s="6" t="s">
        <v>114</v>
      </c>
      <c r="Z52" s="6">
        <v>21495.98</v>
      </c>
      <c r="AA52" s="6">
        <v>0</v>
      </c>
      <c r="AB52" s="6">
        <v>0</v>
      </c>
      <c r="AC52" s="6">
        <v>0</v>
      </c>
      <c r="AD52" s="6" t="s">
        <v>134</v>
      </c>
      <c r="AE52" s="6"/>
      <c r="AF52" s="6" t="s">
        <v>138</v>
      </c>
      <c r="AG52" s="6" t="s">
        <v>138</v>
      </c>
      <c r="AH52" s="6"/>
      <c r="AI52" s="6"/>
      <c r="AJ52" s="6"/>
      <c r="AK52" s="7"/>
      <c r="AL52" s="6"/>
      <c r="AM52" s="6"/>
    </row>
    <row r="53" spans="2:39" x14ac:dyDescent="0.2">
      <c r="B53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3" s="135" t="str">
        <f>+CONCATENATE(ZEUFI037[[#This Row],[Type]],"-",ZEUFI037[[#This Row],[G/L Account]])</f>
        <v>KG-7304908001</v>
      </c>
      <c r="D53" s="136" t="str">
        <f>+CONCATENATE(ZEUFI037[[#This Row],[Type]],"-",ZEUFI037[[#This Row],[TCode]],"-",ZEUFI037[[#This Row],[CoCd]],"-",ZEUFI037[[#This Row],[DocumentNo]])</f>
        <v>KG-FB01-CY01-4200000964</v>
      </c>
      <c r="E53" s="6" t="s">
        <v>81</v>
      </c>
      <c r="F53" s="6" t="s">
        <v>82</v>
      </c>
      <c r="G53" s="6" t="s">
        <v>104</v>
      </c>
      <c r="H53" s="6" t="s">
        <v>105</v>
      </c>
      <c r="I53" s="6" t="s">
        <v>106</v>
      </c>
      <c r="J53" s="6" t="s">
        <v>65</v>
      </c>
      <c r="K53" s="6" t="s">
        <v>107</v>
      </c>
      <c r="L53" s="6">
        <v>4200000964</v>
      </c>
      <c r="M53" s="132">
        <v>45587</v>
      </c>
      <c r="N53" s="132">
        <v>45587</v>
      </c>
      <c r="O53" s="132">
        <v>45587</v>
      </c>
      <c r="P53" s="6" t="s">
        <v>133</v>
      </c>
      <c r="Q53" s="6"/>
      <c r="R53" s="6"/>
      <c r="S53" s="6">
        <v>66390.009999999995</v>
      </c>
      <c r="T53" s="6">
        <v>0</v>
      </c>
      <c r="U53" s="6">
        <v>10</v>
      </c>
      <c r="V53" s="6">
        <v>40</v>
      </c>
      <c r="W53" s="6">
        <v>4</v>
      </c>
      <c r="X53" s="6">
        <v>7304908001</v>
      </c>
      <c r="Y53" s="6" t="s">
        <v>114</v>
      </c>
      <c r="Z53" s="6">
        <v>951.04</v>
      </c>
      <c r="AA53" s="6">
        <v>0</v>
      </c>
      <c r="AB53" s="6">
        <v>0</v>
      </c>
      <c r="AC53" s="6">
        <v>0</v>
      </c>
      <c r="AD53" s="6" t="s">
        <v>135</v>
      </c>
      <c r="AE53" s="6"/>
      <c r="AF53" s="6" t="s">
        <v>115</v>
      </c>
      <c r="AG53" s="6" t="s">
        <v>115</v>
      </c>
      <c r="AH53" s="6"/>
      <c r="AI53" s="6"/>
      <c r="AJ53" s="6"/>
      <c r="AK53" s="7"/>
      <c r="AL53" s="6"/>
      <c r="AM53" s="6"/>
    </row>
    <row r="54" spans="2:39" x14ac:dyDescent="0.2">
      <c r="B54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4" s="135" t="str">
        <f>+CONCATENATE(ZEUFI037[[#This Row],[Type]],"-",ZEUFI037[[#This Row],[G/L Account]])</f>
        <v>KG-1570303001</v>
      </c>
      <c r="D54" s="136" t="str">
        <f>+CONCATENATE(ZEUFI037[[#This Row],[Type]],"-",ZEUFI037[[#This Row],[TCode]],"-",ZEUFI037[[#This Row],[CoCd]],"-",ZEUFI037[[#This Row],[DocumentNo]])</f>
        <v>KG-FB01-CY01-4200000965</v>
      </c>
      <c r="E54" s="6" t="s">
        <v>81</v>
      </c>
      <c r="F54" s="6" t="s">
        <v>82</v>
      </c>
      <c r="G54" s="6" t="s">
        <v>104</v>
      </c>
      <c r="H54" s="6" t="s">
        <v>105</v>
      </c>
      <c r="I54" s="6" t="s">
        <v>106</v>
      </c>
      <c r="J54" s="6" t="s">
        <v>65</v>
      </c>
      <c r="K54" s="6" t="s">
        <v>107</v>
      </c>
      <c r="L54" s="6">
        <v>4200000965</v>
      </c>
      <c r="M54" s="132">
        <v>45587</v>
      </c>
      <c r="N54" s="132">
        <v>45587</v>
      </c>
      <c r="O54" s="132">
        <v>45587</v>
      </c>
      <c r="P54" s="6"/>
      <c r="Q54" s="6"/>
      <c r="R54" s="6"/>
      <c r="S54" s="6">
        <v>30553.279999999999</v>
      </c>
      <c r="T54" s="6">
        <v>0</v>
      </c>
      <c r="U54" s="6">
        <v>1</v>
      </c>
      <c r="V54" s="6">
        <v>50</v>
      </c>
      <c r="W54" s="6">
        <v>5</v>
      </c>
      <c r="X54" s="6">
        <v>1570303001</v>
      </c>
      <c r="Y54" s="6" t="s">
        <v>119</v>
      </c>
      <c r="Z54" s="6">
        <v>0</v>
      </c>
      <c r="AA54" s="6">
        <v>0</v>
      </c>
      <c r="AB54" s="6">
        <v>30553.279999999999</v>
      </c>
      <c r="AC54" s="6">
        <v>0</v>
      </c>
      <c r="AD54" s="6" t="s">
        <v>139</v>
      </c>
      <c r="AE54" s="6"/>
      <c r="AF54" s="6"/>
      <c r="AG54" s="6"/>
      <c r="AH54" s="6"/>
      <c r="AI54" s="6"/>
      <c r="AJ54" s="6"/>
      <c r="AK54" s="7"/>
      <c r="AL54" s="6"/>
      <c r="AM54" s="6"/>
    </row>
    <row r="55" spans="2:39" x14ac:dyDescent="0.2">
      <c r="B55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5" s="135" t="str">
        <f>+CONCATENATE(ZEUFI037[[#This Row],[Type]],"-",ZEUFI037[[#This Row],[G/L Account]])</f>
        <v>KG-1570404001</v>
      </c>
      <c r="D55" s="136" t="str">
        <f>+CONCATENATE(ZEUFI037[[#This Row],[Type]],"-",ZEUFI037[[#This Row],[TCode]],"-",ZEUFI037[[#This Row],[CoCd]],"-",ZEUFI037[[#This Row],[DocumentNo]])</f>
        <v>KG-FB01-CY01-4200000965</v>
      </c>
      <c r="E55" s="6" t="s">
        <v>81</v>
      </c>
      <c r="F55" s="6" t="s">
        <v>82</v>
      </c>
      <c r="G55" s="6" t="s">
        <v>104</v>
      </c>
      <c r="H55" s="6" t="s">
        <v>105</v>
      </c>
      <c r="I55" s="6" t="s">
        <v>106</v>
      </c>
      <c r="J55" s="6" t="s">
        <v>65</v>
      </c>
      <c r="K55" s="6" t="s">
        <v>107</v>
      </c>
      <c r="L55" s="6">
        <v>4200000965</v>
      </c>
      <c r="M55" s="132">
        <v>45587</v>
      </c>
      <c r="N55" s="132">
        <v>45587</v>
      </c>
      <c r="O55" s="132">
        <v>45587</v>
      </c>
      <c r="P55" s="6"/>
      <c r="Q55" s="6"/>
      <c r="R55" s="6"/>
      <c r="S55" s="6">
        <v>30553.279999999999</v>
      </c>
      <c r="T55" s="6">
        <v>0</v>
      </c>
      <c r="U55" s="6">
        <v>2</v>
      </c>
      <c r="V55" s="6">
        <v>40</v>
      </c>
      <c r="W55" s="6">
        <v>4</v>
      </c>
      <c r="X55" s="6">
        <v>1570404001</v>
      </c>
      <c r="Y55" s="6" t="s">
        <v>109</v>
      </c>
      <c r="Z55" s="6">
        <v>30553.279999999999</v>
      </c>
      <c r="AA55" s="6">
        <v>0</v>
      </c>
      <c r="AB55" s="6">
        <v>0</v>
      </c>
      <c r="AC55" s="6">
        <v>0</v>
      </c>
      <c r="AD55" s="6" t="s">
        <v>139</v>
      </c>
      <c r="AE55" s="6"/>
      <c r="AF55" s="6"/>
      <c r="AG55" s="6"/>
      <c r="AH55" s="6"/>
      <c r="AI55" s="6"/>
      <c r="AJ55" s="6"/>
      <c r="AK55" s="7"/>
      <c r="AL55" s="6"/>
      <c r="AM55" s="6"/>
    </row>
    <row r="56" spans="2:39" x14ac:dyDescent="0.2">
      <c r="B56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6" s="135" t="str">
        <f>+CONCATENATE(ZEUFI037[[#This Row],[Type]],"-",ZEUFI037[[#This Row],[G/L Account]])</f>
        <v>KG-1570404001</v>
      </c>
      <c r="D56" s="136" t="str">
        <f>+CONCATENATE(ZEUFI037[[#This Row],[Type]],"-",ZEUFI037[[#This Row],[TCode]],"-",ZEUFI037[[#This Row],[CoCd]],"-",ZEUFI037[[#This Row],[DocumentNo]])</f>
        <v>KG-FB01-CY01-4200000966</v>
      </c>
      <c r="E56" s="6" t="s">
        <v>81</v>
      </c>
      <c r="F56" s="6" t="s">
        <v>82</v>
      </c>
      <c r="G56" s="6" t="s">
        <v>104</v>
      </c>
      <c r="H56" s="6" t="s">
        <v>105</v>
      </c>
      <c r="I56" s="6" t="s">
        <v>106</v>
      </c>
      <c r="J56" s="6" t="s">
        <v>65</v>
      </c>
      <c r="K56" s="6" t="s">
        <v>107</v>
      </c>
      <c r="L56" s="6">
        <v>4200000966</v>
      </c>
      <c r="M56" s="132">
        <v>45587</v>
      </c>
      <c r="N56" s="132">
        <v>45587</v>
      </c>
      <c r="O56" s="132">
        <v>45587</v>
      </c>
      <c r="P56" s="6" t="s">
        <v>140</v>
      </c>
      <c r="Q56" s="6"/>
      <c r="R56" s="6"/>
      <c r="S56" s="6">
        <v>4000</v>
      </c>
      <c r="T56" s="6">
        <v>0</v>
      </c>
      <c r="U56" s="6">
        <v>1</v>
      </c>
      <c r="V56" s="6">
        <v>40</v>
      </c>
      <c r="W56" s="6">
        <v>4</v>
      </c>
      <c r="X56" s="6">
        <v>1570404001</v>
      </c>
      <c r="Y56" s="6" t="s">
        <v>109</v>
      </c>
      <c r="Z56" s="6">
        <v>4000</v>
      </c>
      <c r="AA56" s="6">
        <v>0</v>
      </c>
      <c r="AB56" s="6">
        <v>0</v>
      </c>
      <c r="AC56" s="6">
        <v>0</v>
      </c>
      <c r="AD56" s="6" t="s">
        <v>141</v>
      </c>
      <c r="AE56" s="6"/>
      <c r="AF56" s="6"/>
      <c r="AG56" s="6"/>
      <c r="AH56" s="6"/>
      <c r="AI56" s="6"/>
      <c r="AJ56" s="6"/>
      <c r="AK56" s="7"/>
      <c r="AL56" s="6"/>
      <c r="AM56" s="6"/>
    </row>
    <row r="57" spans="2:39" x14ac:dyDescent="0.2">
      <c r="B57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7" s="135" t="str">
        <f>+CONCATENATE(ZEUFI037[[#This Row],[Type]],"-",ZEUFI037[[#This Row],[G/L Account]])</f>
        <v>KG-6790401001</v>
      </c>
      <c r="D57" s="136" t="str">
        <f>+CONCATENATE(ZEUFI037[[#This Row],[Type]],"-",ZEUFI037[[#This Row],[TCode]],"-",ZEUFI037[[#This Row],[CoCd]],"-",ZEUFI037[[#This Row],[DocumentNo]])</f>
        <v>KG-FB01-CY01-4200000966</v>
      </c>
      <c r="E57" s="6" t="s">
        <v>81</v>
      </c>
      <c r="F57" s="6" t="s">
        <v>82</v>
      </c>
      <c r="G57" s="6" t="s">
        <v>104</v>
      </c>
      <c r="H57" s="6" t="s">
        <v>105</v>
      </c>
      <c r="I57" s="6" t="s">
        <v>106</v>
      </c>
      <c r="J57" s="6" t="s">
        <v>65</v>
      </c>
      <c r="K57" s="6" t="s">
        <v>107</v>
      </c>
      <c r="L57" s="6">
        <v>4200000966</v>
      </c>
      <c r="M57" s="132">
        <v>45587</v>
      </c>
      <c r="N57" s="132">
        <v>45587</v>
      </c>
      <c r="O57" s="132">
        <v>45587</v>
      </c>
      <c r="P57" s="6" t="s">
        <v>140</v>
      </c>
      <c r="Q57" s="6"/>
      <c r="R57" s="6"/>
      <c r="S57" s="6">
        <v>4000</v>
      </c>
      <c r="T57" s="6">
        <v>0</v>
      </c>
      <c r="U57" s="6">
        <v>2</v>
      </c>
      <c r="V57" s="6">
        <v>50</v>
      </c>
      <c r="W57" s="6">
        <v>5</v>
      </c>
      <c r="X57" s="6">
        <v>6790401001</v>
      </c>
      <c r="Y57" s="6" t="s">
        <v>142</v>
      </c>
      <c r="Z57" s="6">
        <v>0</v>
      </c>
      <c r="AA57" s="6">
        <v>0</v>
      </c>
      <c r="AB57" s="6">
        <v>4000</v>
      </c>
      <c r="AC57" s="6">
        <v>0</v>
      </c>
      <c r="AD57" s="6" t="s">
        <v>141</v>
      </c>
      <c r="AE57" s="6"/>
      <c r="AF57" s="6"/>
      <c r="AG57" s="6" t="s">
        <v>143</v>
      </c>
      <c r="AH57" s="6"/>
      <c r="AI57" s="6"/>
      <c r="AJ57" s="6"/>
      <c r="AK57" s="7"/>
      <c r="AL57" s="6"/>
      <c r="AM57" s="6"/>
    </row>
    <row r="58" spans="2:39" x14ac:dyDescent="0.2">
      <c r="B58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8" s="135" t="str">
        <f>+CONCATENATE(ZEUFI037[[#This Row],[Type]],"-",ZEUFI037[[#This Row],[G/L Account]])</f>
        <v>KG-1570404001</v>
      </c>
      <c r="D58" s="136" t="str">
        <f>+CONCATENATE(ZEUFI037[[#This Row],[Type]],"-",ZEUFI037[[#This Row],[TCode]],"-",ZEUFI037[[#This Row],[CoCd]],"-",ZEUFI037[[#This Row],[DocumentNo]])</f>
        <v>KG-FB01-CY01-4200000967</v>
      </c>
      <c r="E58" s="6" t="s">
        <v>81</v>
      </c>
      <c r="F58" s="6" t="s">
        <v>82</v>
      </c>
      <c r="G58" s="6" t="s">
        <v>104</v>
      </c>
      <c r="H58" s="6" t="s">
        <v>105</v>
      </c>
      <c r="I58" s="6" t="s">
        <v>106</v>
      </c>
      <c r="J58" s="6" t="s">
        <v>65</v>
      </c>
      <c r="K58" s="6" t="s">
        <v>107</v>
      </c>
      <c r="L58" s="6">
        <v>4200000967</v>
      </c>
      <c r="M58" s="132">
        <v>45587</v>
      </c>
      <c r="N58" s="132">
        <v>45587</v>
      </c>
      <c r="O58" s="132">
        <v>45587</v>
      </c>
      <c r="P58" s="6" t="s">
        <v>144</v>
      </c>
      <c r="Q58" s="6"/>
      <c r="R58" s="6"/>
      <c r="S58" s="6">
        <v>7116.79</v>
      </c>
      <c r="T58" s="6">
        <v>0</v>
      </c>
      <c r="U58" s="6">
        <v>1</v>
      </c>
      <c r="V58" s="6">
        <v>40</v>
      </c>
      <c r="W58" s="6">
        <v>4</v>
      </c>
      <c r="X58" s="6">
        <v>1570404001</v>
      </c>
      <c r="Y58" s="6" t="s">
        <v>109</v>
      </c>
      <c r="Z58" s="6">
        <v>7116.79</v>
      </c>
      <c r="AA58" s="6">
        <v>0</v>
      </c>
      <c r="AB58" s="6">
        <v>0</v>
      </c>
      <c r="AC58" s="6">
        <v>0</v>
      </c>
      <c r="AD58" s="6" t="s">
        <v>144</v>
      </c>
      <c r="AE58" s="6"/>
      <c r="AF58" s="6"/>
      <c r="AG58" s="6"/>
      <c r="AH58" s="6"/>
      <c r="AI58" s="6"/>
      <c r="AJ58" s="6"/>
      <c r="AK58" s="7"/>
      <c r="AL58" s="6"/>
      <c r="AM58" s="6"/>
    </row>
    <row r="59" spans="2:39" x14ac:dyDescent="0.2">
      <c r="B59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59" s="135" t="str">
        <f>+CONCATENATE(ZEUFI037[[#This Row],[Type]],"-",ZEUFI037[[#This Row],[G/L Account]])</f>
        <v>KG-7703201001</v>
      </c>
      <c r="D59" s="136" t="str">
        <f>+CONCATENATE(ZEUFI037[[#This Row],[Type]],"-",ZEUFI037[[#This Row],[TCode]],"-",ZEUFI037[[#This Row],[CoCd]],"-",ZEUFI037[[#This Row],[DocumentNo]])</f>
        <v>KG-FB01-CY01-4200000967</v>
      </c>
      <c r="E59" s="6" t="s">
        <v>81</v>
      </c>
      <c r="F59" s="6" t="s">
        <v>82</v>
      </c>
      <c r="G59" s="6" t="s">
        <v>104</v>
      </c>
      <c r="H59" s="6" t="s">
        <v>105</v>
      </c>
      <c r="I59" s="6" t="s">
        <v>106</v>
      </c>
      <c r="J59" s="6" t="s">
        <v>65</v>
      </c>
      <c r="K59" s="6" t="s">
        <v>107</v>
      </c>
      <c r="L59" s="6">
        <v>4200000967</v>
      </c>
      <c r="M59" s="132">
        <v>45587</v>
      </c>
      <c r="N59" s="132">
        <v>45587</v>
      </c>
      <c r="O59" s="132">
        <v>45587</v>
      </c>
      <c r="P59" s="6" t="s">
        <v>144</v>
      </c>
      <c r="Q59" s="6"/>
      <c r="R59" s="6"/>
      <c r="S59" s="6">
        <v>7116.79</v>
      </c>
      <c r="T59" s="6">
        <v>0</v>
      </c>
      <c r="U59" s="6">
        <v>2</v>
      </c>
      <c r="V59" s="6">
        <v>50</v>
      </c>
      <c r="W59" s="6">
        <v>5</v>
      </c>
      <c r="X59" s="6">
        <v>7703201001</v>
      </c>
      <c r="Y59" s="6" t="s">
        <v>145</v>
      </c>
      <c r="Z59" s="6">
        <v>0</v>
      </c>
      <c r="AA59" s="6">
        <v>0</v>
      </c>
      <c r="AB59" s="6">
        <v>7116.79</v>
      </c>
      <c r="AC59" s="6">
        <v>0</v>
      </c>
      <c r="AD59" s="6" t="s">
        <v>144</v>
      </c>
      <c r="AE59" s="6"/>
      <c r="AF59" s="6" t="s">
        <v>146</v>
      </c>
      <c r="AG59" s="6" t="s">
        <v>146</v>
      </c>
      <c r="AH59" s="6"/>
      <c r="AI59" s="6"/>
      <c r="AJ59" s="6"/>
      <c r="AK59" s="7"/>
      <c r="AL59" s="6"/>
      <c r="AM59" s="6"/>
    </row>
    <row r="60" spans="2:39" x14ac:dyDescent="0.2">
      <c r="B60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60" s="135" t="str">
        <f>+CONCATENATE(ZEUFI037[[#This Row],[Type]],"-",ZEUFI037[[#This Row],[G/L Account]])</f>
        <v>DF-6790909001</v>
      </c>
      <c r="D60" s="136" t="str">
        <f>+CONCATENATE(ZEUFI037[[#This Row],[Type]],"-",ZEUFI037[[#This Row],[TCode]],"-",ZEUFI037[[#This Row],[CoCd]],"-",ZEUFI037[[#This Row],[DocumentNo]])</f>
        <v>DF-FB1D-YY01-2500001216</v>
      </c>
      <c r="E60" s="6" t="s">
        <v>147</v>
      </c>
      <c r="F60" s="6" t="s">
        <v>82</v>
      </c>
      <c r="G60" s="6" t="s">
        <v>148</v>
      </c>
      <c r="H60" s="6" t="s">
        <v>84</v>
      </c>
      <c r="I60" s="6" t="s">
        <v>85</v>
      </c>
      <c r="J60" s="6" t="s">
        <v>64</v>
      </c>
      <c r="K60" s="6" t="s">
        <v>86</v>
      </c>
      <c r="L60" s="6">
        <v>2500001216</v>
      </c>
      <c r="M60" s="132">
        <v>45596</v>
      </c>
      <c r="N60" s="132">
        <v>45600</v>
      </c>
      <c r="O60" s="132">
        <v>45596</v>
      </c>
      <c r="P60" s="6"/>
      <c r="Q60" s="6"/>
      <c r="R60" s="6"/>
      <c r="S60" s="6">
        <v>578.80999999999995</v>
      </c>
      <c r="T60" s="6">
        <v>0</v>
      </c>
      <c r="U60" s="6">
        <v>1</v>
      </c>
      <c r="V60" s="6">
        <v>50</v>
      </c>
      <c r="W60" s="6">
        <v>5</v>
      </c>
      <c r="X60" s="6">
        <v>6790909001</v>
      </c>
      <c r="Y60" s="6" t="s">
        <v>149</v>
      </c>
      <c r="Z60" s="6">
        <v>0</v>
      </c>
      <c r="AA60" s="6">
        <v>0</v>
      </c>
      <c r="AB60" s="6">
        <v>578.80999999999995</v>
      </c>
      <c r="AC60" s="6">
        <v>0</v>
      </c>
      <c r="AD60" s="6" t="s">
        <v>150</v>
      </c>
      <c r="AE60" s="6"/>
      <c r="AF60" s="6"/>
      <c r="AG60" s="6" t="s">
        <v>151</v>
      </c>
      <c r="AH60" s="6"/>
      <c r="AI60" s="6"/>
      <c r="AJ60" s="6"/>
      <c r="AK60" s="7"/>
      <c r="AL60" s="6"/>
      <c r="AM60" s="6"/>
    </row>
    <row r="61" spans="2:39" x14ac:dyDescent="0.2">
      <c r="B61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Under Control</v>
      </c>
      <c r="C61" s="135" t="str">
        <f>+CONCATENATE(ZEUFI037[[#This Row],[Type]],"-",ZEUFI037[[#This Row],[G/L Account]])</f>
        <v>DF-1200101001</v>
      </c>
      <c r="D61" s="136" t="str">
        <f>+CONCATENATE(ZEUFI037[[#This Row],[Type]],"-",ZEUFI037[[#This Row],[TCode]],"-",ZEUFI037[[#This Row],[CoCd]],"-",ZEUFI037[[#This Row],[DocumentNo]])</f>
        <v>DF-FB1D-YY01-2500001216</v>
      </c>
      <c r="E61" s="6" t="s">
        <v>147</v>
      </c>
      <c r="F61" s="6" t="s">
        <v>82</v>
      </c>
      <c r="G61" s="6" t="s">
        <v>148</v>
      </c>
      <c r="H61" s="6" t="s">
        <v>84</v>
      </c>
      <c r="I61" s="6" t="s">
        <v>85</v>
      </c>
      <c r="J61" s="6" t="s">
        <v>64</v>
      </c>
      <c r="K61" s="6" t="s">
        <v>86</v>
      </c>
      <c r="L61" s="6">
        <v>2500001216</v>
      </c>
      <c r="M61" s="132">
        <v>45596</v>
      </c>
      <c r="N61" s="132">
        <v>45600</v>
      </c>
      <c r="O61" s="132">
        <v>45596</v>
      </c>
      <c r="P61" s="6"/>
      <c r="Q61" s="6"/>
      <c r="R61" s="6"/>
      <c r="S61" s="6">
        <v>578.80999999999995</v>
      </c>
      <c r="T61" s="6">
        <v>0</v>
      </c>
      <c r="U61" s="6">
        <v>2</v>
      </c>
      <c r="V61" s="6">
        <v>7</v>
      </c>
      <c r="W61" s="6">
        <v>0</v>
      </c>
      <c r="X61" s="6">
        <v>1200101001</v>
      </c>
      <c r="Y61" s="6" t="s">
        <v>103</v>
      </c>
      <c r="Z61" s="6">
        <v>578.80999999999995</v>
      </c>
      <c r="AA61" s="6">
        <v>0</v>
      </c>
      <c r="AB61" s="6">
        <v>0</v>
      </c>
      <c r="AC61" s="6">
        <v>0</v>
      </c>
      <c r="AD61" s="6"/>
      <c r="AE61" s="6"/>
      <c r="AF61" s="6"/>
      <c r="AG61" s="6"/>
      <c r="AH61" s="6"/>
      <c r="AI61" s="6"/>
      <c r="AJ61" s="6"/>
      <c r="AK61" s="7"/>
      <c r="AL61" s="6">
        <v>3000010</v>
      </c>
      <c r="AM61" s="6" t="s">
        <v>152</v>
      </c>
    </row>
    <row r="62" spans="2:39" x14ac:dyDescent="0.2">
      <c r="B62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Under Control</v>
      </c>
      <c r="C62" s="135" t="str">
        <f>+CONCATENATE(ZEUFI037[[#This Row],[Type]],"-",ZEUFI037[[#This Row],[G/L Account]])</f>
        <v>DF-1200101001</v>
      </c>
      <c r="D62" s="136" t="str">
        <f>+CONCATENATE(ZEUFI037[[#This Row],[Type]],"-",ZEUFI037[[#This Row],[TCode]],"-",ZEUFI037[[#This Row],[CoCd]],"-",ZEUFI037[[#This Row],[DocumentNo]])</f>
        <v>DF-FB1D-YY01-2500001219</v>
      </c>
      <c r="E62" s="6" t="s">
        <v>147</v>
      </c>
      <c r="F62" s="6" t="s">
        <v>98</v>
      </c>
      <c r="G62" s="6" t="s">
        <v>99</v>
      </c>
      <c r="H62" s="6" t="s">
        <v>84</v>
      </c>
      <c r="I62" s="6" t="s">
        <v>85</v>
      </c>
      <c r="J62" s="6" t="s">
        <v>64</v>
      </c>
      <c r="K62" s="6" t="s">
        <v>86</v>
      </c>
      <c r="L62" s="6">
        <v>2500001219</v>
      </c>
      <c r="M62" s="132">
        <v>45596</v>
      </c>
      <c r="N62" s="132">
        <v>45600</v>
      </c>
      <c r="O62" s="132">
        <v>45596</v>
      </c>
      <c r="P62" s="6"/>
      <c r="Q62" s="6"/>
      <c r="R62" s="6"/>
      <c r="S62" s="6">
        <v>1821807.05</v>
      </c>
      <c r="T62" s="6">
        <v>0</v>
      </c>
      <c r="U62" s="6">
        <v>2</v>
      </c>
      <c r="V62" s="6">
        <v>17</v>
      </c>
      <c r="W62" s="6">
        <v>1</v>
      </c>
      <c r="X62" s="6">
        <v>1200101001</v>
      </c>
      <c r="Y62" s="6" t="s">
        <v>103</v>
      </c>
      <c r="Z62" s="6">
        <v>0</v>
      </c>
      <c r="AA62" s="6">
        <v>0</v>
      </c>
      <c r="AB62" s="6">
        <v>1821807.05</v>
      </c>
      <c r="AC62" s="6">
        <v>0</v>
      </c>
      <c r="AD62" s="6"/>
      <c r="AE62" s="6"/>
      <c r="AF62" s="6"/>
      <c r="AG62" s="6"/>
      <c r="AH62" s="6"/>
      <c r="AI62" s="6"/>
      <c r="AJ62" s="6"/>
      <c r="AK62" s="7"/>
      <c r="AL62" s="6">
        <v>3000000</v>
      </c>
      <c r="AM62" s="6" t="s">
        <v>153</v>
      </c>
    </row>
    <row r="63" spans="2:39" x14ac:dyDescent="0.2">
      <c r="B63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To Analyze</v>
      </c>
      <c r="C63" s="135" t="str">
        <f>+CONCATENATE(ZEUFI037[[#This Row],[Type]],"-",ZEUFI037[[#This Row],[G/L Account]])</f>
        <v>DF-1330101001</v>
      </c>
      <c r="D63" s="136" t="str">
        <f>+CONCATENATE(ZEUFI037[[#This Row],[Type]],"-",ZEUFI037[[#This Row],[TCode]],"-",ZEUFI037[[#This Row],[CoCd]],"-",ZEUFI037[[#This Row],[DocumentNo]])</f>
        <v>DF-FB1D-YY01-2500001219</v>
      </c>
      <c r="E63" s="6" t="s">
        <v>147</v>
      </c>
      <c r="F63" s="6" t="s">
        <v>98</v>
      </c>
      <c r="G63" s="6" t="s">
        <v>99</v>
      </c>
      <c r="H63" s="6" t="s">
        <v>84</v>
      </c>
      <c r="I63" s="6" t="s">
        <v>85</v>
      </c>
      <c r="J63" s="6" t="s">
        <v>64</v>
      </c>
      <c r="K63" s="6" t="s">
        <v>86</v>
      </c>
      <c r="L63" s="6">
        <v>2500001219</v>
      </c>
      <c r="M63" s="132">
        <v>45596</v>
      </c>
      <c r="N63" s="132">
        <v>45600</v>
      </c>
      <c r="O63" s="132">
        <v>45596</v>
      </c>
      <c r="P63" s="6"/>
      <c r="Q63" s="6"/>
      <c r="R63" s="6"/>
      <c r="S63" s="6">
        <v>1821807.05</v>
      </c>
      <c r="T63" s="6">
        <v>0</v>
      </c>
      <c r="U63" s="6">
        <v>1</v>
      </c>
      <c r="V63" s="6">
        <v>9</v>
      </c>
      <c r="W63" s="6">
        <v>0</v>
      </c>
      <c r="X63" s="6">
        <v>1330101001</v>
      </c>
      <c r="Y63" s="6" t="s">
        <v>100</v>
      </c>
      <c r="Z63" s="6">
        <v>1821807.05</v>
      </c>
      <c r="AA63" s="6">
        <v>0</v>
      </c>
      <c r="AB63" s="6">
        <v>0</v>
      </c>
      <c r="AC63" s="6">
        <v>0</v>
      </c>
      <c r="AD63" s="6" t="s">
        <v>101</v>
      </c>
      <c r="AE63" s="6"/>
      <c r="AF63" s="6"/>
      <c r="AG63" s="6"/>
      <c r="AH63" s="6"/>
      <c r="AI63" s="6"/>
      <c r="AJ63" s="6"/>
      <c r="AK63" s="7"/>
      <c r="AL63" s="6">
        <v>3000000</v>
      </c>
      <c r="AM63" s="6" t="s">
        <v>153</v>
      </c>
    </row>
    <row r="64" spans="2:39" x14ac:dyDescent="0.2">
      <c r="B64" s="134" t="str">
        <f>+IF(COUNTIF(Exclusions[[#All],[Type + G/L Acc]],ZEUFI037[[#This Row],[Type + G/L Acc]])&gt;0,"Under Control",IF(OR(AND(LEFT(ZEUFI037[[#This Row],[G/L Account]],1)=7,(ZEUFI037[[#This Row],[   Debit amount]]+ZEUFI037[[#This Row],[  Credit amount]])&lt;10),LEFT(ZEUFI037[[#This Row],[G/L Account]],1)=6,(ZEUFI037[[#This Row],[   Debit amount]]+ZEUFI037[[#This Row],[  Credit amount]])&lt;10),"Under Control","To Analyze"))</f>
        <v>Under Control</v>
      </c>
      <c r="C64" s="135" t="str">
        <f>+CONCATENATE(ZEUFI037[[#This Row],[Type]],"-",ZEUFI037[[#This Row],[G/L Account]])</f>
        <v>-</v>
      </c>
      <c r="D64" s="136" t="str">
        <f>+CONCATENATE(ZEUFI037[[#This Row],[Type]],"-",ZEUFI037[[#This Row],[TCode]],"-",ZEUFI037[[#This Row],[CoCd]],"-",ZEUFI037[[#This Row],[DocumentNo]])</f>
        <v>---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>
        <v>14751768.68</v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7"/>
      <c r="AL64" s="6"/>
      <c r="AM64" s="6"/>
    </row>
  </sheetData>
  <mergeCells count="2">
    <mergeCell ref="B1:H1"/>
    <mergeCell ref="F2:J2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8FD7F-70AE-410B-A6E9-6B51C454AF76}">
  <sheetPr>
    <tabColor theme="1"/>
  </sheetPr>
  <dimension ref="B1:L19"/>
  <sheetViews>
    <sheetView showGridLines="0" workbookViewId="0">
      <pane ySplit="3" topLeftCell="A4" activePane="bottomLeft" state="frozen"/>
      <selection pane="bottomLeft" activeCell="C3" sqref="C3:C19"/>
    </sheetView>
  </sheetViews>
  <sheetFormatPr defaultColWidth="8.85546875" defaultRowHeight="12" x14ac:dyDescent="0.2"/>
  <cols>
    <col min="1" max="1" width="2.28515625" style="1" customWidth="1"/>
    <col min="2" max="2" width="10.85546875" style="1" bestFit="1" customWidth="1"/>
    <col min="3" max="3" width="13.5703125" style="1" bestFit="1" customWidth="1"/>
    <col min="4" max="4" width="14.7109375" style="1" bestFit="1" customWidth="1"/>
    <col min="5" max="5" width="14.28515625" style="1" bestFit="1" customWidth="1"/>
    <col min="6" max="16384" width="8.85546875" style="1"/>
  </cols>
  <sheetData>
    <row r="1" spans="2:12" s="9" customFormat="1" ht="19.149999999999999" customHeight="1" x14ac:dyDescent="0.3">
      <c r="B1" s="121" t="s">
        <v>37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</row>
    <row r="3" spans="2:12" x14ac:dyDescent="0.2">
      <c r="B3" s="111" t="s">
        <v>38</v>
      </c>
      <c r="C3" s="117" t="s">
        <v>22</v>
      </c>
      <c r="D3" s="111" t="s">
        <v>1</v>
      </c>
      <c r="E3" s="111" t="s">
        <v>39</v>
      </c>
    </row>
    <row r="4" spans="2:12" x14ac:dyDescent="0.2">
      <c r="B4" s="4" t="s">
        <v>63</v>
      </c>
      <c r="C4" s="118">
        <v>1013001001</v>
      </c>
      <c r="D4" s="4" t="str">
        <f>+CONCATENATE(B4,"-",C4)</f>
        <v>D4-1013001001</v>
      </c>
      <c r="E4" s="4" t="str">
        <f>+Exclusions[[#Headers],[Under Control]]</f>
        <v>Under Control</v>
      </c>
    </row>
    <row r="5" spans="2:12" x14ac:dyDescent="0.2">
      <c r="B5" s="4" t="s">
        <v>63</v>
      </c>
      <c r="C5" s="118">
        <v>1200101001</v>
      </c>
      <c r="D5" s="4" t="str">
        <f t="shared" ref="D5:D8" si="0">+CONCATENATE(B5,"-",C5)</f>
        <v>D4-1200101001</v>
      </c>
      <c r="E5" s="4" t="str">
        <f>+Exclusions[[#Headers],[Under Control]]</f>
        <v>Under Control</v>
      </c>
    </row>
    <row r="6" spans="2:12" x14ac:dyDescent="0.2">
      <c r="B6" s="4" t="s">
        <v>63</v>
      </c>
      <c r="C6" s="118">
        <v>3400101001</v>
      </c>
      <c r="D6" s="4" t="str">
        <f t="shared" si="0"/>
        <v>D4-3400101001</v>
      </c>
      <c r="E6" s="4" t="str">
        <f>+Exclusions[[#Headers],[Under Control]]</f>
        <v>Under Control</v>
      </c>
    </row>
    <row r="7" spans="2:12" x14ac:dyDescent="0.2">
      <c r="B7" s="4" t="s">
        <v>64</v>
      </c>
      <c r="C7" s="118">
        <v>1200101001</v>
      </c>
      <c r="D7" s="4" t="str">
        <f t="shared" si="0"/>
        <v>DF-1200101001</v>
      </c>
      <c r="E7" s="4" t="str">
        <f>+Exclusions[[#Headers],[Under Control]]</f>
        <v>Under Control</v>
      </c>
    </row>
    <row r="8" spans="2:12" x14ac:dyDescent="0.2">
      <c r="B8" s="4" t="s">
        <v>64</v>
      </c>
      <c r="C8" s="118">
        <v>1280101001</v>
      </c>
      <c r="D8" s="4" t="str">
        <f t="shared" si="0"/>
        <v>DF-1280101001</v>
      </c>
      <c r="E8" s="4" t="str">
        <f>+Exclusions[[#Headers],[Under Control]]</f>
        <v>Under Control</v>
      </c>
    </row>
    <row r="9" spans="2:12" x14ac:dyDescent="0.2">
      <c r="B9" s="4" t="s">
        <v>64</v>
      </c>
      <c r="C9" s="118">
        <v>3400101001</v>
      </c>
      <c r="D9" s="4" t="str">
        <f>+CONCATENATE(B9,"-",C9)</f>
        <v>DF-3400101001</v>
      </c>
      <c r="E9" s="4" t="str">
        <f>+Exclusions[[#Headers],[Under Control]]</f>
        <v>Under Control</v>
      </c>
    </row>
    <row r="10" spans="2:12" x14ac:dyDescent="0.2">
      <c r="B10" s="4" t="s">
        <v>65</v>
      </c>
      <c r="C10" s="118">
        <v>1021101019</v>
      </c>
      <c r="D10" s="4" t="str">
        <f t="shared" ref="D10:D11" si="1">+CONCATENATE(B10,"-",C10)</f>
        <v>KG-1021101019</v>
      </c>
      <c r="E10" s="4" t="str">
        <f>+Exclusions[[#Headers],[Under Control]]</f>
        <v>Under Control</v>
      </c>
    </row>
    <row r="11" spans="2:12" x14ac:dyDescent="0.2">
      <c r="B11" s="4" t="s">
        <v>65</v>
      </c>
      <c r="C11" s="118">
        <v>1021102029</v>
      </c>
      <c r="D11" s="4" t="str">
        <f t="shared" si="1"/>
        <v>KG-1021102029</v>
      </c>
      <c r="E11" s="4" t="str">
        <f>+Exclusions[[#Headers],[Under Control]]</f>
        <v>Under Control</v>
      </c>
    </row>
    <row r="12" spans="2:12" x14ac:dyDescent="0.2">
      <c r="B12" s="4" t="s">
        <v>65</v>
      </c>
      <c r="C12" s="118">
        <v>1590101001</v>
      </c>
      <c r="D12" s="4" t="str">
        <f>+CONCATENATE(B12,"-",C12)</f>
        <v>KG-1590101001</v>
      </c>
      <c r="E12" s="4" t="str">
        <f>+Exclusions[[#Headers],[Under Control]]</f>
        <v>Under Control</v>
      </c>
    </row>
    <row r="13" spans="2:12" x14ac:dyDescent="0.2">
      <c r="B13" s="4" t="s">
        <v>65</v>
      </c>
      <c r="C13" s="118">
        <v>2590101001</v>
      </c>
      <c r="D13" s="4" t="str">
        <f t="shared" ref="D13:D18" si="2">+CONCATENATE(B13,"-",C13)</f>
        <v>KG-2590101001</v>
      </c>
      <c r="E13" s="4" t="str">
        <f>+Exclusions[[#Headers],[Under Control]]</f>
        <v>Under Control</v>
      </c>
    </row>
    <row r="14" spans="2:12" x14ac:dyDescent="0.2">
      <c r="B14" s="4" t="s">
        <v>65</v>
      </c>
      <c r="C14" s="118">
        <v>3090101001</v>
      </c>
      <c r="D14" s="4" t="str">
        <f t="shared" si="2"/>
        <v>KG-3090101001</v>
      </c>
      <c r="E14" s="4" t="str">
        <f>+Exclusions[[#Headers],[Under Control]]</f>
        <v>Under Control</v>
      </c>
    </row>
    <row r="15" spans="2:12" x14ac:dyDescent="0.2">
      <c r="B15" s="4" t="s">
        <v>65</v>
      </c>
      <c r="C15" s="118">
        <v>3200101001</v>
      </c>
      <c r="D15" s="4" t="str">
        <f t="shared" si="2"/>
        <v>KG-3200101001</v>
      </c>
      <c r="E15" s="4" t="str">
        <f>+Exclusions[[#Headers],[Under Control]]</f>
        <v>Under Control</v>
      </c>
    </row>
    <row r="16" spans="2:12" x14ac:dyDescent="0.2">
      <c r="B16" s="4" t="s">
        <v>65</v>
      </c>
      <c r="C16" s="118">
        <v>3200101002</v>
      </c>
      <c r="D16" s="4" t="str">
        <f t="shared" si="2"/>
        <v>KG-3200101002</v>
      </c>
      <c r="E16" s="4" t="str">
        <f>+Exclusions[[#Headers],[Under Control]]</f>
        <v>Under Control</v>
      </c>
    </row>
    <row r="17" spans="2:5" x14ac:dyDescent="0.2">
      <c r="B17" s="4" t="s">
        <v>65</v>
      </c>
      <c r="C17" s="118">
        <v>3200101003</v>
      </c>
      <c r="D17" s="4" t="str">
        <f t="shared" si="2"/>
        <v>KG-3200101003</v>
      </c>
      <c r="E17" s="4" t="str">
        <f>+Exclusions[[#Headers],[Under Control]]</f>
        <v>Under Control</v>
      </c>
    </row>
    <row r="18" spans="2:5" x14ac:dyDescent="0.2">
      <c r="B18" s="4" t="s">
        <v>65</v>
      </c>
      <c r="C18" s="118">
        <v>3330101001</v>
      </c>
      <c r="D18" s="4" t="str">
        <f t="shared" si="2"/>
        <v>KG-3330101001</v>
      </c>
      <c r="E18" s="4" t="str">
        <f>+Exclusions[[#Headers],[Under Control]]</f>
        <v>Under Control</v>
      </c>
    </row>
    <row r="19" spans="2:5" x14ac:dyDescent="0.2">
      <c r="B19" s="4" t="s">
        <v>65</v>
      </c>
      <c r="C19" s="118">
        <v>9002120511</v>
      </c>
      <c r="D19" s="4" t="str">
        <f>+CONCATENATE(B19,"-",C19)</f>
        <v>KG-9002120511</v>
      </c>
      <c r="E19" s="4" t="str">
        <f>+Exclusions[[#Headers],[Under Control]]</f>
        <v>Under Control</v>
      </c>
    </row>
  </sheetData>
  <mergeCells count="1">
    <mergeCell ref="B1:L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E46-3232-4E5C-87D0-EAE7EC98CBA5}">
  <sheetPr>
    <tabColor theme="9" tint="-0.249977111117893"/>
  </sheetPr>
  <dimension ref="B1:AM65"/>
  <sheetViews>
    <sheetView showGridLines="0" zoomScale="90" zoomScaleNormal="90" workbookViewId="0">
      <pane ySplit="5" topLeftCell="A6" activePane="bottomLeft" state="frozen"/>
      <selection pane="bottomLeft" activeCell="J6" sqref="J6"/>
    </sheetView>
  </sheetViews>
  <sheetFormatPr defaultColWidth="8.85546875" defaultRowHeight="12" x14ac:dyDescent="0.2"/>
  <cols>
    <col min="1" max="1" width="2.28515625" style="1" customWidth="1"/>
    <col min="2" max="2" width="12" style="1" bestFit="1" customWidth="1"/>
    <col min="3" max="3" width="18.85546875" style="1" bestFit="1" customWidth="1"/>
    <col min="4" max="4" width="29.5703125" style="1" bestFit="1" customWidth="1"/>
    <col min="5" max="5" width="11" style="1" bestFit="1" customWidth="1"/>
    <col min="6" max="6" width="13.85546875" style="1" bestFit="1" customWidth="1"/>
    <col min="7" max="7" width="11.42578125" style="1" bestFit="1" customWidth="1"/>
    <col min="8" max="8" width="11.85546875" style="1" bestFit="1" customWidth="1"/>
    <col min="9" max="9" width="13.7109375" style="1" bestFit="1" customWidth="1"/>
    <col min="10" max="10" width="10.42578125" style="1" bestFit="1" customWidth="1"/>
    <col min="11" max="11" width="21.28515625" style="1" bestFit="1" customWidth="1"/>
    <col min="12" max="12" width="17.28515625" style="1" bestFit="1" customWidth="1"/>
    <col min="13" max="13" width="14.140625" style="1" bestFit="1" customWidth="1"/>
    <col min="14" max="14" width="14.85546875" style="1" bestFit="1" customWidth="1"/>
    <col min="15" max="15" width="15.42578125" style="1" bestFit="1" customWidth="1"/>
    <col min="16" max="16" width="24.5703125" style="1" bestFit="1" customWidth="1"/>
    <col min="17" max="17" width="15.28515625" style="1" bestFit="1" customWidth="1"/>
    <col min="18" max="18" width="16.42578125" style="1" bestFit="1" customWidth="1"/>
    <col min="19" max="19" width="20.140625" style="1" bestFit="1" customWidth="1"/>
    <col min="20" max="20" width="24.5703125" style="1" bestFit="1" customWidth="1"/>
    <col min="21" max="21" width="9" style="1" bestFit="1" customWidth="1"/>
    <col min="22" max="22" width="8.42578125" style="1" bestFit="1" customWidth="1"/>
    <col min="23" max="23" width="10" style="1" bestFit="1" customWidth="1"/>
    <col min="24" max="24" width="16.7109375" style="1" bestFit="1" customWidth="1"/>
    <col min="25" max="25" width="23.85546875" style="1" bestFit="1" customWidth="1"/>
    <col min="26" max="26" width="19.140625" style="1" bestFit="1" customWidth="1"/>
    <col min="27" max="27" width="22.85546875" style="1" bestFit="1" customWidth="1"/>
    <col min="28" max="28" width="19.85546875" style="1" bestFit="1" customWidth="1"/>
    <col min="29" max="29" width="23.85546875" style="1" bestFit="1" customWidth="1"/>
    <col min="30" max="30" width="49" style="1" bestFit="1" customWidth="1"/>
    <col min="31" max="31" width="14.28515625" style="1" bestFit="1" customWidth="1"/>
    <col min="32" max="32" width="13.42578125" style="1" bestFit="1" customWidth="1"/>
    <col min="33" max="33" width="14.140625" style="1" bestFit="1" customWidth="1"/>
    <col min="34" max="34" width="11.28515625" style="1" bestFit="1" customWidth="1"/>
    <col min="35" max="35" width="18.7109375" style="1" bestFit="1" customWidth="1"/>
    <col min="36" max="36" width="18.85546875" style="1" bestFit="1" customWidth="1"/>
    <col min="37" max="37" width="16.42578125" style="1" bestFit="1" customWidth="1"/>
    <col min="38" max="38" width="12.7109375" style="1" bestFit="1" customWidth="1"/>
    <col min="39" max="39" width="33.28515625" style="1" bestFit="1" customWidth="1"/>
    <col min="40" max="16384" width="8.85546875" style="1"/>
  </cols>
  <sheetData>
    <row r="1" spans="2:39" s="101" customFormat="1" ht="19.149999999999999" customHeight="1" x14ac:dyDescent="0.2">
      <c r="B1" s="47" t="s">
        <v>53</v>
      </c>
    </row>
    <row r="2" spans="2:39" x14ac:dyDescent="0.2">
      <c r="B2" s="102"/>
    </row>
    <row r="3" spans="2:39" x14ac:dyDescent="0.2">
      <c r="S3" s="29">
        <f>+SUM(Clearings[[#All],[Total Deb./Cred.]])</f>
        <v>29503537.359999999</v>
      </c>
      <c r="Z3" s="29">
        <f>+SUM(Clearings[[#All],[   Debit amount]])</f>
        <v>4733670.6500000004</v>
      </c>
      <c r="AB3" s="29">
        <f>+SUM(Clearings[[#All],[   Debit amount]])</f>
        <v>4733670.6500000004</v>
      </c>
    </row>
    <row r="4" spans="2:39" ht="3.6" customHeight="1" thickBot="1" x14ac:dyDescent="0.25"/>
    <row r="5" spans="2:39" ht="15.75" thickBot="1" x14ac:dyDescent="0.3">
      <c r="B5" s="104" t="s">
        <v>0</v>
      </c>
      <c r="C5" s="16" t="s">
        <v>1</v>
      </c>
      <c r="D5" s="16" t="s">
        <v>2</v>
      </c>
      <c r="E5" s="17" t="s">
        <v>3</v>
      </c>
      <c r="F5" s="17" t="s">
        <v>4</v>
      </c>
      <c r="G5" s="17" t="s">
        <v>5</v>
      </c>
      <c r="H5" s="17" t="s">
        <v>6</v>
      </c>
      <c r="I5" s="17" t="s">
        <v>7</v>
      </c>
      <c r="J5" s="17" t="s">
        <v>8</v>
      </c>
      <c r="K5" s="17" t="s">
        <v>9</v>
      </c>
      <c r="L5" s="17" t="s">
        <v>10</v>
      </c>
      <c r="M5" s="17" t="s">
        <v>11</v>
      </c>
      <c r="N5" s="17" t="s">
        <v>12</v>
      </c>
      <c r="O5" s="17" t="s">
        <v>13</v>
      </c>
      <c r="P5" s="17" t="s">
        <v>14</v>
      </c>
      <c r="Q5" s="17" t="s">
        <v>15</v>
      </c>
      <c r="R5" s="17" t="s">
        <v>16</v>
      </c>
      <c r="S5" s="17" t="s">
        <v>17</v>
      </c>
      <c r="T5" s="17" t="s">
        <v>18</v>
      </c>
      <c r="U5" s="17" t="s">
        <v>19</v>
      </c>
      <c r="V5" s="17" t="s">
        <v>20</v>
      </c>
      <c r="W5" s="17" t="s">
        <v>21</v>
      </c>
      <c r="X5" s="17" t="s">
        <v>22</v>
      </c>
      <c r="Y5" s="17" t="s">
        <v>23</v>
      </c>
      <c r="Z5" s="17" t="s">
        <v>24</v>
      </c>
      <c r="AA5" s="17" t="s">
        <v>25</v>
      </c>
      <c r="AB5" s="17" t="s">
        <v>26</v>
      </c>
      <c r="AC5" s="17" t="s">
        <v>27</v>
      </c>
      <c r="AD5" s="17" t="s">
        <v>28</v>
      </c>
      <c r="AE5" s="17" t="s">
        <v>29</v>
      </c>
      <c r="AF5" s="105" t="s">
        <v>30</v>
      </c>
      <c r="AG5" s="105" t="s">
        <v>31</v>
      </c>
      <c r="AH5" s="105" t="s">
        <v>32</v>
      </c>
      <c r="AI5" s="105" t="s">
        <v>33</v>
      </c>
      <c r="AJ5" s="105" t="s">
        <v>34</v>
      </c>
      <c r="AK5" s="105" t="s">
        <v>35</v>
      </c>
      <c r="AL5" s="106" t="s">
        <v>61</v>
      </c>
      <c r="AM5" s="103" t="s">
        <v>62</v>
      </c>
    </row>
    <row r="6" spans="2:39" ht="15" x14ac:dyDescent="0.25">
      <c r="B6" s="4" t="s">
        <v>154</v>
      </c>
      <c r="C6" s="4" t="s">
        <v>155</v>
      </c>
      <c r="D6" s="4" t="s">
        <v>156</v>
      </c>
      <c r="E6" s="4" t="s">
        <v>81</v>
      </c>
      <c r="F6" s="4" t="s">
        <v>82</v>
      </c>
      <c r="G6" s="4" t="s">
        <v>83</v>
      </c>
      <c r="H6" s="4" t="s">
        <v>84</v>
      </c>
      <c r="I6" s="1" t="s">
        <v>85</v>
      </c>
      <c r="J6" s="4" t="s">
        <v>64</v>
      </c>
      <c r="K6" s="1" t="s">
        <v>86</v>
      </c>
      <c r="L6" s="4">
        <v>2500004886</v>
      </c>
      <c r="M6" s="4">
        <v>45572</v>
      </c>
      <c r="N6" s="4">
        <v>45572</v>
      </c>
      <c r="O6" s="4">
        <v>45572</v>
      </c>
      <c r="S6" s="8">
        <v>1129.5</v>
      </c>
      <c r="T6" s="20">
        <v>0</v>
      </c>
      <c r="U6" s="4">
        <v>2</v>
      </c>
      <c r="V6" s="4">
        <v>9</v>
      </c>
      <c r="W6" s="4">
        <v>0</v>
      </c>
      <c r="X6" s="4">
        <v>1960101001</v>
      </c>
      <c r="Y6" s="1" t="s">
        <v>87</v>
      </c>
      <c r="Z6" s="8">
        <v>1129.5</v>
      </c>
      <c r="AA6" s="8">
        <v>0</v>
      </c>
      <c r="AB6" s="8">
        <v>0</v>
      </c>
      <c r="AC6" s="8">
        <v>0</v>
      </c>
      <c r="AL6">
        <v>21456030</v>
      </c>
      <c r="AM6" t="s">
        <v>88</v>
      </c>
    </row>
    <row r="7" spans="2:39" ht="15" x14ac:dyDescent="0.25">
      <c r="B7" s="4" t="s">
        <v>154</v>
      </c>
      <c r="C7" s="4" t="s">
        <v>157</v>
      </c>
      <c r="D7" s="4" t="s">
        <v>156</v>
      </c>
      <c r="E7" s="4" t="s">
        <v>81</v>
      </c>
      <c r="F7" s="4" t="s">
        <v>82</v>
      </c>
      <c r="G7" s="4" t="s">
        <v>83</v>
      </c>
      <c r="H7" s="4" t="s">
        <v>84</v>
      </c>
      <c r="I7" s="1" t="s">
        <v>85</v>
      </c>
      <c r="J7" s="4" t="s">
        <v>64</v>
      </c>
      <c r="K7" s="1" t="s">
        <v>86</v>
      </c>
      <c r="L7" s="4">
        <v>2500004886</v>
      </c>
      <c r="M7" s="4">
        <v>45572</v>
      </c>
      <c r="N7" s="4">
        <v>45572</v>
      </c>
      <c r="O7" s="4">
        <v>45572</v>
      </c>
      <c r="S7" s="8">
        <v>1129.5</v>
      </c>
      <c r="T7" s="20">
        <v>0</v>
      </c>
      <c r="U7" s="4">
        <v>1</v>
      </c>
      <c r="V7" s="4">
        <v>17</v>
      </c>
      <c r="W7" s="4">
        <v>1</v>
      </c>
      <c r="X7" s="4">
        <v>1350101001</v>
      </c>
      <c r="Y7" s="1" t="s">
        <v>89</v>
      </c>
      <c r="Z7" s="8">
        <v>0</v>
      </c>
      <c r="AA7" s="8">
        <v>0</v>
      </c>
      <c r="AB7" s="8">
        <v>1129.5</v>
      </c>
      <c r="AC7" s="8">
        <v>0</v>
      </c>
      <c r="AL7">
        <v>21456030</v>
      </c>
      <c r="AM7" t="s">
        <v>88</v>
      </c>
    </row>
    <row r="8" spans="2:39" ht="15" x14ac:dyDescent="0.25">
      <c r="B8" s="4" t="s">
        <v>154</v>
      </c>
      <c r="C8" s="4" t="s">
        <v>157</v>
      </c>
      <c r="D8" s="4" t="s">
        <v>158</v>
      </c>
      <c r="E8" s="4" t="s">
        <v>81</v>
      </c>
      <c r="F8" s="4" t="s">
        <v>82</v>
      </c>
      <c r="G8" s="4" t="s">
        <v>83</v>
      </c>
      <c r="H8" s="4" t="s">
        <v>84</v>
      </c>
      <c r="I8" s="1" t="s">
        <v>85</v>
      </c>
      <c r="J8" s="4" t="s">
        <v>64</v>
      </c>
      <c r="K8" s="1" t="s">
        <v>86</v>
      </c>
      <c r="L8" s="4">
        <v>2500004899</v>
      </c>
      <c r="M8" s="4">
        <v>45572</v>
      </c>
      <c r="N8" s="4">
        <v>45572</v>
      </c>
      <c r="O8" s="4">
        <v>45572</v>
      </c>
      <c r="S8" s="8">
        <v>1750</v>
      </c>
      <c r="T8" s="20">
        <v>0</v>
      </c>
      <c r="U8" s="4">
        <v>1</v>
      </c>
      <c r="V8" s="4">
        <v>17</v>
      </c>
      <c r="W8" s="4">
        <v>1</v>
      </c>
      <c r="X8" s="4">
        <v>1350101001</v>
      </c>
      <c r="Y8" s="1" t="s">
        <v>89</v>
      </c>
      <c r="Z8" s="8">
        <v>0</v>
      </c>
      <c r="AA8" s="8">
        <v>0</v>
      </c>
      <c r="AB8" s="8">
        <v>1750</v>
      </c>
      <c r="AC8" s="8">
        <v>0</v>
      </c>
      <c r="AL8">
        <v>21455651</v>
      </c>
      <c r="AM8" t="s">
        <v>90</v>
      </c>
    </row>
    <row r="9" spans="2:39" ht="15" x14ac:dyDescent="0.25">
      <c r="B9" s="4" t="s">
        <v>154</v>
      </c>
      <c r="C9" s="4" t="s">
        <v>155</v>
      </c>
      <c r="D9" s="4" t="s">
        <v>158</v>
      </c>
      <c r="E9" s="4" t="s">
        <v>81</v>
      </c>
      <c r="F9" s="4" t="s">
        <v>82</v>
      </c>
      <c r="G9" s="4" t="s">
        <v>83</v>
      </c>
      <c r="H9" s="4" t="s">
        <v>84</v>
      </c>
      <c r="I9" s="1" t="s">
        <v>85</v>
      </c>
      <c r="J9" s="4" t="s">
        <v>64</v>
      </c>
      <c r="K9" s="1" t="s">
        <v>86</v>
      </c>
      <c r="L9" s="4">
        <v>2500004899</v>
      </c>
      <c r="M9" s="4">
        <v>45572</v>
      </c>
      <c r="N9" s="4">
        <v>45572</v>
      </c>
      <c r="O9" s="4">
        <v>45572</v>
      </c>
      <c r="S9" s="8">
        <v>1750</v>
      </c>
      <c r="T9" s="20">
        <v>0</v>
      </c>
      <c r="U9" s="4">
        <v>2</v>
      </c>
      <c r="V9" s="4">
        <v>9</v>
      </c>
      <c r="W9" s="4">
        <v>0</v>
      </c>
      <c r="X9" s="4">
        <v>1960101001</v>
      </c>
      <c r="Y9" s="1" t="s">
        <v>87</v>
      </c>
      <c r="Z9" s="8">
        <v>1750</v>
      </c>
      <c r="AA9" s="8">
        <v>0</v>
      </c>
      <c r="AB9" s="8">
        <v>0</v>
      </c>
      <c r="AC9" s="8">
        <v>0</v>
      </c>
      <c r="AL9">
        <v>21455651</v>
      </c>
      <c r="AM9" t="s">
        <v>90</v>
      </c>
    </row>
    <row r="10" spans="2:39" ht="15" x14ac:dyDescent="0.25">
      <c r="B10" s="4" t="s">
        <v>154</v>
      </c>
      <c r="C10" s="4" t="s">
        <v>155</v>
      </c>
      <c r="D10" s="4" t="s">
        <v>159</v>
      </c>
      <c r="E10" s="4" t="s">
        <v>81</v>
      </c>
      <c r="F10" s="4" t="s">
        <v>82</v>
      </c>
      <c r="G10" s="4" t="s">
        <v>83</v>
      </c>
      <c r="H10" s="4" t="s">
        <v>84</v>
      </c>
      <c r="I10" s="1" t="s">
        <v>85</v>
      </c>
      <c r="J10" s="4" t="s">
        <v>64</v>
      </c>
      <c r="K10" s="1" t="s">
        <v>86</v>
      </c>
      <c r="L10" s="4">
        <v>2500004913</v>
      </c>
      <c r="M10" s="4">
        <v>45572</v>
      </c>
      <c r="N10" s="4">
        <v>45572</v>
      </c>
      <c r="O10" s="4">
        <v>45572</v>
      </c>
      <c r="S10" s="8">
        <v>1129.5</v>
      </c>
      <c r="T10" s="20">
        <v>0</v>
      </c>
      <c r="U10" s="4">
        <v>2</v>
      </c>
      <c r="V10" s="4">
        <v>9</v>
      </c>
      <c r="W10" s="4">
        <v>0</v>
      </c>
      <c r="X10" s="4">
        <v>1960101001</v>
      </c>
      <c r="Y10" s="1" t="s">
        <v>87</v>
      </c>
      <c r="Z10" s="8">
        <v>1129.5</v>
      </c>
      <c r="AA10" s="8">
        <v>0</v>
      </c>
      <c r="AB10" s="8">
        <v>0</v>
      </c>
      <c r="AC10" s="8">
        <v>0</v>
      </c>
      <c r="AL10">
        <v>21455922</v>
      </c>
      <c r="AM10" t="s">
        <v>91</v>
      </c>
    </row>
    <row r="11" spans="2:39" ht="15" x14ac:dyDescent="0.25">
      <c r="B11" s="4" t="s">
        <v>154</v>
      </c>
      <c r="C11" s="4" t="s">
        <v>157</v>
      </c>
      <c r="D11" s="4" t="s">
        <v>159</v>
      </c>
      <c r="E11" s="4" t="s">
        <v>81</v>
      </c>
      <c r="F11" s="4" t="s">
        <v>82</v>
      </c>
      <c r="G11" s="4" t="s">
        <v>83</v>
      </c>
      <c r="H11" s="4" t="s">
        <v>84</v>
      </c>
      <c r="I11" s="1" t="s">
        <v>85</v>
      </c>
      <c r="J11" s="4" t="s">
        <v>64</v>
      </c>
      <c r="K11" s="1" t="s">
        <v>86</v>
      </c>
      <c r="L11" s="4">
        <v>2500004913</v>
      </c>
      <c r="M11" s="4">
        <v>45572</v>
      </c>
      <c r="N11" s="4">
        <v>45572</v>
      </c>
      <c r="O11" s="4">
        <v>45572</v>
      </c>
      <c r="S11" s="8">
        <v>1129.5</v>
      </c>
      <c r="T11" s="20">
        <v>0</v>
      </c>
      <c r="U11" s="4">
        <v>1</v>
      </c>
      <c r="V11" s="4">
        <v>17</v>
      </c>
      <c r="W11" s="4">
        <v>1</v>
      </c>
      <c r="X11" s="4">
        <v>1350101001</v>
      </c>
      <c r="Y11" s="1" t="s">
        <v>89</v>
      </c>
      <c r="Z11" s="8">
        <v>0</v>
      </c>
      <c r="AA11" s="8">
        <v>0</v>
      </c>
      <c r="AB11" s="8">
        <v>1129.5</v>
      </c>
      <c r="AC11" s="8">
        <v>0</v>
      </c>
      <c r="AL11">
        <v>21455922</v>
      </c>
      <c r="AM11" t="s">
        <v>91</v>
      </c>
    </row>
    <row r="12" spans="2:39" ht="15" x14ac:dyDescent="0.25">
      <c r="B12" s="4" t="s">
        <v>154</v>
      </c>
      <c r="C12" s="4" t="s">
        <v>157</v>
      </c>
      <c r="D12" s="4" t="s">
        <v>160</v>
      </c>
      <c r="E12" s="4" t="s">
        <v>81</v>
      </c>
      <c r="F12" s="4" t="s">
        <v>82</v>
      </c>
      <c r="G12" s="4" t="s">
        <v>83</v>
      </c>
      <c r="H12" s="4" t="s">
        <v>84</v>
      </c>
      <c r="I12" s="1" t="s">
        <v>85</v>
      </c>
      <c r="J12" s="4" t="s">
        <v>64</v>
      </c>
      <c r="K12" s="1" t="s">
        <v>86</v>
      </c>
      <c r="L12" s="4">
        <v>2500004942</v>
      </c>
      <c r="M12" s="4">
        <v>45572</v>
      </c>
      <c r="N12" s="4">
        <v>45572</v>
      </c>
      <c r="O12" s="4">
        <v>45572</v>
      </c>
      <c r="S12" s="8">
        <v>1129.5</v>
      </c>
      <c r="T12" s="20">
        <v>0</v>
      </c>
      <c r="U12" s="4">
        <v>1</v>
      </c>
      <c r="V12" s="4">
        <v>17</v>
      </c>
      <c r="W12" s="4">
        <v>1</v>
      </c>
      <c r="X12" s="4">
        <v>1350101001</v>
      </c>
      <c r="Y12" s="1" t="s">
        <v>89</v>
      </c>
      <c r="Z12" s="8">
        <v>0</v>
      </c>
      <c r="AA12" s="8">
        <v>0</v>
      </c>
      <c r="AB12" s="8">
        <v>1129.5</v>
      </c>
      <c r="AC12" s="8">
        <v>0</v>
      </c>
      <c r="AL12">
        <v>21455835</v>
      </c>
      <c r="AM12" t="s">
        <v>92</v>
      </c>
    </row>
    <row r="13" spans="2:39" ht="15" x14ac:dyDescent="0.25">
      <c r="B13" s="4" t="s">
        <v>154</v>
      </c>
      <c r="C13" s="4" t="s">
        <v>155</v>
      </c>
      <c r="D13" s="4" t="s">
        <v>160</v>
      </c>
      <c r="E13" s="4" t="s">
        <v>81</v>
      </c>
      <c r="F13" s="4" t="s">
        <v>82</v>
      </c>
      <c r="G13" s="4" t="s">
        <v>83</v>
      </c>
      <c r="H13" s="4" t="s">
        <v>84</v>
      </c>
      <c r="I13" s="1" t="s">
        <v>85</v>
      </c>
      <c r="J13" s="4" t="s">
        <v>64</v>
      </c>
      <c r="K13" s="1" t="s">
        <v>86</v>
      </c>
      <c r="L13" s="4">
        <v>2500004942</v>
      </c>
      <c r="M13" s="4">
        <v>45572</v>
      </c>
      <c r="N13" s="4">
        <v>45572</v>
      </c>
      <c r="O13" s="4">
        <v>45572</v>
      </c>
      <c r="S13" s="8">
        <v>1129.5</v>
      </c>
      <c r="T13" s="20">
        <v>0</v>
      </c>
      <c r="U13" s="4">
        <v>2</v>
      </c>
      <c r="V13" s="4">
        <v>9</v>
      </c>
      <c r="W13" s="4">
        <v>0</v>
      </c>
      <c r="X13" s="4">
        <v>1960101001</v>
      </c>
      <c r="Y13" s="1" t="s">
        <v>87</v>
      </c>
      <c r="Z13" s="8">
        <v>1129.5</v>
      </c>
      <c r="AA13" s="8">
        <v>0</v>
      </c>
      <c r="AB13" s="8">
        <v>0</v>
      </c>
      <c r="AC13" s="8">
        <v>0</v>
      </c>
      <c r="AL13">
        <v>21455835</v>
      </c>
      <c r="AM13" t="s">
        <v>92</v>
      </c>
    </row>
    <row r="14" spans="2:39" ht="15" x14ac:dyDescent="0.25">
      <c r="B14" s="4" t="s">
        <v>154</v>
      </c>
      <c r="C14" s="4" t="s">
        <v>157</v>
      </c>
      <c r="D14" s="4" t="s">
        <v>161</v>
      </c>
      <c r="E14" s="4" t="s">
        <v>81</v>
      </c>
      <c r="F14" s="4" t="s">
        <v>82</v>
      </c>
      <c r="G14" s="4" t="s">
        <v>83</v>
      </c>
      <c r="H14" s="4" t="s">
        <v>84</v>
      </c>
      <c r="I14" s="1" t="s">
        <v>85</v>
      </c>
      <c r="J14" s="4" t="s">
        <v>64</v>
      </c>
      <c r="K14" s="1" t="s">
        <v>86</v>
      </c>
      <c r="L14" s="4">
        <v>2500004952</v>
      </c>
      <c r="M14" s="4">
        <v>45572</v>
      </c>
      <c r="N14" s="4">
        <v>45572</v>
      </c>
      <c r="O14" s="4">
        <v>45572</v>
      </c>
      <c r="S14" s="8">
        <v>2351.25</v>
      </c>
      <c r="T14" s="20">
        <v>0</v>
      </c>
      <c r="U14" s="4">
        <v>1</v>
      </c>
      <c r="V14" s="4">
        <v>17</v>
      </c>
      <c r="W14" s="4">
        <v>1</v>
      </c>
      <c r="X14" s="4">
        <v>1350101001</v>
      </c>
      <c r="Y14" s="1" t="s">
        <v>89</v>
      </c>
      <c r="Z14" s="8">
        <v>0</v>
      </c>
      <c r="AA14" s="8">
        <v>0</v>
      </c>
      <c r="AB14" s="8">
        <v>2351.25</v>
      </c>
      <c r="AC14" s="8">
        <v>0</v>
      </c>
      <c r="AL14">
        <v>21455927</v>
      </c>
      <c r="AM14" t="s">
        <v>93</v>
      </c>
    </row>
    <row r="15" spans="2:39" ht="15" x14ac:dyDescent="0.25">
      <c r="B15" s="4" t="s">
        <v>154</v>
      </c>
      <c r="C15" s="4" t="s">
        <v>155</v>
      </c>
      <c r="D15" s="4" t="s">
        <v>161</v>
      </c>
      <c r="E15" s="4" t="s">
        <v>81</v>
      </c>
      <c r="F15" s="4" t="s">
        <v>82</v>
      </c>
      <c r="G15" s="4" t="s">
        <v>83</v>
      </c>
      <c r="H15" s="4" t="s">
        <v>84</v>
      </c>
      <c r="I15" s="1" t="s">
        <v>85</v>
      </c>
      <c r="J15" s="4" t="s">
        <v>64</v>
      </c>
      <c r="K15" s="1" t="s">
        <v>86</v>
      </c>
      <c r="L15" s="4">
        <v>2500004952</v>
      </c>
      <c r="M15" s="4">
        <v>45572</v>
      </c>
      <c r="N15" s="4">
        <v>45572</v>
      </c>
      <c r="O15" s="4">
        <v>45572</v>
      </c>
      <c r="S15" s="8">
        <v>2351.25</v>
      </c>
      <c r="T15" s="20">
        <v>0</v>
      </c>
      <c r="U15" s="4">
        <v>2</v>
      </c>
      <c r="V15" s="4">
        <v>9</v>
      </c>
      <c r="W15" s="4">
        <v>0</v>
      </c>
      <c r="X15" s="4">
        <v>1960101001</v>
      </c>
      <c r="Y15" s="1" t="s">
        <v>87</v>
      </c>
      <c r="Z15" s="8">
        <v>2351.25</v>
      </c>
      <c r="AA15" s="8">
        <v>0</v>
      </c>
      <c r="AB15" s="8">
        <v>0</v>
      </c>
      <c r="AC15" s="8">
        <v>0</v>
      </c>
      <c r="AL15">
        <v>21455927</v>
      </c>
      <c r="AM15" t="s">
        <v>93</v>
      </c>
    </row>
    <row r="16" spans="2:39" ht="15" x14ac:dyDescent="0.25">
      <c r="B16" s="4" t="s">
        <v>154</v>
      </c>
      <c r="C16" s="4" t="s">
        <v>157</v>
      </c>
      <c r="D16" s="4" t="s">
        <v>162</v>
      </c>
      <c r="E16" s="4" t="s">
        <v>81</v>
      </c>
      <c r="F16" s="4" t="s">
        <v>82</v>
      </c>
      <c r="G16" s="4" t="s">
        <v>83</v>
      </c>
      <c r="H16" s="4" t="s">
        <v>84</v>
      </c>
      <c r="I16" s="1" t="s">
        <v>85</v>
      </c>
      <c r="J16" s="4" t="s">
        <v>64</v>
      </c>
      <c r="K16" s="1" t="s">
        <v>86</v>
      </c>
      <c r="L16" s="4">
        <v>2500005000</v>
      </c>
      <c r="M16" s="4">
        <v>45572</v>
      </c>
      <c r="N16" s="4">
        <v>45572</v>
      </c>
      <c r="O16" s="4">
        <v>45572</v>
      </c>
      <c r="S16" s="8">
        <v>1129.5</v>
      </c>
      <c r="T16" s="20">
        <v>0</v>
      </c>
      <c r="U16" s="4">
        <v>1</v>
      </c>
      <c r="V16" s="4">
        <v>17</v>
      </c>
      <c r="W16" s="4">
        <v>1</v>
      </c>
      <c r="X16" s="4">
        <v>1350101001</v>
      </c>
      <c r="Y16" s="1" t="s">
        <v>89</v>
      </c>
      <c r="Z16" s="8">
        <v>0</v>
      </c>
      <c r="AA16" s="8">
        <v>0</v>
      </c>
      <c r="AB16" s="8">
        <v>1129.5</v>
      </c>
      <c r="AC16" s="8">
        <v>0</v>
      </c>
      <c r="AL16">
        <v>21455702</v>
      </c>
      <c r="AM16" t="s">
        <v>94</v>
      </c>
    </row>
    <row r="17" spans="2:39" ht="15" x14ac:dyDescent="0.25">
      <c r="B17" s="4" t="s">
        <v>154</v>
      </c>
      <c r="C17" s="4" t="s">
        <v>155</v>
      </c>
      <c r="D17" s="4" t="s">
        <v>162</v>
      </c>
      <c r="E17" s="4" t="s">
        <v>81</v>
      </c>
      <c r="F17" s="4" t="s">
        <v>82</v>
      </c>
      <c r="G17" s="4" t="s">
        <v>83</v>
      </c>
      <c r="H17" s="4" t="s">
        <v>84</v>
      </c>
      <c r="I17" s="1" t="s">
        <v>85</v>
      </c>
      <c r="J17" s="4" t="s">
        <v>64</v>
      </c>
      <c r="K17" s="1" t="s">
        <v>86</v>
      </c>
      <c r="L17" s="4">
        <v>2500005000</v>
      </c>
      <c r="M17" s="4">
        <v>45572</v>
      </c>
      <c r="N17" s="4">
        <v>45572</v>
      </c>
      <c r="O17" s="4">
        <v>45572</v>
      </c>
      <c r="S17" s="8">
        <v>1129.5</v>
      </c>
      <c r="T17" s="20">
        <v>0</v>
      </c>
      <c r="U17" s="4">
        <v>2</v>
      </c>
      <c r="V17" s="4">
        <v>9</v>
      </c>
      <c r="W17" s="4">
        <v>0</v>
      </c>
      <c r="X17" s="4">
        <v>1960101001</v>
      </c>
      <c r="Y17" s="1" t="s">
        <v>87</v>
      </c>
      <c r="Z17" s="8">
        <v>1129.5</v>
      </c>
      <c r="AA17" s="8">
        <v>0</v>
      </c>
      <c r="AB17" s="8">
        <v>0</v>
      </c>
      <c r="AC17" s="8">
        <v>0</v>
      </c>
      <c r="AL17">
        <v>21455702</v>
      </c>
      <c r="AM17" t="s">
        <v>94</v>
      </c>
    </row>
    <row r="18" spans="2:39" ht="15" x14ac:dyDescent="0.25">
      <c r="B18" s="4" t="s">
        <v>154</v>
      </c>
      <c r="C18" s="4" t="s">
        <v>157</v>
      </c>
      <c r="D18" s="4" t="s">
        <v>163</v>
      </c>
      <c r="E18" s="4" t="s">
        <v>81</v>
      </c>
      <c r="F18" s="4" t="s">
        <v>82</v>
      </c>
      <c r="G18" s="4" t="s">
        <v>83</v>
      </c>
      <c r="H18" s="4" t="s">
        <v>84</v>
      </c>
      <c r="I18" s="1" t="s">
        <v>85</v>
      </c>
      <c r="J18" s="4" t="s">
        <v>64</v>
      </c>
      <c r="K18" s="1" t="s">
        <v>86</v>
      </c>
      <c r="L18" s="4">
        <v>2500005001</v>
      </c>
      <c r="M18" s="4">
        <v>45572</v>
      </c>
      <c r="N18" s="4">
        <v>45572</v>
      </c>
      <c r="O18" s="4">
        <v>45572</v>
      </c>
      <c r="S18" s="8">
        <v>1129.5</v>
      </c>
      <c r="T18" s="20">
        <v>0</v>
      </c>
      <c r="U18" s="4">
        <v>1</v>
      </c>
      <c r="V18" s="4">
        <v>17</v>
      </c>
      <c r="W18" s="4">
        <v>1</v>
      </c>
      <c r="X18" s="4">
        <v>1350101001</v>
      </c>
      <c r="Y18" s="1" t="s">
        <v>89</v>
      </c>
      <c r="Z18" s="8">
        <v>0</v>
      </c>
      <c r="AA18" s="8">
        <v>0</v>
      </c>
      <c r="AB18" s="8">
        <v>1129.5</v>
      </c>
      <c r="AC18" s="8">
        <v>0</v>
      </c>
      <c r="AL18">
        <v>21450775</v>
      </c>
      <c r="AM18" t="s">
        <v>95</v>
      </c>
    </row>
    <row r="19" spans="2:39" ht="15" x14ac:dyDescent="0.25">
      <c r="B19" s="4" t="s">
        <v>154</v>
      </c>
      <c r="C19" s="4" t="s">
        <v>155</v>
      </c>
      <c r="D19" s="4" t="s">
        <v>163</v>
      </c>
      <c r="E19" s="4" t="s">
        <v>81</v>
      </c>
      <c r="F19" s="4" t="s">
        <v>82</v>
      </c>
      <c r="G19" s="4" t="s">
        <v>83</v>
      </c>
      <c r="H19" s="4" t="s">
        <v>84</v>
      </c>
      <c r="I19" s="1" t="s">
        <v>85</v>
      </c>
      <c r="J19" s="4" t="s">
        <v>64</v>
      </c>
      <c r="K19" s="1" t="s">
        <v>86</v>
      </c>
      <c r="L19" s="4">
        <v>2500005001</v>
      </c>
      <c r="M19" s="4">
        <v>45572</v>
      </c>
      <c r="N19" s="4">
        <v>45572</v>
      </c>
      <c r="O19" s="4">
        <v>45572</v>
      </c>
      <c r="S19" s="8">
        <v>1129.5</v>
      </c>
      <c r="T19" s="20">
        <v>0</v>
      </c>
      <c r="U19" s="4">
        <v>2</v>
      </c>
      <c r="V19" s="4">
        <v>9</v>
      </c>
      <c r="W19" s="4">
        <v>0</v>
      </c>
      <c r="X19" s="4">
        <v>1960101001</v>
      </c>
      <c r="Y19" s="1" t="s">
        <v>87</v>
      </c>
      <c r="Z19" s="8">
        <v>1129.5</v>
      </c>
      <c r="AA19" s="8">
        <v>0</v>
      </c>
      <c r="AB19" s="8">
        <v>0</v>
      </c>
      <c r="AC19" s="8">
        <v>0</v>
      </c>
      <c r="AL19">
        <v>21450775</v>
      </c>
      <c r="AM19" t="s">
        <v>95</v>
      </c>
    </row>
    <row r="20" spans="2:39" ht="15" x14ac:dyDescent="0.25">
      <c r="B20" s="4" t="s">
        <v>154</v>
      </c>
      <c r="C20" s="4" t="s">
        <v>157</v>
      </c>
      <c r="D20" s="4" t="s">
        <v>164</v>
      </c>
      <c r="E20" s="4" t="s">
        <v>81</v>
      </c>
      <c r="F20" s="4" t="s">
        <v>82</v>
      </c>
      <c r="G20" s="4" t="s">
        <v>83</v>
      </c>
      <c r="H20" s="4" t="s">
        <v>84</v>
      </c>
      <c r="I20" s="1" t="s">
        <v>85</v>
      </c>
      <c r="J20" s="4" t="s">
        <v>64</v>
      </c>
      <c r="K20" s="1" t="s">
        <v>86</v>
      </c>
      <c r="L20" s="4">
        <v>2500005008</v>
      </c>
      <c r="M20" s="4">
        <v>45572</v>
      </c>
      <c r="N20" s="4">
        <v>45572</v>
      </c>
      <c r="O20" s="4">
        <v>45572</v>
      </c>
      <c r="S20" s="8">
        <v>517.5</v>
      </c>
      <c r="T20" s="20">
        <v>0</v>
      </c>
      <c r="U20" s="4">
        <v>1</v>
      </c>
      <c r="V20" s="4">
        <v>17</v>
      </c>
      <c r="W20" s="4">
        <v>1</v>
      </c>
      <c r="X20" s="4">
        <v>1350101001</v>
      </c>
      <c r="Y20" s="1" t="s">
        <v>89</v>
      </c>
      <c r="Z20" s="8">
        <v>0</v>
      </c>
      <c r="AA20" s="8">
        <v>0</v>
      </c>
      <c r="AB20" s="8">
        <v>517.5</v>
      </c>
      <c r="AC20" s="8">
        <v>0</v>
      </c>
      <c r="AL20">
        <v>21455759</v>
      </c>
      <c r="AM20" t="s">
        <v>96</v>
      </c>
    </row>
    <row r="21" spans="2:39" ht="15" x14ac:dyDescent="0.25">
      <c r="B21" s="4" t="s">
        <v>154</v>
      </c>
      <c r="C21" s="4" t="s">
        <v>155</v>
      </c>
      <c r="D21" s="4" t="s">
        <v>164</v>
      </c>
      <c r="E21" s="4" t="s">
        <v>81</v>
      </c>
      <c r="F21" s="4" t="s">
        <v>82</v>
      </c>
      <c r="G21" s="4" t="s">
        <v>83</v>
      </c>
      <c r="H21" s="4" t="s">
        <v>84</v>
      </c>
      <c r="I21" s="1" t="s">
        <v>85</v>
      </c>
      <c r="J21" s="4" t="s">
        <v>64</v>
      </c>
      <c r="K21" s="1" t="s">
        <v>86</v>
      </c>
      <c r="L21" s="4">
        <v>2500005008</v>
      </c>
      <c r="M21" s="4">
        <v>45572</v>
      </c>
      <c r="N21" s="4">
        <v>45572</v>
      </c>
      <c r="O21" s="4">
        <v>45572</v>
      </c>
      <c r="S21" s="8">
        <v>517.5</v>
      </c>
      <c r="T21" s="20">
        <v>0</v>
      </c>
      <c r="U21" s="4">
        <v>2</v>
      </c>
      <c r="V21" s="4">
        <v>9</v>
      </c>
      <c r="W21" s="4">
        <v>0</v>
      </c>
      <c r="X21" s="4">
        <v>1960101001</v>
      </c>
      <c r="Y21" s="1" t="s">
        <v>87</v>
      </c>
      <c r="Z21" s="8">
        <v>517.5</v>
      </c>
      <c r="AA21" s="8">
        <v>0</v>
      </c>
      <c r="AB21" s="8">
        <v>0</v>
      </c>
      <c r="AC21" s="8">
        <v>0</v>
      </c>
      <c r="AL21">
        <v>21455759</v>
      </c>
      <c r="AM21" t="s">
        <v>96</v>
      </c>
    </row>
    <row r="22" spans="2:39" ht="15" x14ac:dyDescent="0.25">
      <c r="B22" s="4" t="s">
        <v>154</v>
      </c>
      <c r="C22" s="4" t="s">
        <v>155</v>
      </c>
      <c r="D22" s="4" t="s">
        <v>165</v>
      </c>
      <c r="E22" s="4" t="s">
        <v>81</v>
      </c>
      <c r="F22" s="4" t="s">
        <v>82</v>
      </c>
      <c r="G22" s="4" t="s">
        <v>83</v>
      </c>
      <c r="H22" s="4" t="s">
        <v>84</v>
      </c>
      <c r="I22" s="1" t="s">
        <v>85</v>
      </c>
      <c r="J22" s="4" t="s">
        <v>64</v>
      </c>
      <c r="K22" s="1" t="s">
        <v>86</v>
      </c>
      <c r="L22" s="4">
        <v>2500005019</v>
      </c>
      <c r="M22" s="4">
        <v>45572</v>
      </c>
      <c r="N22" s="4">
        <v>45572</v>
      </c>
      <c r="O22" s="4">
        <v>45572</v>
      </c>
      <c r="S22" s="8">
        <v>1129.5</v>
      </c>
      <c r="T22" s="20">
        <v>0</v>
      </c>
      <c r="U22" s="4">
        <v>2</v>
      </c>
      <c r="V22" s="4">
        <v>9</v>
      </c>
      <c r="W22" s="4">
        <v>0</v>
      </c>
      <c r="X22" s="4">
        <v>1960101001</v>
      </c>
      <c r="Y22" s="1" t="s">
        <v>87</v>
      </c>
      <c r="Z22" s="8">
        <v>1129.5</v>
      </c>
      <c r="AA22" s="8">
        <v>0</v>
      </c>
      <c r="AB22" s="8">
        <v>0</v>
      </c>
      <c r="AC22" s="8">
        <v>0</v>
      </c>
      <c r="AL22">
        <v>21450886</v>
      </c>
      <c r="AM22" t="s">
        <v>97</v>
      </c>
    </row>
    <row r="23" spans="2:39" ht="15" x14ac:dyDescent="0.25">
      <c r="B23" s="4" t="s">
        <v>154</v>
      </c>
      <c r="C23" s="4" t="s">
        <v>157</v>
      </c>
      <c r="D23" s="4" t="s">
        <v>165</v>
      </c>
      <c r="E23" s="4" t="s">
        <v>81</v>
      </c>
      <c r="F23" s="4" t="s">
        <v>82</v>
      </c>
      <c r="G23" s="4" t="s">
        <v>83</v>
      </c>
      <c r="H23" s="4" t="s">
        <v>84</v>
      </c>
      <c r="I23" s="1" t="s">
        <v>85</v>
      </c>
      <c r="J23" s="4" t="s">
        <v>64</v>
      </c>
      <c r="K23" s="1" t="s">
        <v>86</v>
      </c>
      <c r="L23" s="4">
        <v>2500005019</v>
      </c>
      <c r="M23" s="4">
        <v>45572</v>
      </c>
      <c r="N23" s="4">
        <v>45572</v>
      </c>
      <c r="O23" s="4">
        <v>45572</v>
      </c>
      <c r="S23" s="8">
        <v>1129.5</v>
      </c>
      <c r="T23" s="20">
        <v>0</v>
      </c>
      <c r="U23" s="4">
        <v>1</v>
      </c>
      <c r="V23" s="4">
        <v>17</v>
      </c>
      <c r="W23" s="4">
        <v>1</v>
      </c>
      <c r="X23" s="4">
        <v>1350101001</v>
      </c>
      <c r="Y23" s="1" t="s">
        <v>89</v>
      </c>
      <c r="Z23" s="8">
        <v>0</v>
      </c>
      <c r="AA23" s="8">
        <v>0</v>
      </c>
      <c r="AB23" s="8">
        <v>1129.5</v>
      </c>
      <c r="AC23" s="8">
        <v>0</v>
      </c>
      <c r="AL23">
        <v>21450886</v>
      </c>
      <c r="AM23" t="s">
        <v>97</v>
      </c>
    </row>
    <row r="24" spans="2:39" ht="15" x14ac:dyDescent="0.25">
      <c r="B24" s="4" t="s">
        <v>154</v>
      </c>
      <c r="C24" s="4" t="s">
        <v>155</v>
      </c>
      <c r="D24" s="4" t="s">
        <v>166</v>
      </c>
      <c r="E24" s="4" t="s">
        <v>81</v>
      </c>
      <c r="F24" s="4" t="s">
        <v>82</v>
      </c>
      <c r="G24" s="4" t="s">
        <v>83</v>
      </c>
      <c r="H24" s="4" t="s">
        <v>84</v>
      </c>
      <c r="I24" s="1" t="s">
        <v>85</v>
      </c>
      <c r="J24" s="4" t="s">
        <v>64</v>
      </c>
      <c r="K24" s="1" t="s">
        <v>86</v>
      </c>
      <c r="L24" s="4">
        <v>2500005224</v>
      </c>
      <c r="M24" s="4">
        <v>45596</v>
      </c>
      <c r="N24" s="4">
        <v>45596</v>
      </c>
      <c r="O24" s="4">
        <v>45596</v>
      </c>
      <c r="S24" s="8">
        <v>1129.5</v>
      </c>
      <c r="T24" s="20">
        <v>0</v>
      </c>
      <c r="U24" s="4">
        <v>2</v>
      </c>
      <c r="V24" s="4">
        <v>9</v>
      </c>
      <c r="W24" s="4">
        <v>0</v>
      </c>
      <c r="X24" s="4">
        <v>1960101001</v>
      </c>
      <c r="Y24" s="1" t="s">
        <v>87</v>
      </c>
      <c r="Z24" s="8">
        <v>1129.5</v>
      </c>
      <c r="AA24" s="8">
        <v>0</v>
      </c>
      <c r="AB24" s="8">
        <v>0</v>
      </c>
      <c r="AC24" s="8">
        <v>0</v>
      </c>
      <c r="AL24">
        <v>21456030</v>
      </c>
      <c r="AM24" t="s">
        <v>88</v>
      </c>
    </row>
    <row r="25" spans="2:39" ht="15" x14ac:dyDescent="0.25">
      <c r="B25" s="4" t="s">
        <v>154</v>
      </c>
      <c r="C25" s="4" t="s">
        <v>157</v>
      </c>
      <c r="D25" s="4" t="s">
        <v>166</v>
      </c>
      <c r="E25" s="4" t="s">
        <v>81</v>
      </c>
      <c r="F25" s="4" t="s">
        <v>82</v>
      </c>
      <c r="G25" s="4" t="s">
        <v>83</v>
      </c>
      <c r="H25" s="4" t="s">
        <v>84</v>
      </c>
      <c r="I25" s="1" t="s">
        <v>85</v>
      </c>
      <c r="J25" s="4" t="s">
        <v>64</v>
      </c>
      <c r="K25" s="1" t="s">
        <v>86</v>
      </c>
      <c r="L25" s="4">
        <v>2500005224</v>
      </c>
      <c r="M25" s="4">
        <v>45596</v>
      </c>
      <c r="N25" s="4">
        <v>45596</v>
      </c>
      <c r="O25" s="4">
        <v>45596</v>
      </c>
      <c r="S25" s="8">
        <v>1129.5</v>
      </c>
      <c r="T25" s="20">
        <v>0</v>
      </c>
      <c r="U25" s="4">
        <v>1</v>
      </c>
      <c r="V25" s="4">
        <v>17</v>
      </c>
      <c r="W25" s="4">
        <v>1</v>
      </c>
      <c r="X25" s="4">
        <v>1350101001</v>
      </c>
      <c r="Y25" s="1" t="s">
        <v>89</v>
      </c>
      <c r="Z25" s="8">
        <v>0</v>
      </c>
      <c r="AA25" s="8">
        <v>0</v>
      </c>
      <c r="AB25" s="8">
        <v>1129.5</v>
      </c>
      <c r="AC25" s="8">
        <v>0</v>
      </c>
      <c r="AL25">
        <v>21456030</v>
      </c>
      <c r="AM25" t="s">
        <v>88</v>
      </c>
    </row>
    <row r="26" spans="2:39" ht="15" x14ac:dyDescent="0.25">
      <c r="B26" s="4" t="s">
        <v>154</v>
      </c>
      <c r="C26" s="4" t="s">
        <v>167</v>
      </c>
      <c r="D26" s="4" t="s">
        <v>168</v>
      </c>
      <c r="E26" s="4" t="s">
        <v>81</v>
      </c>
      <c r="F26" s="4" t="s">
        <v>98</v>
      </c>
      <c r="G26" s="4" t="s">
        <v>99</v>
      </c>
      <c r="H26" s="4" t="s">
        <v>84</v>
      </c>
      <c r="I26" s="1" t="s">
        <v>85</v>
      </c>
      <c r="J26" s="4" t="s">
        <v>64</v>
      </c>
      <c r="K26" s="1" t="s">
        <v>86</v>
      </c>
      <c r="L26" s="4">
        <v>2500005447</v>
      </c>
      <c r="M26" s="4">
        <v>45596</v>
      </c>
      <c r="N26" s="4">
        <v>45600</v>
      </c>
      <c r="O26" s="4">
        <v>45596</v>
      </c>
      <c r="S26" s="8">
        <v>2299054.73</v>
      </c>
      <c r="T26" s="20">
        <v>0</v>
      </c>
      <c r="U26" s="4">
        <v>1</v>
      </c>
      <c r="V26" s="4">
        <v>9</v>
      </c>
      <c r="W26" s="4">
        <v>0</v>
      </c>
      <c r="X26" s="4">
        <v>1330101001</v>
      </c>
      <c r="Y26" s="1" t="s">
        <v>100</v>
      </c>
      <c r="Z26" s="8">
        <v>2299054.73</v>
      </c>
      <c r="AA26" s="8">
        <v>0</v>
      </c>
      <c r="AB26" s="8">
        <v>0</v>
      </c>
      <c r="AC26" s="8">
        <v>0</v>
      </c>
      <c r="AD26" s="1" t="s">
        <v>101</v>
      </c>
      <c r="AL26">
        <v>3000001</v>
      </c>
      <c r="AM26" t="s">
        <v>102</v>
      </c>
    </row>
    <row r="27" spans="2:39" ht="15" x14ac:dyDescent="0.25">
      <c r="B27" s="4" t="s">
        <v>39</v>
      </c>
      <c r="C27" s="4" t="s">
        <v>169</v>
      </c>
      <c r="D27" s="4" t="s">
        <v>168</v>
      </c>
      <c r="E27" s="4" t="s">
        <v>81</v>
      </c>
      <c r="F27" s="4" t="s">
        <v>98</v>
      </c>
      <c r="G27" s="4" t="s">
        <v>99</v>
      </c>
      <c r="H27" s="4" t="s">
        <v>84</v>
      </c>
      <c r="I27" s="1" t="s">
        <v>85</v>
      </c>
      <c r="J27" s="4" t="s">
        <v>64</v>
      </c>
      <c r="K27" s="1" t="s">
        <v>86</v>
      </c>
      <c r="L27" s="4">
        <v>2500005447</v>
      </c>
      <c r="M27" s="4">
        <v>45596</v>
      </c>
      <c r="N27" s="4">
        <v>45600</v>
      </c>
      <c r="O27" s="4">
        <v>45596</v>
      </c>
      <c r="S27" s="8">
        <v>2299054.73</v>
      </c>
      <c r="T27" s="20">
        <v>0</v>
      </c>
      <c r="U27" s="4">
        <v>2</v>
      </c>
      <c r="V27" s="4">
        <v>17</v>
      </c>
      <c r="W27" s="4">
        <v>1</v>
      </c>
      <c r="X27" s="4">
        <v>1200101001</v>
      </c>
      <c r="Y27" s="1" t="s">
        <v>103</v>
      </c>
      <c r="Z27" s="8">
        <v>0</v>
      </c>
      <c r="AA27" s="8">
        <v>0</v>
      </c>
      <c r="AB27" s="8">
        <v>1147807.44</v>
      </c>
      <c r="AC27" s="8">
        <v>0</v>
      </c>
      <c r="AL27">
        <v>3000001</v>
      </c>
      <c r="AM27" t="s">
        <v>102</v>
      </c>
    </row>
    <row r="28" spans="2:39" ht="15" x14ac:dyDescent="0.25">
      <c r="B28" s="4" t="s">
        <v>39</v>
      </c>
      <c r="C28" s="4" t="s">
        <v>169</v>
      </c>
      <c r="D28" s="4" t="s">
        <v>168</v>
      </c>
      <c r="E28" s="4" t="s">
        <v>81</v>
      </c>
      <c r="F28" s="4" t="s">
        <v>98</v>
      </c>
      <c r="G28" s="4" t="s">
        <v>99</v>
      </c>
      <c r="H28" s="4" t="s">
        <v>84</v>
      </c>
      <c r="I28" s="1" t="s">
        <v>85</v>
      </c>
      <c r="J28" s="4" t="s">
        <v>64</v>
      </c>
      <c r="K28" s="1" t="s">
        <v>86</v>
      </c>
      <c r="L28" s="4">
        <v>2500005447</v>
      </c>
      <c r="M28" s="4">
        <v>45596</v>
      </c>
      <c r="N28" s="4">
        <v>45600</v>
      </c>
      <c r="O28" s="4">
        <v>45596</v>
      </c>
      <c r="S28" s="8">
        <v>2299054.73</v>
      </c>
      <c r="T28" s="20">
        <v>0</v>
      </c>
      <c r="U28" s="4">
        <v>3</v>
      </c>
      <c r="V28" s="4">
        <v>17</v>
      </c>
      <c r="W28" s="4">
        <v>1</v>
      </c>
      <c r="X28" s="4">
        <v>1200101001</v>
      </c>
      <c r="Y28" s="1" t="s">
        <v>103</v>
      </c>
      <c r="Z28" s="8">
        <v>0</v>
      </c>
      <c r="AA28" s="8">
        <v>0</v>
      </c>
      <c r="AB28" s="8">
        <v>90131.19</v>
      </c>
      <c r="AC28" s="8">
        <v>0</v>
      </c>
      <c r="AL28">
        <v>3000001</v>
      </c>
      <c r="AM28" t="s">
        <v>102</v>
      </c>
    </row>
    <row r="29" spans="2:39" ht="15" x14ac:dyDescent="0.25">
      <c r="B29" s="4" t="s">
        <v>39</v>
      </c>
      <c r="C29" s="4" t="s">
        <v>169</v>
      </c>
      <c r="D29" s="4" t="s">
        <v>168</v>
      </c>
      <c r="E29" s="4" t="s">
        <v>81</v>
      </c>
      <c r="F29" s="4" t="s">
        <v>98</v>
      </c>
      <c r="G29" s="4" t="s">
        <v>99</v>
      </c>
      <c r="H29" s="4" t="s">
        <v>84</v>
      </c>
      <c r="I29" s="1" t="s">
        <v>85</v>
      </c>
      <c r="J29" s="4" t="s">
        <v>64</v>
      </c>
      <c r="K29" s="1" t="s">
        <v>86</v>
      </c>
      <c r="L29" s="4">
        <v>2500005447</v>
      </c>
      <c r="M29" s="4">
        <v>45596</v>
      </c>
      <c r="N29" s="4">
        <v>45600</v>
      </c>
      <c r="O29" s="4">
        <v>45596</v>
      </c>
      <c r="S29" s="8">
        <v>2299054.73</v>
      </c>
      <c r="T29" s="20">
        <v>0</v>
      </c>
      <c r="U29" s="4">
        <v>4</v>
      </c>
      <c r="V29" s="4">
        <v>17</v>
      </c>
      <c r="W29" s="4">
        <v>1</v>
      </c>
      <c r="X29" s="4">
        <v>1200101001</v>
      </c>
      <c r="Y29" s="1" t="s">
        <v>103</v>
      </c>
      <c r="Z29" s="8">
        <v>0</v>
      </c>
      <c r="AA29" s="8">
        <v>0</v>
      </c>
      <c r="AB29" s="8">
        <v>1061116.1000000001</v>
      </c>
      <c r="AC29" s="8">
        <v>0</v>
      </c>
      <c r="AL29">
        <v>3000001</v>
      </c>
      <c r="AM29" t="s">
        <v>102</v>
      </c>
    </row>
    <row r="30" spans="2:39" ht="15" x14ac:dyDescent="0.25">
      <c r="B30" s="4" t="s">
        <v>154</v>
      </c>
      <c r="C30" s="4" t="s">
        <v>170</v>
      </c>
      <c r="D30" s="4" t="s">
        <v>171</v>
      </c>
      <c r="E30" s="4" t="s">
        <v>81</v>
      </c>
      <c r="F30" s="4" t="s">
        <v>82</v>
      </c>
      <c r="G30" s="4" t="s">
        <v>104</v>
      </c>
      <c r="H30" s="4" t="s">
        <v>105</v>
      </c>
      <c r="I30" s="1" t="s">
        <v>106</v>
      </c>
      <c r="J30" s="4" t="s">
        <v>65</v>
      </c>
      <c r="K30" s="1" t="s">
        <v>107</v>
      </c>
      <c r="L30" s="4">
        <v>4200000958</v>
      </c>
      <c r="M30" s="4">
        <v>45587</v>
      </c>
      <c r="N30" s="4">
        <v>45587</v>
      </c>
      <c r="O30" s="4">
        <v>45587</v>
      </c>
      <c r="P30" s="1" t="s">
        <v>108</v>
      </c>
      <c r="S30" s="8">
        <v>26000</v>
      </c>
      <c r="T30" s="20">
        <v>0</v>
      </c>
      <c r="U30" s="4">
        <v>1</v>
      </c>
      <c r="V30" s="4">
        <v>50</v>
      </c>
      <c r="W30" s="4">
        <v>5</v>
      </c>
      <c r="X30" s="4">
        <v>1570404001</v>
      </c>
      <c r="Y30" s="1" t="s">
        <v>109</v>
      </c>
      <c r="Z30" s="8">
        <v>0</v>
      </c>
      <c r="AA30" s="8">
        <v>0</v>
      </c>
      <c r="AB30" s="8">
        <v>26000</v>
      </c>
      <c r="AC30" s="8">
        <v>0</v>
      </c>
      <c r="AD30" s="1" t="s">
        <v>110</v>
      </c>
      <c r="AL30"/>
      <c r="AM30"/>
    </row>
    <row r="31" spans="2:39" ht="15" x14ac:dyDescent="0.25">
      <c r="B31" s="4" t="s">
        <v>154</v>
      </c>
      <c r="C31" s="4" t="s">
        <v>172</v>
      </c>
      <c r="D31" s="4" t="s">
        <v>171</v>
      </c>
      <c r="E31" s="4" t="s">
        <v>81</v>
      </c>
      <c r="F31" s="4" t="s">
        <v>82</v>
      </c>
      <c r="G31" s="4" t="s">
        <v>104</v>
      </c>
      <c r="H31" s="4" t="s">
        <v>105</v>
      </c>
      <c r="I31" s="1" t="s">
        <v>106</v>
      </c>
      <c r="J31" s="4" t="s">
        <v>65</v>
      </c>
      <c r="K31" s="1" t="s">
        <v>107</v>
      </c>
      <c r="L31" s="4">
        <v>4200000958</v>
      </c>
      <c r="M31" s="4">
        <v>45587</v>
      </c>
      <c r="N31" s="4">
        <v>45587</v>
      </c>
      <c r="O31" s="4">
        <v>45587</v>
      </c>
      <c r="P31" s="1" t="s">
        <v>108</v>
      </c>
      <c r="S31" s="8">
        <v>26000</v>
      </c>
      <c r="T31" s="20">
        <v>0</v>
      </c>
      <c r="U31" s="4">
        <v>2</v>
      </c>
      <c r="V31" s="4">
        <v>40</v>
      </c>
      <c r="W31" s="4">
        <v>4</v>
      </c>
      <c r="X31" s="4">
        <v>7703301001</v>
      </c>
      <c r="Y31" s="1" t="s">
        <v>111</v>
      </c>
      <c r="Z31" s="8">
        <v>26000</v>
      </c>
      <c r="AA31" s="8">
        <v>0</v>
      </c>
      <c r="AB31" s="8">
        <v>0</v>
      </c>
      <c r="AC31" s="8">
        <v>0</v>
      </c>
      <c r="AD31" s="1" t="s">
        <v>110</v>
      </c>
      <c r="AF31" s="1" t="s">
        <v>112</v>
      </c>
      <c r="AG31" s="1" t="s">
        <v>112</v>
      </c>
      <c r="AL31"/>
      <c r="AM31"/>
    </row>
    <row r="32" spans="2:39" ht="15" x14ac:dyDescent="0.25">
      <c r="B32" s="4" t="s">
        <v>154</v>
      </c>
      <c r="C32" s="4" t="s">
        <v>173</v>
      </c>
      <c r="D32" s="4" t="s">
        <v>174</v>
      </c>
      <c r="E32" s="4" t="s">
        <v>81</v>
      </c>
      <c r="F32" s="4" t="s">
        <v>82</v>
      </c>
      <c r="G32" s="4" t="s">
        <v>104</v>
      </c>
      <c r="H32" s="4" t="s">
        <v>105</v>
      </c>
      <c r="I32" s="1" t="s">
        <v>106</v>
      </c>
      <c r="J32" s="4" t="s">
        <v>65</v>
      </c>
      <c r="K32" s="1" t="s">
        <v>107</v>
      </c>
      <c r="L32" s="4">
        <v>4200000959</v>
      </c>
      <c r="M32" s="4">
        <v>45587</v>
      </c>
      <c r="N32" s="4">
        <v>45587</v>
      </c>
      <c r="O32" s="4">
        <v>45587</v>
      </c>
      <c r="P32" s="1" t="s">
        <v>113</v>
      </c>
      <c r="S32" s="8">
        <v>41091.879999999997</v>
      </c>
      <c r="T32" s="20">
        <v>0</v>
      </c>
      <c r="U32" s="4">
        <v>1</v>
      </c>
      <c r="V32" s="4">
        <v>40</v>
      </c>
      <c r="W32" s="4">
        <v>4</v>
      </c>
      <c r="X32" s="4">
        <v>7304908001</v>
      </c>
      <c r="Y32" s="1" t="s">
        <v>114</v>
      </c>
      <c r="Z32" s="8">
        <v>20545.93</v>
      </c>
      <c r="AA32" s="8">
        <v>0</v>
      </c>
      <c r="AB32" s="8">
        <v>0</v>
      </c>
      <c r="AC32" s="8">
        <v>0</v>
      </c>
      <c r="AD32" s="1" t="s">
        <v>113</v>
      </c>
      <c r="AF32" s="1" t="s">
        <v>115</v>
      </c>
      <c r="AG32" s="1" t="s">
        <v>115</v>
      </c>
      <c r="AL32"/>
      <c r="AM32"/>
    </row>
    <row r="33" spans="2:39" ht="15" x14ac:dyDescent="0.25">
      <c r="B33" s="4" t="s">
        <v>154</v>
      </c>
      <c r="C33" s="4" t="s">
        <v>173</v>
      </c>
      <c r="D33" s="4" t="s">
        <v>174</v>
      </c>
      <c r="E33" s="4" t="s">
        <v>81</v>
      </c>
      <c r="F33" s="4" t="s">
        <v>82</v>
      </c>
      <c r="G33" s="4" t="s">
        <v>104</v>
      </c>
      <c r="H33" s="4" t="s">
        <v>105</v>
      </c>
      <c r="I33" s="1" t="s">
        <v>106</v>
      </c>
      <c r="J33" s="4" t="s">
        <v>65</v>
      </c>
      <c r="K33" s="1" t="s">
        <v>107</v>
      </c>
      <c r="L33" s="4">
        <v>4200000959</v>
      </c>
      <c r="M33" s="4">
        <v>45587</v>
      </c>
      <c r="N33" s="4">
        <v>45587</v>
      </c>
      <c r="O33" s="4">
        <v>45587</v>
      </c>
      <c r="P33" s="1" t="s">
        <v>113</v>
      </c>
      <c r="S33" s="8">
        <v>41091.879999999997</v>
      </c>
      <c r="T33" s="20">
        <v>0</v>
      </c>
      <c r="U33" s="4">
        <v>2</v>
      </c>
      <c r="V33" s="4">
        <v>40</v>
      </c>
      <c r="W33" s="4">
        <v>4</v>
      </c>
      <c r="X33" s="4">
        <v>7304908001</v>
      </c>
      <c r="Y33" s="1" t="s">
        <v>114</v>
      </c>
      <c r="Z33" s="8">
        <v>20545.95</v>
      </c>
      <c r="AA33" s="8">
        <v>0</v>
      </c>
      <c r="AB33" s="8">
        <v>0</v>
      </c>
      <c r="AC33" s="8">
        <v>0</v>
      </c>
      <c r="AD33" s="1" t="s">
        <v>113</v>
      </c>
      <c r="AF33" s="1" t="s">
        <v>116</v>
      </c>
      <c r="AG33" s="1" t="s">
        <v>116</v>
      </c>
      <c r="AL33"/>
      <c r="AM33"/>
    </row>
    <row r="34" spans="2:39" ht="15" x14ac:dyDescent="0.25">
      <c r="B34" s="4" t="s">
        <v>154</v>
      </c>
      <c r="C34" s="4" t="s">
        <v>170</v>
      </c>
      <c r="D34" s="4" t="s">
        <v>174</v>
      </c>
      <c r="E34" s="4" t="s">
        <v>81</v>
      </c>
      <c r="F34" s="4" t="s">
        <v>82</v>
      </c>
      <c r="G34" s="4" t="s">
        <v>104</v>
      </c>
      <c r="H34" s="4" t="s">
        <v>105</v>
      </c>
      <c r="I34" s="1" t="s">
        <v>106</v>
      </c>
      <c r="J34" s="4" t="s">
        <v>65</v>
      </c>
      <c r="K34" s="1" t="s">
        <v>107</v>
      </c>
      <c r="L34" s="4">
        <v>4200000959</v>
      </c>
      <c r="M34" s="4">
        <v>45587</v>
      </c>
      <c r="N34" s="4">
        <v>45587</v>
      </c>
      <c r="O34" s="4">
        <v>45587</v>
      </c>
      <c r="P34" s="1" t="s">
        <v>113</v>
      </c>
      <c r="S34" s="8">
        <v>41091.879999999997</v>
      </c>
      <c r="T34" s="20">
        <v>0</v>
      </c>
      <c r="U34" s="4">
        <v>3</v>
      </c>
      <c r="V34" s="4">
        <v>50</v>
      </c>
      <c r="W34" s="4">
        <v>5</v>
      </c>
      <c r="X34" s="4">
        <v>1570404001</v>
      </c>
      <c r="Y34" s="1" t="s">
        <v>109</v>
      </c>
      <c r="Z34" s="8">
        <v>0</v>
      </c>
      <c r="AA34" s="8">
        <v>0</v>
      </c>
      <c r="AB34" s="8">
        <v>41091.879999999997</v>
      </c>
      <c r="AC34" s="8">
        <v>0</v>
      </c>
      <c r="AD34" s="1" t="s">
        <v>113</v>
      </c>
      <c r="AL34"/>
      <c r="AM34"/>
    </row>
    <row r="35" spans="2:39" ht="15" x14ac:dyDescent="0.25">
      <c r="B35" s="4" t="s">
        <v>154</v>
      </c>
      <c r="C35" s="4" t="s">
        <v>170</v>
      </c>
      <c r="D35" s="4" t="s">
        <v>175</v>
      </c>
      <c r="E35" s="4" t="s">
        <v>81</v>
      </c>
      <c r="F35" s="4" t="s">
        <v>82</v>
      </c>
      <c r="G35" s="4" t="s">
        <v>104</v>
      </c>
      <c r="H35" s="4" t="s">
        <v>105</v>
      </c>
      <c r="I35" s="1" t="s">
        <v>106</v>
      </c>
      <c r="J35" s="4" t="s">
        <v>65</v>
      </c>
      <c r="K35" s="1" t="s">
        <v>107</v>
      </c>
      <c r="L35" s="4">
        <v>4200000960</v>
      </c>
      <c r="M35" s="4">
        <v>45587</v>
      </c>
      <c r="N35" s="4">
        <v>45587</v>
      </c>
      <c r="O35" s="4">
        <v>45587</v>
      </c>
      <c r="P35" s="1" t="s">
        <v>117</v>
      </c>
      <c r="S35" s="8">
        <v>73259.37</v>
      </c>
      <c r="T35" s="20">
        <v>0</v>
      </c>
      <c r="U35" s="4">
        <v>1</v>
      </c>
      <c r="V35" s="4">
        <v>40</v>
      </c>
      <c r="W35" s="4">
        <v>4</v>
      </c>
      <c r="X35" s="4">
        <v>1570404001</v>
      </c>
      <c r="Y35" s="1" t="s">
        <v>109</v>
      </c>
      <c r="Z35" s="8">
        <v>73259.37</v>
      </c>
      <c r="AA35" s="8">
        <v>0</v>
      </c>
      <c r="AB35" s="8">
        <v>0</v>
      </c>
      <c r="AC35" s="8">
        <v>0</v>
      </c>
      <c r="AD35" s="1" t="s">
        <v>118</v>
      </c>
      <c r="AL35"/>
      <c r="AM35"/>
    </row>
    <row r="36" spans="2:39" ht="15" x14ac:dyDescent="0.25">
      <c r="B36" s="4" t="s">
        <v>154</v>
      </c>
      <c r="C36" s="4" t="s">
        <v>176</v>
      </c>
      <c r="D36" s="4" t="s">
        <v>175</v>
      </c>
      <c r="E36" s="4" t="s">
        <v>81</v>
      </c>
      <c r="F36" s="4" t="s">
        <v>82</v>
      </c>
      <c r="G36" s="4" t="s">
        <v>104</v>
      </c>
      <c r="H36" s="4" t="s">
        <v>105</v>
      </c>
      <c r="I36" s="1" t="s">
        <v>106</v>
      </c>
      <c r="J36" s="4" t="s">
        <v>65</v>
      </c>
      <c r="K36" s="1" t="s">
        <v>107</v>
      </c>
      <c r="L36" s="4">
        <v>4200000960</v>
      </c>
      <c r="M36" s="4">
        <v>45587</v>
      </c>
      <c r="N36" s="4">
        <v>45587</v>
      </c>
      <c r="O36" s="4">
        <v>45587</v>
      </c>
      <c r="P36" s="1" t="s">
        <v>117</v>
      </c>
      <c r="S36" s="8">
        <v>73259.37</v>
      </c>
      <c r="T36" s="20">
        <v>0</v>
      </c>
      <c r="U36" s="4">
        <v>2</v>
      </c>
      <c r="V36" s="4">
        <v>50</v>
      </c>
      <c r="W36" s="4">
        <v>5</v>
      </c>
      <c r="X36" s="4">
        <v>1570303001</v>
      </c>
      <c r="Y36" s="1" t="s">
        <v>119</v>
      </c>
      <c r="Z36" s="8">
        <v>0</v>
      </c>
      <c r="AA36" s="8">
        <v>0</v>
      </c>
      <c r="AB36" s="8">
        <v>73259.37</v>
      </c>
      <c r="AC36" s="8">
        <v>0</v>
      </c>
      <c r="AD36" s="1" t="s">
        <v>118</v>
      </c>
      <c r="AL36"/>
      <c r="AM36"/>
    </row>
    <row r="37" spans="2:39" ht="15" x14ac:dyDescent="0.25">
      <c r="B37" s="4" t="s">
        <v>154</v>
      </c>
      <c r="C37" s="4" t="s">
        <v>170</v>
      </c>
      <c r="D37" s="4" t="s">
        <v>177</v>
      </c>
      <c r="E37" s="4" t="s">
        <v>81</v>
      </c>
      <c r="F37" s="4" t="s">
        <v>82</v>
      </c>
      <c r="G37" s="4" t="s">
        <v>104</v>
      </c>
      <c r="H37" s="4" t="s">
        <v>105</v>
      </c>
      <c r="I37" s="1" t="s">
        <v>106</v>
      </c>
      <c r="J37" s="4" t="s">
        <v>65</v>
      </c>
      <c r="K37" s="1" t="s">
        <v>107</v>
      </c>
      <c r="L37" s="4">
        <v>4200000961</v>
      </c>
      <c r="M37" s="4">
        <v>45587</v>
      </c>
      <c r="N37" s="4">
        <v>45587</v>
      </c>
      <c r="O37" s="4">
        <v>45587</v>
      </c>
      <c r="P37" s="1" t="s">
        <v>120</v>
      </c>
      <c r="S37" s="8">
        <v>54239.75</v>
      </c>
      <c r="T37" s="20">
        <v>0</v>
      </c>
      <c r="U37" s="4">
        <v>1</v>
      </c>
      <c r="V37" s="4">
        <v>50</v>
      </c>
      <c r="W37" s="4">
        <v>5</v>
      </c>
      <c r="X37" s="4">
        <v>1570404001</v>
      </c>
      <c r="Y37" s="1" t="s">
        <v>109</v>
      </c>
      <c r="Z37" s="8">
        <v>0</v>
      </c>
      <c r="AA37" s="8">
        <v>0</v>
      </c>
      <c r="AB37" s="8">
        <v>54239.75</v>
      </c>
      <c r="AC37" s="8">
        <v>0</v>
      </c>
      <c r="AD37" s="1" t="s">
        <v>121</v>
      </c>
      <c r="AL37"/>
      <c r="AM37"/>
    </row>
    <row r="38" spans="2:39" ht="15" x14ac:dyDescent="0.25">
      <c r="B38" s="4" t="s">
        <v>154</v>
      </c>
      <c r="C38" s="4" t="s">
        <v>173</v>
      </c>
      <c r="D38" s="4" t="s">
        <v>177</v>
      </c>
      <c r="E38" s="4" t="s">
        <v>81</v>
      </c>
      <c r="F38" s="4" t="s">
        <v>82</v>
      </c>
      <c r="G38" s="4" t="s">
        <v>104</v>
      </c>
      <c r="H38" s="4" t="s">
        <v>105</v>
      </c>
      <c r="I38" s="1" t="s">
        <v>106</v>
      </c>
      <c r="J38" s="4" t="s">
        <v>65</v>
      </c>
      <c r="K38" s="1" t="s">
        <v>107</v>
      </c>
      <c r="L38" s="4">
        <v>4200000961</v>
      </c>
      <c r="M38" s="4">
        <v>45587</v>
      </c>
      <c r="N38" s="4">
        <v>45587</v>
      </c>
      <c r="O38" s="4">
        <v>45587</v>
      </c>
      <c r="P38" s="1" t="s">
        <v>120</v>
      </c>
      <c r="S38" s="8">
        <v>54239.75</v>
      </c>
      <c r="T38" s="20">
        <v>0</v>
      </c>
      <c r="U38" s="4">
        <v>2</v>
      </c>
      <c r="V38" s="4">
        <v>40</v>
      </c>
      <c r="W38" s="4">
        <v>4</v>
      </c>
      <c r="X38" s="4">
        <v>7304908001</v>
      </c>
      <c r="Y38" s="1" t="s">
        <v>114</v>
      </c>
      <c r="Z38" s="8">
        <v>54239.75</v>
      </c>
      <c r="AA38" s="8">
        <v>0</v>
      </c>
      <c r="AB38" s="8">
        <v>0</v>
      </c>
      <c r="AC38" s="8">
        <v>0</v>
      </c>
      <c r="AD38" s="1" t="s">
        <v>121</v>
      </c>
      <c r="AF38" s="1" t="s">
        <v>122</v>
      </c>
      <c r="AG38" s="1" t="s">
        <v>122</v>
      </c>
      <c r="AL38"/>
      <c r="AM38"/>
    </row>
    <row r="39" spans="2:39" ht="15" x14ac:dyDescent="0.25">
      <c r="B39" s="4" t="s">
        <v>154</v>
      </c>
      <c r="C39" s="4" t="s">
        <v>178</v>
      </c>
      <c r="D39" s="4" t="s">
        <v>179</v>
      </c>
      <c r="E39" s="4" t="s">
        <v>81</v>
      </c>
      <c r="F39" s="4" t="s">
        <v>82</v>
      </c>
      <c r="G39" s="4" t="s">
        <v>104</v>
      </c>
      <c r="H39" s="4" t="s">
        <v>105</v>
      </c>
      <c r="I39" s="1" t="s">
        <v>106</v>
      </c>
      <c r="J39" s="4" t="s">
        <v>65</v>
      </c>
      <c r="K39" s="1" t="s">
        <v>107</v>
      </c>
      <c r="L39" s="4">
        <v>4200000962</v>
      </c>
      <c r="M39" s="4">
        <v>45587</v>
      </c>
      <c r="N39" s="4">
        <v>45587</v>
      </c>
      <c r="O39" s="4">
        <v>45587</v>
      </c>
      <c r="P39" s="1" t="s">
        <v>123</v>
      </c>
      <c r="S39" s="8">
        <v>240000.75</v>
      </c>
      <c r="T39" s="20">
        <v>0</v>
      </c>
      <c r="U39" s="4">
        <v>2</v>
      </c>
      <c r="V39" s="4">
        <v>40</v>
      </c>
      <c r="W39" s="4">
        <v>4</v>
      </c>
      <c r="X39" s="4">
        <v>7304299001</v>
      </c>
      <c r="Y39" s="1" t="s">
        <v>124</v>
      </c>
      <c r="Z39" s="8">
        <v>240000.75</v>
      </c>
      <c r="AA39" s="8">
        <v>0</v>
      </c>
      <c r="AB39" s="8">
        <v>0</v>
      </c>
      <c r="AC39" s="8">
        <v>0</v>
      </c>
      <c r="AD39" s="1" t="s">
        <v>125</v>
      </c>
      <c r="AF39" s="1" t="s">
        <v>126</v>
      </c>
      <c r="AG39" s="1" t="s">
        <v>126</v>
      </c>
      <c r="AL39"/>
      <c r="AM39"/>
    </row>
    <row r="40" spans="2:39" ht="15" x14ac:dyDescent="0.25">
      <c r="B40" s="4" t="s">
        <v>154</v>
      </c>
      <c r="C40" s="4" t="s">
        <v>170</v>
      </c>
      <c r="D40" s="4" t="s">
        <v>179</v>
      </c>
      <c r="E40" s="4" t="s">
        <v>81</v>
      </c>
      <c r="F40" s="4" t="s">
        <v>82</v>
      </c>
      <c r="G40" s="4" t="s">
        <v>104</v>
      </c>
      <c r="H40" s="4" t="s">
        <v>105</v>
      </c>
      <c r="I40" s="1" t="s">
        <v>106</v>
      </c>
      <c r="J40" s="4" t="s">
        <v>65</v>
      </c>
      <c r="K40" s="1" t="s">
        <v>107</v>
      </c>
      <c r="L40" s="4">
        <v>4200000962</v>
      </c>
      <c r="M40" s="4">
        <v>45587</v>
      </c>
      <c r="N40" s="4">
        <v>45587</v>
      </c>
      <c r="O40" s="4">
        <v>45587</v>
      </c>
      <c r="P40" s="1" t="s">
        <v>123</v>
      </c>
      <c r="S40" s="8">
        <v>240000.75</v>
      </c>
      <c r="T40" s="20">
        <v>0</v>
      </c>
      <c r="U40" s="4">
        <v>1</v>
      </c>
      <c r="V40" s="4">
        <v>50</v>
      </c>
      <c r="W40" s="4">
        <v>5</v>
      </c>
      <c r="X40" s="4">
        <v>1570404001</v>
      </c>
      <c r="Y40" s="1" t="s">
        <v>109</v>
      </c>
      <c r="Z40" s="8">
        <v>0</v>
      </c>
      <c r="AA40" s="8">
        <v>0</v>
      </c>
      <c r="AB40" s="8">
        <v>240000.75</v>
      </c>
      <c r="AC40" s="8">
        <v>0</v>
      </c>
      <c r="AD40" s="1" t="s">
        <v>125</v>
      </c>
      <c r="AL40"/>
      <c r="AM40"/>
    </row>
    <row r="41" spans="2:39" ht="15" x14ac:dyDescent="0.25">
      <c r="B41" s="4" t="s">
        <v>154</v>
      </c>
      <c r="C41" s="4" t="s">
        <v>180</v>
      </c>
      <c r="D41" s="4" t="s">
        <v>181</v>
      </c>
      <c r="E41" s="4" t="s">
        <v>81</v>
      </c>
      <c r="F41" s="4" t="s">
        <v>82</v>
      </c>
      <c r="G41" s="4" t="s">
        <v>104</v>
      </c>
      <c r="H41" s="4" t="s">
        <v>105</v>
      </c>
      <c r="I41" s="1" t="s">
        <v>106</v>
      </c>
      <c r="J41" s="4" t="s">
        <v>65</v>
      </c>
      <c r="K41" s="1" t="s">
        <v>107</v>
      </c>
      <c r="L41" s="4">
        <v>4200000963</v>
      </c>
      <c r="M41" s="4">
        <v>45587</v>
      </c>
      <c r="N41" s="4">
        <v>45587</v>
      </c>
      <c r="O41" s="4">
        <v>45587</v>
      </c>
      <c r="P41" s="1" t="s">
        <v>127</v>
      </c>
      <c r="S41" s="8">
        <v>57052.98</v>
      </c>
      <c r="T41" s="20">
        <v>0</v>
      </c>
      <c r="U41" s="4">
        <v>4</v>
      </c>
      <c r="V41" s="4">
        <v>40</v>
      </c>
      <c r="W41" s="4">
        <v>4</v>
      </c>
      <c r="X41" s="4">
        <v>6590101001</v>
      </c>
      <c r="Y41" s="1" t="s">
        <v>128</v>
      </c>
      <c r="Z41" s="8">
        <v>6802.98</v>
      </c>
      <c r="AA41" s="8">
        <v>0</v>
      </c>
      <c r="AB41" s="8">
        <v>0</v>
      </c>
      <c r="AC41" s="8">
        <v>0</v>
      </c>
      <c r="AD41" s="1" t="s">
        <v>129</v>
      </c>
      <c r="AF41" s="1" t="s">
        <v>130</v>
      </c>
      <c r="AG41" s="1" t="s">
        <v>130</v>
      </c>
      <c r="AL41"/>
      <c r="AM41"/>
    </row>
    <row r="42" spans="2:39" ht="15" x14ac:dyDescent="0.25">
      <c r="B42" s="4" t="s">
        <v>154</v>
      </c>
      <c r="C42" s="4" t="s">
        <v>180</v>
      </c>
      <c r="D42" s="4" t="s">
        <v>181</v>
      </c>
      <c r="E42" s="4" t="s">
        <v>81</v>
      </c>
      <c r="F42" s="4" t="s">
        <v>82</v>
      </c>
      <c r="G42" s="4" t="s">
        <v>104</v>
      </c>
      <c r="H42" s="4" t="s">
        <v>105</v>
      </c>
      <c r="I42" s="1" t="s">
        <v>106</v>
      </c>
      <c r="J42" s="4" t="s">
        <v>65</v>
      </c>
      <c r="K42" s="1" t="s">
        <v>107</v>
      </c>
      <c r="L42" s="4">
        <v>4200000963</v>
      </c>
      <c r="M42" s="4">
        <v>45587</v>
      </c>
      <c r="N42" s="4">
        <v>45587</v>
      </c>
      <c r="O42" s="4">
        <v>45587</v>
      </c>
      <c r="P42" s="1" t="s">
        <v>127</v>
      </c>
      <c r="S42" s="8">
        <v>57052.98</v>
      </c>
      <c r="T42" s="20">
        <v>0</v>
      </c>
      <c r="U42" s="4">
        <v>3</v>
      </c>
      <c r="V42" s="4">
        <v>40</v>
      </c>
      <c r="W42" s="4">
        <v>4</v>
      </c>
      <c r="X42" s="4">
        <v>6590101001</v>
      </c>
      <c r="Y42" s="1" t="s">
        <v>128</v>
      </c>
      <c r="Z42" s="8">
        <v>50250</v>
      </c>
      <c r="AA42" s="8">
        <v>0</v>
      </c>
      <c r="AB42" s="8">
        <v>0</v>
      </c>
      <c r="AC42" s="8">
        <v>0</v>
      </c>
      <c r="AD42" s="1" t="s">
        <v>131</v>
      </c>
      <c r="AF42" s="1" t="s">
        <v>132</v>
      </c>
      <c r="AG42" s="1" t="s">
        <v>132</v>
      </c>
      <c r="AL42"/>
      <c r="AM42"/>
    </row>
    <row r="43" spans="2:39" ht="15" x14ac:dyDescent="0.25">
      <c r="B43" s="4" t="s">
        <v>154</v>
      </c>
      <c r="C43" s="4" t="s">
        <v>176</v>
      </c>
      <c r="D43" s="4" t="s">
        <v>181</v>
      </c>
      <c r="E43" s="4" t="s">
        <v>81</v>
      </c>
      <c r="F43" s="4" t="s">
        <v>82</v>
      </c>
      <c r="G43" s="4" t="s">
        <v>104</v>
      </c>
      <c r="H43" s="4" t="s">
        <v>105</v>
      </c>
      <c r="I43" s="1" t="s">
        <v>106</v>
      </c>
      <c r="J43" s="4" t="s">
        <v>65</v>
      </c>
      <c r="K43" s="1" t="s">
        <v>107</v>
      </c>
      <c r="L43" s="4">
        <v>4200000963</v>
      </c>
      <c r="M43" s="4">
        <v>45587</v>
      </c>
      <c r="N43" s="4">
        <v>45587</v>
      </c>
      <c r="O43" s="4">
        <v>45587</v>
      </c>
      <c r="P43" s="1" t="s">
        <v>127</v>
      </c>
      <c r="S43" s="8">
        <v>57052.98</v>
      </c>
      <c r="T43" s="20">
        <v>0</v>
      </c>
      <c r="U43" s="4">
        <v>2</v>
      </c>
      <c r="V43" s="4">
        <v>50</v>
      </c>
      <c r="W43" s="4">
        <v>5</v>
      </c>
      <c r="X43" s="4">
        <v>1570303001</v>
      </c>
      <c r="Y43" s="1" t="s">
        <v>119</v>
      </c>
      <c r="Z43" s="8">
        <v>0</v>
      </c>
      <c r="AA43" s="8">
        <v>0</v>
      </c>
      <c r="AB43" s="8">
        <v>6802.98</v>
      </c>
      <c r="AC43" s="8">
        <v>0</v>
      </c>
      <c r="AD43" s="1" t="s">
        <v>129</v>
      </c>
      <c r="AL43"/>
      <c r="AM43"/>
    </row>
    <row r="44" spans="2:39" ht="15" x14ac:dyDescent="0.25">
      <c r="B44" s="4" t="s">
        <v>154</v>
      </c>
      <c r="C44" s="4" t="s">
        <v>176</v>
      </c>
      <c r="D44" s="4" t="s">
        <v>181</v>
      </c>
      <c r="E44" s="4" t="s">
        <v>81</v>
      </c>
      <c r="F44" s="4" t="s">
        <v>82</v>
      </c>
      <c r="G44" s="4" t="s">
        <v>104</v>
      </c>
      <c r="H44" s="4" t="s">
        <v>105</v>
      </c>
      <c r="I44" s="1" t="s">
        <v>106</v>
      </c>
      <c r="J44" s="4" t="s">
        <v>65</v>
      </c>
      <c r="K44" s="1" t="s">
        <v>107</v>
      </c>
      <c r="L44" s="4">
        <v>4200000963</v>
      </c>
      <c r="M44" s="4">
        <v>45587</v>
      </c>
      <c r="N44" s="4">
        <v>45587</v>
      </c>
      <c r="O44" s="4">
        <v>45587</v>
      </c>
      <c r="P44" s="1" t="s">
        <v>127</v>
      </c>
      <c r="S44" s="8">
        <v>57052.98</v>
      </c>
      <c r="T44" s="20">
        <v>0</v>
      </c>
      <c r="U44" s="4">
        <v>1</v>
      </c>
      <c r="V44" s="4">
        <v>50</v>
      </c>
      <c r="W44" s="4">
        <v>5</v>
      </c>
      <c r="X44" s="4">
        <v>1570303001</v>
      </c>
      <c r="Y44" s="1" t="s">
        <v>119</v>
      </c>
      <c r="Z44" s="8">
        <v>0</v>
      </c>
      <c r="AA44" s="8">
        <v>0</v>
      </c>
      <c r="AB44" s="8">
        <v>50250</v>
      </c>
      <c r="AC44" s="8">
        <v>0</v>
      </c>
      <c r="AD44" s="1" t="s">
        <v>131</v>
      </c>
      <c r="AL44"/>
      <c r="AM44"/>
    </row>
    <row r="45" spans="2:39" ht="15" x14ac:dyDescent="0.25">
      <c r="B45" s="4" t="s">
        <v>154</v>
      </c>
      <c r="C45" s="4" t="s">
        <v>176</v>
      </c>
      <c r="D45" s="4" t="s">
        <v>182</v>
      </c>
      <c r="E45" s="4" t="s">
        <v>81</v>
      </c>
      <c r="F45" s="4" t="s">
        <v>82</v>
      </c>
      <c r="G45" s="4" t="s">
        <v>104</v>
      </c>
      <c r="H45" s="4" t="s">
        <v>105</v>
      </c>
      <c r="I45" s="1" t="s">
        <v>106</v>
      </c>
      <c r="J45" s="4" t="s">
        <v>65</v>
      </c>
      <c r="K45" s="1" t="s">
        <v>107</v>
      </c>
      <c r="L45" s="4">
        <v>4200000964</v>
      </c>
      <c r="M45" s="4">
        <v>45587</v>
      </c>
      <c r="N45" s="4">
        <v>45587</v>
      </c>
      <c r="O45" s="4">
        <v>45587</v>
      </c>
      <c r="P45" s="1" t="s">
        <v>133</v>
      </c>
      <c r="S45" s="8">
        <v>66390.009999999995</v>
      </c>
      <c r="T45" s="20">
        <v>0</v>
      </c>
      <c r="U45" s="4">
        <v>2</v>
      </c>
      <c r="V45" s="4">
        <v>50</v>
      </c>
      <c r="W45" s="4">
        <v>5</v>
      </c>
      <c r="X45" s="4">
        <v>1570303001</v>
      </c>
      <c r="Y45" s="1" t="s">
        <v>119</v>
      </c>
      <c r="Z45" s="8">
        <v>0</v>
      </c>
      <c r="AA45" s="8">
        <v>0</v>
      </c>
      <c r="AB45" s="8">
        <v>21495.98</v>
      </c>
      <c r="AC45" s="8">
        <v>0</v>
      </c>
      <c r="AD45" s="1" t="s">
        <v>134</v>
      </c>
      <c r="AL45"/>
      <c r="AM45"/>
    </row>
    <row r="46" spans="2:39" ht="15" x14ac:dyDescent="0.25">
      <c r="B46" s="4" t="s">
        <v>154</v>
      </c>
      <c r="C46" s="4" t="s">
        <v>176</v>
      </c>
      <c r="D46" s="4" t="s">
        <v>182</v>
      </c>
      <c r="E46" s="4" t="s">
        <v>81</v>
      </c>
      <c r="F46" s="4" t="s">
        <v>82</v>
      </c>
      <c r="G46" s="4" t="s">
        <v>104</v>
      </c>
      <c r="H46" s="4" t="s">
        <v>105</v>
      </c>
      <c r="I46" s="1" t="s">
        <v>106</v>
      </c>
      <c r="J46" s="4" t="s">
        <v>65</v>
      </c>
      <c r="K46" s="1" t="s">
        <v>107</v>
      </c>
      <c r="L46" s="4">
        <v>4200000964</v>
      </c>
      <c r="M46" s="4">
        <v>45587</v>
      </c>
      <c r="N46" s="4">
        <v>45587</v>
      </c>
      <c r="O46" s="4">
        <v>45587</v>
      </c>
      <c r="P46" s="1" t="s">
        <v>133</v>
      </c>
      <c r="S46" s="8">
        <v>66390.009999999995</v>
      </c>
      <c r="T46" s="20">
        <v>0</v>
      </c>
      <c r="U46" s="4">
        <v>1</v>
      </c>
      <c r="V46" s="4">
        <v>50</v>
      </c>
      <c r="W46" s="4">
        <v>5</v>
      </c>
      <c r="X46" s="4">
        <v>1570303001</v>
      </c>
      <c r="Y46" s="1" t="s">
        <v>119</v>
      </c>
      <c r="Z46" s="8">
        <v>0</v>
      </c>
      <c r="AA46" s="8">
        <v>0</v>
      </c>
      <c r="AB46" s="8">
        <v>951.03</v>
      </c>
      <c r="AC46" s="8">
        <v>0</v>
      </c>
      <c r="AD46" s="1" t="s">
        <v>135</v>
      </c>
      <c r="AL46"/>
      <c r="AM46"/>
    </row>
    <row r="47" spans="2:39" ht="15" x14ac:dyDescent="0.25">
      <c r="B47" s="4" t="s">
        <v>154</v>
      </c>
      <c r="C47" s="4" t="s">
        <v>176</v>
      </c>
      <c r="D47" s="4" t="s">
        <v>182</v>
      </c>
      <c r="E47" s="4" t="s">
        <v>81</v>
      </c>
      <c r="F47" s="4" t="s">
        <v>82</v>
      </c>
      <c r="G47" s="4" t="s">
        <v>104</v>
      </c>
      <c r="H47" s="4" t="s">
        <v>105</v>
      </c>
      <c r="I47" s="1" t="s">
        <v>106</v>
      </c>
      <c r="J47" s="4" t="s">
        <v>65</v>
      </c>
      <c r="K47" s="1" t="s">
        <v>107</v>
      </c>
      <c r="L47" s="4">
        <v>4200000964</v>
      </c>
      <c r="M47" s="4">
        <v>45587</v>
      </c>
      <c r="N47" s="4">
        <v>45587</v>
      </c>
      <c r="O47" s="4">
        <v>45587</v>
      </c>
      <c r="P47" s="1" t="s">
        <v>133</v>
      </c>
      <c r="S47" s="8">
        <v>66390.009999999995</v>
      </c>
      <c r="T47" s="20">
        <v>0</v>
      </c>
      <c r="U47" s="4">
        <v>3</v>
      </c>
      <c r="V47" s="4">
        <v>50</v>
      </c>
      <c r="W47" s="4">
        <v>5</v>
      </c>
      <c r="X47" s="4">
        <v>1570303001</v>
      </c>
      <c r="Y47" s="1" t="s">
        <v>119</v>
      </c>
      <c r="Z47" s="8">
        <v>0</v>
      </c>
      <c r="AA47" s="8">
        <v>0</v>
      </c>
      <c r="AB47" s="8">
        <v>21495.98</v>
      </c>
      <c r="AC47" s="8">
        <v>0</v>
      </c>
      <c r="AD47" s="1" t="s">
        <v>134</v>
      </c>
      <c r="AL47"/>
      <c r="AM47"/>
    </row>
    <row r="48" spans="2:39" ht="15" x14ac:dyDescent="0.25">
      <c r="B48" s="4" t="s">
        <v>154</v>
      </c>
      <c r="C48" s="4" t="s">
        <v>176</v>
      </c>
      <c r="D48" s="4" t="s">
        <v>182</v>
      </c>
      <c r="E48" s="4" t="s">
        <v>81</v>
      </c>
      <c r="F48" s="4" t="s">
        <v>82</v>
      </c>
      <c r="G48" s="4" t="s">
        <v>104</v>
      </c>
      <c r="H48" s="4" t="s">
        <v>105</v>
      </c>
      <c r="I48" s="1" t="s">
        <v>106</v>
      </c>
      <c r="J48" s="4" t="s">
        <v>65</v>
      </c>
      <c r="K48" s="1" t="s">
        <v>107</v>
      </c>
      <c r="L48" s="4">
        <v>4200000964</v>
      </c>
      <c r="M48" s="4">
        <v>45587</v>
      </c>
      <c r="N48" s="4">
        <v>45587</v>
      </c>
      <c r="O48" s="4">
        <v>45587</v>
      </c>
      <c r="P48" s="1" t="s">
        <v>133</v>
      </c>
      <c r="S48" s="8">
        <v>66390.009999999995</v>
      </c>
      <c r="T48" s="20">
        <v>0</v>
      </c>
      <c r="U48" s="4">
        <v>4</v>
      </c>
      <c r="V48" s="4">
        <v>50</v>
      </c>
      <c r="W48" s="4">
        <v>5</v>
      </c>
      <c r="X48" s="4">
        <v>1570303001</v>
      </c>
      <c r="Y48" s="1" t="s">
        <v>119</v>
      </c>
      <c r="Z48" s="8">
        <v>0</v>
      </c>
      <c r="AA48" s="8">
        <v>0</v>
      </c>
      <c r="AB48" s="8">
        <v>21495.98</v>
      </c>
      <c r="AC48" s="8">
        <v>0</v>
      </c>
      <c r="AD48" s="1" t="s">
        <v>134</v>
      </c>
      <c r="AL48"/>
      <c r="AM48"/>
    </row>
    <row r="49" spans="2:39" ht="15" x14ac:dyDescent="0.25">
      <c r="B49" s="4" t="s">
        <v>154</v>
      </c>
      <c r="C49" s="4" t="s">
        <v>176</v>
      </c>
      <c r="D49" s="4" t="s">
        <v>182</v>
      </c>
      <c r="E49" s="4" t="s">
        <v>81</v>
      </c>
      <c r="F49" s="4" t="s">
        <v>82</v>
      </c>
      <c r="G49" s="4" t="s">
        <v>104</v>
      </c>
      <c r="H49" s="4" t="s">
        <v>105</v>
      </c>
      <c r="I49" s="1" t="s">
        <v>106</v>
      </c>
      <c r="J49" s="4" t="s">
        <v>65</v>
      </c>
      <c r="K49" s="1" t="s">
        <v>107</v>
      </c>
      <c r="L49" s="4">
        <v>4200000964</v>
      </c>
      <c r="M49" s="4">
        <v>45587</v>
      </c>
      <c r="N49" s="4">
        <v>45587</v>
      </c>
      <c r="O49" s="4">
        <v>45587</v>
      </c>
      <c r="P49" s="1" t="s">
        <v>133</v>
      </c>
      <c r="S49" s="8">
        <v>66390.009999999995</v>
      </c>
      <c r="T49" s="20">
        <v>0</v>
      </c>
      <c r="U49" s="4">
        <v>5</v>
      </c>
      <c r="V49" s="4">
        <v>50</v>
      </c>
      <c r="W49" s="4">
        <v>5</v>
      </c>
      <c r="X49" s="4">
        <v>1570303001</v>
      </c>
      <c r="Y49" s="1" t="s">
        <v>119</v>
      </c>
      <c r="Z49" s="8">
        <v>0</v>
      </c>
      <c r="AA49" s="8">
        <v>0</v>
      </c>
      <c r="AB49" s="8">
        <v>951.04</v>
      </c>
      <c r="AC49" s="8">
        <v>0</v>
      </c>
      <c r="AD49" s="1" t="s">
        <v>135</v>
      </c>
      <c r="AL49"/>
      <c r="AM49"/>
    </row>
    <row r="50" spans="2:39" ht="15" x14ac:dyDescent="0.25">
      <c r="B50" s="4" t="s">
        <v>154</v>
      </c>
      <c r="C50" s="4" t="s">
        <v>173</v>
      </c>
      <c r="D50" s="4" t="s">
        <v>182</v>
      </c>
      <c r="E50" s="4" t="s">
        <v>81</v>
      </c>
      <c r="F50" s="4" t="s">
        <v>82</v>
      </c>
      <c r="G50" s="4" t="s">
        <v>104</v>
      </c>
      <c r="H50" s="4" t="s">
        <v>105</v>
      </c>
      <c r="I50" s="1" t="s">
        <v>106</v>
      </c>
      <c r="J50" s="4" t="s">
        <v>65</v>
      </c>
      <c r="K50" s="1" t="s">
        <v>107</v>
      </c>
      <c r="L50" s="4">
        <v>4200000964</v>
      </c>
      <c r="M50" s="4">
        <v>45587</v>
      </c>
      <c r="N50" s="4">
        <v>45587</v>
      </c>
      <c r="O50" s="4">
        <v>45587</v>
      </c>
      <c r="P50" s="1" t="s">
        <v>133</v>
      </c>
      <c r="S50" s="8">
        <v>66390.009999999995</v>
      </c>
      <c r="T50" s="20">
        <v>0</v>
      </c>
      <c r="U50" s="4">
        <v>6</v>
      </c>
      <c r="V50" s="4">
        <v>40</v>
      </c>
      <c r="W50" s="4">
        <v>4</v>
      </c>
      <c r="X50" s="4">
        <v>7304908001</v>
      </c>
      <c r="Y50" s="1" t="s">
        <v>114</v>
      </c>
      <c r="Z50" s="8">
        <v>951.03</v>
      </c>
      <c r="AA50" s="8">
        <v>0</v>
      </c>
      <c r="AB50" s="8">
        <v>0</v>
      </c>
      <c r="AC50" s="8">
        <v>0</v>
      </c>
      <c r="AD50" s="1" t="s">
        <v>135</v>
      </c>
      <c r="AF50" s="1" t="s">
        <v>116</v>
      </c>
      <c r="AG50" s="1" t="s">
        <v>116</v>
      </c>
      <c r="AL50"/>
      <c r="AM50"/>
    </row>
    <row r="51" spans="2:39" ht="15" x14ac:dyDescent="0.25">
      <c r="B51" s="4" t="s">
        <v>154</v>
      </c>
      <c r="C51" s="4" t="s">
        <v>173</v>
      </c>
      <c r="D51" s="4" t="s">
        <v>182</v>
      </c>
      <c r="E51" s="4" t="s">
        <v>81</v>
      </c>
      <c r="F51" s="4" t="s">
        <v>82</v>
      </c>
      <c r="G51" s="4" t="s">
        <v>104</v>
      </c>
      <c r="H51" s="4" t="s">
        <v>105</v>
      </c>
      <c r="I51" s="1" t="s">
        <v>106</v>
      </c>
      <c r="J51" s="4" t="s">
        <v>65</v>
      </c>
      <c r="K51" s="1" t="s">
        <v>107</v>
      </c>
      <c r="L51" s="4">
        <v>4200000964</v>
      </c>
      <c r="M51" s="4">
        <v>45587</v>
      </c>
      <c r="N51" s="4">
        <v>45587</v>
      </c>
      <c r="O51" s="4">
        <v>45587</v>
      </c>
      <c r="P51" s="1" t="s">
        <v>133</v>
      </c>
      <c r="S51" s="8">
        <v>66390.009999999995</v>
      </c>
      <c r="T51" s="20">
        <v>0</v>
      </c>
      <c r="U51" s="4">
        <v>7</v>
      </c>
      <c r="V51" s="4">
        <v>40</v>
      </c>
      <c r="W51" s="4">
        <v>4</v>
      </c>
      <c r="X51" s="4">
        <v>7304908001</v>
      </c>
      <c r="Y51" s="1" t="s">
        <v>114</v>
      </c>
      <c r="Z51" s="8">
        <v>21495.98</v>
      </c>
      <c r="AA51" s="8">
        <v>0</v>
      </c>
      <c r="AB51" s="8">
        <v>0</v>
      </c>
      <c r="AC51" s="8">
        <v>0</v>
      </c>
      <c r="AD51" s="1" t="s">
        <v>134</v>
      </c>
      <c r="AF51" s="1" t="s">
        <v>136</v>
      </c>
      <c r="AG51" s="1" t="s">
        <v>136</v>
      </c>
      <c r="AL51"/>
      <c r="AM51"/>
    </row>
    <row r="52" spans="2:39" ht="15" x14ac:dyDescent="0.25">
      <c r="B52" s="4" t="s">
        <v>154</v>
      </c>
      <c r="C52" s="4" t="s">
        <v>173</v>
      </c>
      <c r="D52" s="4" t="s">
        <v>182</v>
      </c>
      <c r="E52" s="4" t="s">
        <v>81</v>
      </c>
      <c r="F52" s="4" t="s">
        <v>82</v>
      </c>
      <c r="G52" s="4" t="s">
        <v>104</v>
      </c>
      <c r="H52" s="4" t="s">
        <v>105</v>
      </c>
      <c r="I52" s="1" t="s">
        <v>106</v>
      </c>
      <c r="J52" s="4" t="s">
        <v>65</v>
      </c>
      <c r="K52" s="1" t="s">
        <v>107</v>
      </c>
      <c r="L52" s="4">
        <v>4200000964</v>
      </c>
      <c r="M52" s="4">
        <v>45587</v>
      </c>
      <c r="N52" s="4">
        <v>45587</v>
      </c>
      <c r="O52" s="4">
        <v>45587</v>
      </c>
      <c r="P52" s="1" t="s">
        <v>133</v>
      </c>
      <c r="S52" s="8">
        <v>66390.009999999995</v>
      </c>
      <c r="T52" s="20">
        <v>0</v>
      </c>
      <c r="U52" s="4">
        <v>8</v>
      </c>
      <c r="V52" s="4">
        <v>40</v>
      </c>
      <c r="W52" s="4">
        <v>4</v>
      </c>
      <c r="X52" s="4">
        <v>7304908001</v>
      </c>
      <c r="Y52" s="1" t="s">
        <v>114</v>
      </c>
      <c r="Z52" s="8">
        <v>21495.98</v>
      </c>
      <c r="AA52" s="8">
        <v>0</v>
      </c>
      <c r="AB52" s="8">
        <v>0</v>
      </c>
      <c r="AC52" s="8">
        <v>0</v>
      </c>
      <c r="AD52" s="1" t="s">
        <v>134</v>
      </c>
      <c r="AF52" s="1" t="s">
        <v>137</v>
      </c>
      <c r="AG52" s="1" t="s">
        <v>137</v>
      </c>
      <c r="AL52"/>
      <c r="AM52"/>
    </row>
    <row r="53" spans="2:39" ht="15" x14ac:dyDescent="0.25">
      <c r="B53" s="4" t="s">
        <v>154</v>
      </c>
      <c r="C53" s="4" t="s">
        <v>173</v>
      </c>
      <c r="D53" s="4" t="s">
        <v>182</v>
      </c>
      <c r="E53" s="4" t="s">
        <v>81</v>
      </c>
      <c r="F53" s="4" t="s">
        <v>82</v>
      </c>
      <c r="G53" s="4" t="s">
        <v>104</v>
      </c>
      <c r="H53" s="4" t="s">
        <v>105</v>
      </c>
      <c r="I53" s="1" t="s">
        <v>106</v>
      </c>
      <c r="J53" s="4" t="s">
        <v>65</v>
      </c>
      <c r="K53" s="1" t="s">
        <v>107</v>
      </c>
      <c r="L53" s="4">
        <v>4200000964</v>
      </c>
      <c r="M53" s="4">
        <v>45587</v>
      </c>
      <c r="N53" s="4">
        <v>45587</v>
      </c>
      <c r="O53" s="4">
        <v>45587</v>
      </c>
      <c r="P53" s="1" t="s">
        <v>133</v>
      </c>
      <c r="S53" s="8">
        <v>66390.009999999995</v>
      </c>
      <c r="T53" s="20">
        <v>0</v>
      </c>
      <c r="U53" s="4">
        <v>9</v>
      </c>
      <c r="V53" s="4">
        <v>40</v>
      </c>
      <c r="W53" s="4">
        <v>4</v>
      </c>
      <c r="X53" s="4">
        <v>7304908001</v>
      </c>
      <c r="Y53" s="1" t="s">
        <v>114</v>
      </c>
      <c r="Z53" s="8">
        <v>21495.98</v>
      </c>
      <c r="AA53" s="8">
        <v>0</v>
      </c>
      <c r="AB53" s="8">
        <v>0</v>
      </c>
      <c r="AC53" s="8">
        <v>0</v>
      </c>
      <c r="AD53" s="1" t="s">
        <v>134</v>
      </c>
      <c r="AF53" s="1" t="s">
        <v>138</v>
      </c>
      <c r="AG53" s="1" t="s">
        <v>138</v>
      </c>
      <c r="AL53"/>
      <c r="AM53"/>
    </row>
    <row r="54" spans="2:39" ht="15" x14ac:dyDescent="0.25">
      <c r="B54" s="4" t="s">
        <v>154</v>
      </c>
      <c r="C54" s="4" t="s">
        <v>173</v>
      </c>
      <c r="D54" s="4" t="s">
        <v>182</v>
      </c>
      <c r="E54" s="4" t="s">
        <v>81</v>
      </c>
      <c r="F54" s="4" t="s">
        <v>82</v>
      </c>
      <c r="G54" s="4" t="s">
        <v>104</v>
      </c>
      <c r="H54" s="4" t="s">
        <v>105</v>
      </c>
      <c r="I54" s="1" t="s">
        <v>106</v>
      </c>
      <c r="J54" s="4" t="s">
        <v>65</v>
      </c>
      <c r="K54" s="1" t="s">
        <v>107</v>
      </c>
      <c r="L54" s="4">
        <v>4200000964</v>
      </c>
      <c r="M54" s="4">
        <v>45587</v>
      </c>
      <c r="N54" s="4">
        <v>45587</v>
      </c>
      <c r="O54" s="4">
        <v>45587</v>
      </c>
      <c r="P54" s="1" t="s">
        <v>133</v>
      </c>
      <c r="S54" s="8">
        <v>66390.009999999995</v>
      </c>
      <c r="T54" s="20">
        <v>0</v>
      </c>
      <c r="U54" s="4">
        <v>10</v>
      </c>
      <c r="V54" s="4">
        <v>40</v>
      </c>
      <c r="W54" s="4">
        <v>4</v>
      </c>
      <c r="X54" s="4">
        <v>7304908001</v>
      </c>
      <c r="Y54" s="1" t="s">
        <v>114</v>
      </c>
      <c r="Z54" s="8">
        <v>951.04</v>
      </c>
      <c r="AA54" s="8">
        <v>0</v>
      </c>
      <c r="AB54" s="8">
        <v>0</v>
      </c>
      <c r="AC54" s="8">
        <v>0</v>
      </c>
      <c r="AD54" s="1" t="s">
        <v>135</v>
      </c>
      <c r="AF54" s="1" t="s">
        <v>115</v>
      </c>
      <c r="AG54" s="1" t="s">
        <v>115</v>
      </c>
      <c r="AL54"/>
      <c r="AM54"/>
    </row>
    <row r="55" spans="2:39" ht="15" x14ac:dyDescent="0.25">
      <c r="B55" s="4" t="s">
        <v>154</v>
      </c>
      <c r="C55" s="4" t="s">
        <v>176</v>
      </c>
      <c r="D55" s="4" t="s">
        <v>183</v>
      </c>
      <c r="E55" s="4" t="s">
        <v>81</v>
      </c>
      <c r="F55" s="4" t="s">
        <v>82</v>
      </c>
      <c r="G55" s="4" t="s">
        <v>104</v>
      </c>
      <c r="H55" s="4" t="s">
        <v>105</v>
      </c>
      <c r="I55" s="1" t="s">
        <v>106</v>
      </c>
      <c r="J55" s="4" t="s">
        <v>65</v>
      </c>
      <c r="K55" s="1" t="s">
        <v>107</v>
      </c>
      <c r="L55" s="4">
        <v>4200000965</v>
      </c>
      <c r="M55" s="4">
        <v>45587</v>
      </c>
      <c r="N55" s="4">
        <v>45587</v>
      </c>
      <c r="O55" s="4">
        <v>45587</v>
      </c>
      <c r="S55" s="8">
        <v>30553.279999999999</v>
      </c>
      <c r="T55" s="20">
        <v>0</v>
      </c>
      <c r="U55" s="4">
        <v>1</v>
      </c>
      <c r="V55" s="4">
        <v>50</v>
      </c>
      <c r="W55" s="4">
        <v>5</v>
      </c>
      <c r="X55" s="4">
        <v>1570303001</v>
      </c>
      <c r="Y55" s="1" t="s">
        <v>119</v>
      </c>
      <c r="Z55" s="8">
        <v>0</v>
      </c>
      <c r="AA55" s="8">
        <v>0</v>
      </c>
      <c r="AB55" s="8">
        <v>30553.279999999999</v>
      </c>
      <c r="AC55" s="8">
        <v>0</v>
      </c>
      <c r="AD55" s="1" t="s">
        <v>139</v>
      </c>
      <c r="AL55"/>
      <c r="AM55"/>
    </row>
    <row r="56" spans="2:39" ht="15" x14ac:dyDescent="0.25">
      <c r="B56" s="4" t="s">
        <v>154</v>
      </c>
      <c r="C56" s="4" t="s">
        <v>170</v>
      </c>
      <c r="D56" s="4" t="s">
        <v>183</v>
      </c>
      <c r="E56" s="4" t="s">
        <v>81</v>
      </c>
      <c r="F56" s="4" t="s">
        <v>82</v>
      </c>
      <c r="G56" s="4" t="s">
        <v>104</v>
      </c>
      <c r="H56" s="4" t="s">
        <v>105</v>
      </c>
      <c r="I56" s="1" t="s">
        <v>106</v>
      </c>
      <c r="J56" s="4" t="s">
        <v>65</v>
      </c>
      <c r="K56" s="1" t="s">
        <v>107</v>
      </c>
      <c r="L56" s="4">
        <v>4200000965</v>
      </c>
      <c r="M56" s="4">
        <v>45587</v>
      </c>
      <c r="N56" s="4">
        <v>45587</v>
      </c>
      <c r="O56" s="4">
        <v>45587</v>
      </c>
      <c r="S56" s="8">
        <v>30553.279999999999</v>
      </c>
      <c r="T56" s="20">
        <v>0</v>
      </c>
      <c r="U56" s="4">
        <v>2</v>
      </c>
      <c r="V56" s="4">
        <v>40</v>
      </c>
      <c r="W56" s="4">
        <v>4</v>
      </c>
      <c r="X56" s="4">
        <v>1570404001</v>
      </c>
      <c r="Y56" s="1" t="s">
        <v>109</v>
      </c>
      <c r="Z56" s="8">
        <v>30553.279999999999</v>
      </c>
      <c r="AA56" s="8">
        <v>0</v>
      </c>
      <c r="AB56" s="8">
        <v>0</v>
      </c>
      <c r="AC56" s="8">
        <v>0</v>
      </c>
      <c r="AD56" s="1" t="s">
        <v>139</v>
      </c>
      <c r="AL56"/>
      <c r="AM56"/>
    </row>
    <row r="57" spans="2:39" ht="15" x14ac:dyDescent="0.25">
      <c r="B57" s="4" t="s">
        <v>154</v>
      </c>
      <c r="C57" s="4" t="s">
        <v>170</v>
      </c>
      <c r="D57" s="4" t="s">
        <v>184</v>
      </c>
      <c r="E57" s="4" t="s">
        <v>81</v>
      </c>
      <c r="F57" s="4" t="s">
        <v>82</v>
      </c>
      <c r="G57" s="4" t="s">
        <v>104</v>
      </c>
      <c r="H57" s="4" t="s">
        <v>105</v>
      </c>
      <c r="I57" s="1" t="s">
        <v>106</v>
      </c>
      <c r="J57" s="4" t="s">
        <v>65</v>
      </c>
      <c r="K57" s="1" t="s">
        <v>107</v>
      </c>
      <c r="L57" s="4">
        <v>4200000966</v>
      </c>
      <c r="M57" s="4">
        <v>45587</v>
      </c>
      <c r="N57" s="4">
        <v>45587</v>
      </c>
      <c r="O57" s="4">
        <v>45587</v>
      </c>
      <c r="P57" s="1" t="s">
        <v>140</v>
      </c>
      <c r="S57" s="8">
        <v>4000</v>
      </c>
      <c r="T57" s="20">
        <v>0</v>
      </c>
      <c r="U57" s="4">
        <v>1</v>
      </c>
      <c r="V57" s="4">
        <v>40</v>
      </c>
      <c r="W57" s="4">
        <v>4</v>
      </c>
      <c r="X57" s="4">
        <v>1570404001</v>
      </c>
      <c r="Y57" s="1" t="s">
        <v>109</v>
      </c>
      <c r="Z57" s="8">
        <v>4000</v>
      </c>
      <c r="AA57" s="8">
        <v>0</v>
      </c>
      <c r="AB57" s="8">
        <v>0</v>
      </c>
      <c r="AC57" s="8">
        <v>0</v>
      </c>
      <c r="AD57" s="1" t="s">
        <v>141</v>
      </c>
      <c r="AL57"/>
      <c r="AM57"/>
    </row>
    <row r="58" spans="2:39" ht="15" x14ac:dyDescent="0.25">
      <c r="B58" s="4" t="s">
        <v>154</v>
      </c>
      <c r="C58" s="4" t="s">
        <v>185</v>
      </c>
      <c r="D58" s="4" t="s">
        <v>184</v>
      </c>
      <c r="E58" s="4" t="s">
        <v>81</v>
      </c>
      <c r="F58" s="4" t="s">
        <v>82</v>
      </c>
      <c r="G58" s="4" t="s">
        <v>104</v>
      </c>
      <c r="H58" s="4" t="s">
        <v>105</v>
      </c>
      <c r="I58" s="1" t="s">
        <v>106</v>
      </c>
      <c r="J58" s="4" t="s">
        <v>65</v>
      </c>
      <c r="K58" s="1" t="s">
        <v>107</v>
      </c>
      <c r="L58" s="4">
        <v>4200000966</v>
      </c>
      <c r="M58" s="4">
        <v>45587</v>
      </c>
      <c r="N58" s="4">
        <v>45587</v>
      </c>
      <c r="O58" s="4">
        <v>45587</v>
      </c>
      <c r="P58" s="1" t="s">
        <v>140</v>
      </c>
      <c r="S58" s="8">
        <v>4000</v>
      </c>
      <c r="T58" s="20">
        <v>0</v>
      </c>
      <c r="U58" s="4">
        <v>2</v>
      </c>
      <c r="V58" s="4">
        <v>50</v>
      </c>
      <c r="W58" s="4">
        <v>5</v>
      </c>
      <c r="X58" s="4">
        <v>6790401001</v>
      </c>
      <c r="Y58" s="1" t="s">
        <v>142</v>
      </c>
      <c r="Z58" s="8">
        <v>0</v>
      </c>
      <c r="AA58" s="8">
        <v>0</v>
      </c>
      <c r="AB58" s="8">
        <v>4000</v>
      </c>
      <c r="AC58" s="8">
        <v>0</v>
      </c>
      <c r="AD58" s="1" t="s">
        <v>141</v>
      </c>
      <c r="AG58" s="1" t="s">
        <v>143</v>
      </c>
      <c r="AL58"/>
      <c r="AM58"/>
    </row>
    <row r="59" spans="2:39" ht="15" x14ac:dyDescent="0.25">
      <c r="B59" s="4" t="s">
        <v>154</v>
      </c>
      <c r="C59" s="4" t="s">
        <v>170</v>
      </c>
      <c r="D59" s="4" t="s">
        <v>186</v>
      </c>
      <c r="E59" s="4" t="s">
        <v>81</v>
      </c>
      <c r="F59" s="4" t="s">
        <v>82</v>
      </c>
      <c r="G59" s="4" t="s">
        <v>104</v>
      </c>
      <c r="H59" s="4" t="s">
        <v>105</v>
      </c>
      <c r="I59" s="1" t="s">
        <v>106</v>
      </c>
      <c r="J59" s="4" t="s">
        <v>65</v>
      </c>
      <c r="K59" s="1" t="s">
        <v>107</v>
      </c>
      <c r="L59" s="4">
        <v>4200000967</v>
      </c>
      <c r="M59" s="4">
        <v>45587</v>
      </c>
      <c r="N59" s="4">
        <v>45587</v>
      </c>
      <c r="O59" s="4">
        <v>45587</v>
      </c>
      <c r="P59" s="1" t="s">
        <v>144</v>
      </c>
      <c r="S59" s="8">
        <v>7116.79</v>
      </c>
      <c r="T59" s="20">
        <v>0</v>
      </c>
      <c r="U59" s="4">
        <v>1</v>
      </c>
      <c r="V59" s="4">
        <v>40</v>
      </c>
      <c r="W59" s="4">
        <v>4</v>
      </c>
      <c r="X59" s="4">
        <v>1570404001</v>
      </c>
      <c r="Y59" s="1" t="s">
        <v>109</v>
      </c>
      <c r="Z59" s="8">
        <v>7116.79</v>
      </c>
      <c r="AA59" s="8">
        <v>0</v>
      </c>
      <c r="AB59" s="8">
        <v>0</v>
      </c>
      <c r="AC59" s="8">
        <v>0</v>
      </c>
      <c r="AD59" s="1" t="s">
        <v>144</v>
      </c>
      <c r="AL59"/>
      <c r="AM59"/>
    </row>
    <row r="60" spans="2:39" ht="15" x14ac:dyDescent="0.25">
      <c r="B60" s="4" t="s">
        <v>154</v>
      </c>
      <c r="C60" s="4" t="s">
        <v>187</v>
      </c>
      <c r="D60" s="4" t="s">
        <v>186</v>
      </c>
      <c r="E60" s="4" t="s">
        <v>81</v>
      </c>
      <c r="F60" s="4" t="s">
        <v>82</v>
      </c>
      <c r="G60" s="4" t="s">
        <v>104</v>
      </c>
      <c r="H60" s="4" t="s">
        <v>105</v>
      </c>
      <c r="I60" s="1" t="s">
        <v>106</v>
      </c>
      <c r="J60" s="4" t="s">
        <v>65</v>
      </c>
      <c r="K60" s="1" t="s">
        <v>107</v>
      </c>
      <c r="L60" s="4">
        <v>4200000967</v>
      </c>
      <c r="M60" s="4">
        <v>45587</v>
      </c>
      <c r="N60" s="4">
        <v>45587</v>
      </c>
      <c r="O60" s="4">
        <v>45587</v>
      </c>
      <c r="P60" s="1" t="s">
        <v>144</v>
      </c>
      <c r="S60" s="8">
        <v>7116.79</v>
      </c>
      <c r="T60" s="20">
        <v>0</v>
      </c>
      <c r="U60" s="4">
        <v>2</v>
      </c>
      <c r="V60" s="4">
        <v>50</v>
      </c>
      <c r="W60" s="4">
        <v>5</v>
      </c>
      <c r="X60" s="4">
        <v>7703201001</v>
      </c>
      <c r="Y60" s="1" t="s">
        <v>145</v>
      </c>
      <c r="Z60" s="8">
        <v>0</v>
      </c>
      <c r="AA60" s="8">
        <v>0</v>
      </c>
      <c r="AB60" s="8">
        <v>7116.79</v>
      </c>
      <c r="AC60" s="8">
        <v>0</v>
      </c>
      <c r="AD60" s="1" t="s">
        <v>144</v>
      </c>
      <c r="AF60" s="1" t="s">
        <v>146</v>
      </c>
      <c r="AG60" s="1" t="s">
        <v>146</v>
      </c>
      <c r="AL60"/>
      <c r="AM60"/>
    </row>
    <row r="61" spans="2:39" ht="15" x14ac:dyDescent="0.25">
      <c r="B61" s="4" t="s">
        <v>154</v>
      </c>
      <c r="C61" s="4" t="s">
        <v>188</v>
      </c>
      <c r="D61" s="4" t="s">
        <v>189</v>
      </c>
      <c r="E61" s="4" t="s">
        <v>147</v>
      </c>
      <c r="F61" s="4" t="s">
        <v>82</v>
      </c>
      <c r="G61" s="4" t="s">
        <v>148</v>
      </c>
      <c r="H61" s="4" t="s">
        <v>84</v>
      </c>
      <c r="I61" s="1" t="s">
        <v>85</v>
      </c>
      <c r="J61" s="4" t="s">
        <v>64</v>
      </c>
      <c r="K61" s="1" t="s">
        <v>86</v>
      </c>
      <c r="L61" s="4">
        <v>2500001216</v>
      </c>
      <c r="M61" s="4">
        <v>45596</v>
      </c>
      <c r="N61" s="4">
        <v>45600</v>
      </c>
      <c r="O61" s="4">
        <v>45596</v>
      </c>
      <c r="S61" s="8">
        <v>578.80999999999995</v>
      </c>
      <c r="T61" s="20">
        <v>0</v>
      </c>
      <c r="U61" s="4">
        <v>1</v>
      </c>
      <c r="V61" s="4">
        <v>50</v>
      </c>
      <c r="W61" s="4">
        <v>5</v>
      </c>
      <c r="X61" s="4">
        <v>6790909001</v>
      </c>
      <c r="Y61" s="1" t="s">
        <v>149</v>
      </c>
      <c r="Z61" s="8">
        <v>0</v>
      </c>
      <c r="AA61" s="8">
        <v>0</v>
      </c>
      <c r="AB61" s="8">
        <v>578.80999999999995</v>
      </c>
      <c r="AC61" s="8">
        <v>0</v>
      </c>
      <c r="AD61" s="1" t="s">
        <v>150</v>
      </c>
      <c r="AG61" s="1" t="s">
        <v>151</v>
      </c>
      <c r="AL61"/>
      <c r="AM61"/>
    </row>
    <row r="62" spans="2:39" ht="15" x14ac:dyDescent="0.25">
      <c r="B62" s="4" t="s">
        <v>39</v>
      </c>
      <c r="C62" s="4" t="s">
        <v>169</v>
      </c>
      <c r="D62" s="4" t="s">
        <v>189</v>
      </c>
      <c r="E62" s="4" t="s">
        <v>147</v>
      </c>
      <c r="F62" s="4" t="s">
        <v>82</v>
      </c>
      <c r="G62" s="4" t="s">
        <v>148</v>
      </c>
      <c r="H62" s="4" t="s">
        <v>84</v>
      </c>
      <c r="I62" s="1" t="s">
        <v>85</v>
      </c>
      <c r="J62" s="4" t="s">
        <v>64</v>
      </c>
      <c r="K62" s="1" t="s">
        <v>86</v>
      </c>
      <c r="L62" s="4">
        <v>2500001216</v>
      </c>
      <c r="M62" s="4">
        <v>45596</v>
      </c>
      <c r="N62" s="4">
        <v>45600</v>
      </c>
      <c r="O62" s="4">
        <v>45596</v>
      </c>
      <c r="S62" s="8">
        <v>578.80999999999995</v>
      </c>
      <c r="T62" s="20">
        <v>0</v>
      </c>
      <c r="U62" s="4">
        <v>2</v>
      </c>
      <c r="V62" s="4">
        <v>7</v>
      </c>
      <c r="W62" s="4">
        <v>0</v>
      </c>
      <c r="X62" s="4">
        <v>1200101001</v>
      </c>
      <c r="Y62" s="1" t="s">
        <v>103</v>
      </c>
      <c r="Z62" s="8">
        <v>578.80999999999995</v>
      </c>
      <c r="AA62" s="8">
        <v>0</v>
      </c>
      <c r="AB62" s="8">
        <v>0</v>
      </c>
      <c r="AC62" s="8">
        <v>0</v>
      </c>
      <c r="AL62">
        <v>3000010</v>
      </c>
      <c r="AM62" t="s">
        <v>152</v>
      </c>
    </row>
    <row r="63" spans="2:39" ht="15" x14ac:dyDescent="0.25">
      <c r="B63" s="4" t="s">
        <v>39</v>
      </c>
      <c r="C63" s="4" t="s">
        <v>169</v>
      </c>
      <c r="D63" s="4" t="s">
        <v>190</v>
      </c>
      <c r="E63" s="4" t="s">
        <v>147</v>
      </c>
      <c r="F63" s="4" t="s">
        <v>98</v>
      </c>
      <c r="G63" s="4" t="s">
        <v>99</v>
      </c>
      <c r="H63" s="4" t="s">
        <v>84</v>
      </c>
      <c r="I63" s="1" t="s">
        <v>85</v>
      </c>
      <c r="J63" s="4" t="s">
        <v>64</v>
      </c>
      <c r="K63" s="1" t="s">
        <v>86</v>
      </c>
      <c r="L63" s="4">
        <v>2500001219</v>
      </c>
      <c r="M63" s="4">
        <v>45596</v>
      </c>
      <c r="N63" s="4">
        <v>45600</v>
      </c>
      <c r="O63" s="4">
        <v>45596</v>
      </c>
      <c r="S63" s="8">
        <v>1821807.05</v>
      </c>
      <c r="T63" s="20">
        <v>0</v>
      </c>
      <c r="U63" s="4">
        <v>2</v>
      </c>
      <c r="V63" s="4">
        <v>17</v>
      </c>
      <c r="W63" s="4">
        <v>1</v>
      </c>
      <c r="X63" s="4">
        <v>1200101001</v>
      </c>
      <c r="Y63" s="1" t="s">
        <v>103</v>
      </c>
      <c r="Z63" s="8">
        <v>0</v>
      </c>
      <c r="AA63" s="8">
        <v>0</v>
      </c>
      <c r="AB63" s="8">
        <v>1821807.05</v>
      </c>
      <c r="AC63" s="8">
        <v>0</v>
      </c>
      <c r="AL63">
        <v>3000000</v>
      </c>
      <c r="AM63" t="s">
        <v>153</v>
      </c>
    </row>
    <row r="64" spans="2:39" ht="15" x14ac:dyDescent="0.25">
      <c r="B64" s="4" t="s">
        <v>154</v>
      </c>
      <c r="C64" s="4" t="s">
        <v>167</v>
      </c>
      <c r="D64" s="4" t="s">
        <v>190</v>
      </c>
      <c r="E64" s="4" t="s">
        <v>147</v>
      </c>
      <c r="F64" s="4" t="s">
        <v>98</v>
      </c>
      <c r="G64" s="4" t="s">
        <v>99</v>
      </c>
      <c r="H64" s="4" t="s">
        <v>84</v>
      </c>
      <c r="I64" s="1" t="s">
        <v>85</v>
      </c>
      <c r="J64" s="4" t="s">
        <v>64</v>
      </c>
      <c r="K64" s="1" t="s">
        <v>86</v>
      </c>
      <c r="L64" s="4">
        <v>2500001219</v>
      </c>
      <c r="M64" s="4">
        <v>45596</v>
      </c>
      <c r="N64" s="4">
        <v>45600</v>
      </c>
      <c r="O64" s="4">
        <v>45596</v>
      </c>
      <c r="S64" s="8">
        <v>1821807.05</v>
      </c>
      <c r="T64" s="20">
        <v>0</v>
      </c>
      <c r="U64" s="4">
        <v>1</v>
      </c>
      <c r="V64" s="4">
        <v>9</v>
      </c>
      <c r="W64" s="4">
        <v>0</v>
      </c>
      <c r="X64" s="4">
        <v>1330101001</v>
      </c>
      <c r="Y64" s="1" t="s">
        <v>100</v>
      </c>
      <c r="Z64" s="8">
        <v>1821807.05</v>
      </c>
      <c r="AA64" s="8">
        <v>0</v>
      </c>
      <c r="AB64" s="8">
        <v>0</v>
      </c>
      <c r="AC64" s="8">
        <v>0</v>
      </c>
      <c r="AD64" s="1" t="s">
        <v>101</v>
      </c>
      <c r="AL64">
        <v>3000000</v>
      </c>
      <c r="AM64" t="s">
        <v>153</v>
      </c>
    </row>
    <row r="65" spans="2:39" ht="15" x14ac:dyDescent="0.25">
      <c r="B65" s="4" t="s">
        <v>39</v>
      </c>
      <c r="C65" s="4" t="s">
        <v>36</v>
      </c>
      <c r="D65" s="4" t="s">
        <v>72</v>
      </c>
      <c r="E65" s="4"/>
      <c r="F65" s="4"/>
      <c r="G65" s="4"/>
      <c r="H65" s="4"/>
      <c r="J65" s="4"/>
      <c r="L65" s="4"/>
      <c r="M65" s="4"/>
      <c r="N65" s="4"/>
      <c r="O65" s="4"/>
      <c r="S65" s="8">
        <v>14751768.68</v>
      </c>
      <c r="T65" s="20"/>
      <c r="U65" s="4"/>
      <c r="V65" s="4"/>
      <c r="W65" s="4"/>
      <c r="X65" s="4"/>
      <c r="Z65" s="8"/>
      <c r="AA65" s="8"/>
      <c r="AB65" s="8"/>
      <c r="AC65" s="8"/>
      <c r="AL65"/>
      <c r="AM65"/>
    </row>
  </sheetData>
  <phoneticPr fontId="1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8DE7-F0C6-4CCE-A8A8-5CCA7B4853F1}">
  <sheetPr>
    <tabColor theme="4" tint="-0.249977111117893"/>
  </sheetPr>
  <dimension ref="B1:M28"/>
  <sheetViews>
    <sheetView showGridLines="0" workbookViewId="0">
      <pane ySplit="5" topLeftCell="A6" activePane="bottomLeft" state="frozen"/>
      <selection pane="bottomLeft" activeCell="A4" sqref="A4"/>
    </sheetView>
  </sheetViews>
  <sheetFormatPr defaultColWidth="8.85546875" defaultRowHeight="12" x14ac:dyDescent="0.2"/>
  <cols>
    <col min="1" max="1" width="3.28515625" style="1" customWidth="1"/>
    <col min="2" max="2" width="9.28515625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11.42578125" style="1" bestFit="1" customWidth="1"/>
    <col min="7" max="7" width="10.7109375" style="1" bestFit="1" customWidth="1"/>
    <col min="8" max="8" width="13.7109375" style="1" bestFit="1" customWidth="1"/>
    <col min="9" max="9" width="9.42578125" style="1" bestFit="1" customWidth="1"/>
    <col min="10" max="10" width="16" style="1" bestFit="1" customWidth="1"/>
    <col min="11" max="11" width="14.28515625" style="1" bestFit="1" customWidth="1"/>
    <col min="12" max="12" width="24.140625" style="1" bestFit="1" customWidth="1"/>
    <col min="13" max="13" width="18.42578125" style="1" bestFit="1" customWidth="1"/>
    <col min="14" max="16384" width="8.85546875" style="1"/>
  </cols>
  <sheetData>
    <row r="1" spans="2:13" s="9" customFormat="1" ht="18.75" x14ac:dyDescent="0.3">
      <c r="B1" s="10" t="s">
        <v>54</v>
      </c>
    </row>
    <row r="3" spans="2:13" x14ac:dyDescent="0.2">
      <c r="C3" s="35">
        <f>+COUNTA(To_Analyze[[#All],[Type + TCode + Co + Doc N]])-1</f>
        <v>23</v>
      </c>
      <c r="M3" s="29">
        <f>+SUM(To_Analyze[[#All],[Total Deb./Cred.]])</f>
        <v>4733670.6499999994</v>
      </c>
    </row>
    <row r="4" spans="2:13" ht="5.45" customHeight="1" x14ac:dyDescent="0.2"/>
    <row r="5" spans="2:13" ht="12.75" thickBot="1" x14ac:dyDescent="0.25">
      <c r="B5" s="18" t="s">
        <v>0</v>
      </c>
      <c r="C5" s="13" t="s">
        <v>2</v>
      </c>
      <c r="D5" s="19" t="s">
        <v>3</v>
      </c>
      <c r="E5" s="19" t="s">
        <v>4</v>
      </c>
      <c r="F5" s="19" t="s">
        <v>5</v>
      </c>
      <c r="G5" s="19" t="s">
        <v>6</v>
      </c>
      <c r="H5" s="19" t="s">
        <v>7</v>
      </c>
      <c r="I5" s="19" t="s">
        <v>8</v>
      </c>
      <c r="J5" s="19" t="s">
        <v>10</v>
      </c>
      <c r="K5" s="19" t="s">
        <v>13</v>
      </c>
      <c r="L5" s="19" t="s">
        <v>14</v>
      </c>
      <c r="M5" s="19" t="s">
        <v>17</v>
      </c>
    </row>
    <row r="6" spans="2:13" x14ac:dyDescent="0.2">
      <c r="B6" s="4" t="s">
        <v>154</v>
      </c>
      <c r="C6" s="4" t="s">
        <v>156</v>
      </c>
      <c r="D6" s="4" t="s">
        <v>81</v>
      </c>
      <c r="E6" s="4" t="s">
        <v>82</v>
      </c>
      <c r="F6" s="4" t="s">
        <v>83</v>
      </c>
      <c r="G6" s="4" t="s">
        <v>84</v>
      </c>
      <c r="H6" s="1" t="s">
        <v>85</v>
      </c>
      <c r="I6" s="4" t="s">
        <v>64</v>
      </c>
      <c r="J6" s="4">
        <v>2500004886</v>
      </c>
      <c r="K6" s="4">
        <v>45572</v>
      </c>
      <c r="M6" s="8">
        <v>1129.5</v>
      </c>
    </row>
    <row r="7" spans="2:13" x14ac:dyDescent="0.2">
      <c r="B7" s="4" t="s">
        <v>154</v>
      </c>
      <c r="C7" s="4" t="s">
        <v>158</v>
      </c>
      <c r="D7" s="4" t="s">
        <v>81</v>
      </c>
      <c r="E7" s="4" t="s">
        <v>82</v>
      </c>
      <c r="F7" s="4" t="s">
        <v>83</v>
      </c>
      <c r="G7" s="4" t="s">
        <v>84</v>
      </c>
      <c r="H7" s="1" t="s">
        <v>85</v>
      </c>
      <c r="I7" s="4" t="s">
        <v>64</v>
      </c>
      <c r="J7" s="4">
        <v>2500004899</v>
      </c>
      <c r="K7" s="4">
        <v>45572</v>
      </c>
      <c r="M7" s="8">
        <v>1750</v>
      </c>
    </row>
    <row r="8" spans="2:13" x14ac:dyDescent="0.2">
      <c r="B8" s="4" t="s">
        <v>154</v>
      </c>
      <c r="C8" s="4" t="s">
        <v>159</v>
      </c>
      <c r="D8" s="4" t="s">
        <v>81</v>
      </c>
      <c r="E8" s="4" t="s">
        <v>82</v>
      </c>
      <c r="F8" s="4" t="s">
        <v>83</v>
      </c>
      <c r="G8" s="4" t="s">
        <v>84</v>
      </c>
      <c r="H8" s="1" t="s">
        <v>85</v>
      </c>
      <c r="I8" s="4" t="s">
        <v>64</v>
      </c>
      <c r="J8" s="4">
        <v>2500004913</v>
      </c>
      <c r="K8" s="4">
        <v>45572</v>
      </c>
      <c r="M8" s="8">
        <v>1129.5</v>
      </c>
    </row>
    <row r="9" spans="2:13" x14ac:dyDescent="0.2">
      <c r="B9" s="4" t="s">
        <v>154</v>
      </c>
      <c r="C9" s="4" t="s">
        <v>160</v>
      </c>
      <c r="D9" s="4" t="s">
        <v>81</v>
      </c>
      <c r="E9" s="4" t="s">
        <v>82</v>
      </c>
      <c r="F9" s="4" t="s">
        <v>83</v>
      </c>
      <c r="G9" s="4" t="s">
        <v>84</v>
      </c>
      <c r="H9" s="1" t="s">
        <v>85</v>
      </c>
      <c r="I9" s="4" t="s">
        <v>64</v>
      </c>
      <c r="J9" s="4">
        <v>2500004942</v>
      </c>
      <c r="K9" s="4">
        <v>45572</v>
      </c>
      <c r="M9" s="8">
        <v>1129.5</v>
      </c>
    </row>
    <row r="10" spans="2:13" x14ac:dyDescent="0.2">
      <c r="B10" s="4" t="s">
        <v>154</v>
      </c>
      <c r="C10" s="4" t="s">
        <v>161</v>
      </c>
      <c r="D10" s="4" t="s">
        <v>81</v>
      </c>
      <c r="E10" s="4" t="s">
        <v>82</v>
      </c>
      <c r="F10" s="4" t="s">
        <v>83</v>
      </c>
      <c r="G10" s="4" t="s">
        <v>84</v>
      </c>
      <c r="H10" s="1" t="s">
        <v>85</v>
      </c>
      <c r="I10" s="4" t="s">
        <v>64</v>
      </c>
      <c r="J10" s="4">
        <v>2500004952</v>
      </c>
      <c r="K10" s="4">
        <v>45572</v>
      </c>
      <c r="M10" s="8">
        <v>2351.25</v>
      </c>
    </row>
    <row r="11" spans="2:13" x14ac:dyDescent="0.2">
      <c r="B11" s="4" t="s">
        <v>154</v>
      </c>
      <c r="C11" s="4" t="s">
        <v>162</v>
      </c>
      <c r="D11" s="4" t="s">
        <v>81</v>
      </c>
      <c r="E11" s="4" t="s">
        <v>82</v>
      </c>
      <c r="F11" s="4" t="s">
        <v>83</v>
      </c>
      <c r="G11" s="4" t="s">
        <v>84</v>
      </c>
      <c r="H11" s="1" t="s">
        <v>85</v>
      </c>
      <c r="I11" s="4" t="s">
        <v>64</v>
      </c>
      <c r="J11" s="4">
        <v>2500005000</v>
      </c>
      <c r="K11" s="4">
        <v>45572</v>
      </c>
      <c r="M11" s="8">
        <v>1129.5</v>
      </c>
    </row>
    <row r="12" spans="2:13" x14ac:dyDescent="0.2">
      <c r="B12" s="4" t="s">
        <v>154</v>
      </c>
      <c r="C12" s="4" t="s">
        <v>163</v>
      </c>
      <c r="D12" s="4" t="s">
        <v>81</v>
      </c>
      <c r="E12" s="4" t="s">
        <v>82</v>
      </c>
      <c r="F12" s="4" t="s">
        <v>83</v>
      </c>
      <c r="G12" s="4" t="s">
        <v>84</v>
      </c>
      <c r="H12" s="1" t="s">
        <v>85</v>
      </c>
      <c r="I12" s="4" t="s">
        <v>64</v>
      </c>
      <c r="J12" s="4">
        <v>2500005001</v>
      </c>
      <c r="K12" s="4">
        <v>45572</v>
      </c>
      <c r="M12" s="8">
        <v>1129.5</v>
      </c>
    </row>
    <row r="13" spans="2:13" x14ac:dyDescent="0.2">
      <c r="B13" s="4" t="s">
        <v>154</v>
      </c>
      <c r="C13" s="4" t="s">
        <v>164</v>
      </c>
      <c r="D13" s="4" t="s">
        <v>81</v>
      </c>
      <c r="E13" s="4" t="s">
        <v>82</v>
      </c>
      <c r="F13" s="4" t="s">
        <v>83</v>
      </c>
      <c r="G13" s="4" t="s">
        <v>84</v>
      </c>
      <c r="H13" s="1" t="s">
        <v>85</v>
      </c>
      <c r="I13" s="4" t="s">
        <v>64</v>
      </c>
      <c r="J13" s="4">
        <v>2500005008</v>
      </c>
      <c r="K13" s="4">
        <v>45572</v>
      </c>
      <c r="M13" s="8">
        <v>517.5</v>
      </c>
    </row>
    <row r="14" spans="2:13" x14ac:dyDescent="0.2">
      <c r="B14" s="4" t="s">
        <v>154</v>
      </c>
      <c r="C14" s="4" t="s">
        <v>165</v>
      </c>
      <c r="D14" s="4" t="s">
        <v>81</v>
      </c>
      <c r="E14" s="4" t="s">
        <v>82</v>
      </c>
      <c r="F14" s="4" t="s">
        <v>83</v>
      </c>
      <c r="G14" s="4" t="s">
        <v>84</v>
      </c>
      <c r="H14" s="1" t="s">
        <v>85</v>
      </c>
      <c r="I14" s="4" t="s">
        <v>64</v>
      </c>
      <c r="J14" s="4">
        <v>2500005019</v>
      </c>
      <c r="K14" s="4">
        <v>45572</v>
      </c>
      <c r="M14" s="8">
        <v>1129.5</v>
      </c>
    </row>
    <row r="15" spans="2:13" x14ac:dyDescent="0.2">
      <c r="B15" s="4" t="s">
        <v>154</v>
      </c>
      <c r="C15" s="4" t="s">
        <v>166</v>
      </c>
      <c r="D15" s="4" t="s">
        <v>81</v>
      </c>
      <c r="E15" s="4" t="s">
        <v>82</v>
      </c>
      <c r="F15" s="4" t="s">
        <v>83</v>
      </c>
      <c r="G15" s="4" t="s">
        <v>84</v>
      </c>
      <c r="H15" s="1" t="s">
        <v>85</v>
      </c>
      <c r="I15" s="4" t="s">
        <v>64</v>
      </c>
      <c r="J15" s="4">
        <v>2500005224</v>
      </c>
      <c r="K15" s="4">
        <v>45596</v>
      </c>
      <c r="M15" s="8">
        <v>1129.5</v>
      </c>
    </row>
    <row r="16" spans="2:13" x14ac:dyDescent="0.2">
      <c r="B16" s="4" t="s">
        <v>154</v>
      </c>
      <c r="C16" s="4" t="s">
        <v>168</v>
      </c>
      <c r="D16" s="4" t="s">
        <v>81</v>
      </c>
      <c r="E16" s="4" t="s">
        <v>98</v>
      </c>
      <c r="F16" s="4" t="s">
        <v>99</v>
      </c>
      <c r="G16" s="4" t="s">
        <v>84</v>
      </c>
      <c r="H16" s="1" t="s">
        <v>85</v>
      </c>
      <c r="I16" s="4" t="s">
        <v>64</v>
      </c>
      <c r="J16" s="4">
        <v>2500005447</v>
      </c>
      <c r="K16" s="4">
        <v>45596</v>
      </c>
      <c r="M16" s="8">
        <v>2299054.73</v>
      </c>
    </row>
    <row r="17" spans="2:13" x14ac:dyDescent="0.2">
      <c r="B17" s="4" t="s">
        <v>154</v>
      </c>
      <c r="C17" s="4" t="s">
        <v>171</v>
      </c>
      <c r="D17" s="4" t="s">
        <v>81</v>
      </c>
      <c r="E17" s="4" t="s">
        <v>82</v>
      </c>
      <c r="F17" s="4" t="s">
        <v>104</v>
      </c>
      <c r="G17" s="4" t="s">
        <v>105</v>
      </c>
      <c r="H17" s="1" t="s">
        <v>106</v>
      </c>
      <c r="I17" s="4" t="s">
        <v>65</v>
      </c>
      <c r="J17" s="4">
        <v>4200000958</v>
      </c>
      <c r="K17" s="4">
        <v>45587</v>
      </c>
      <c r="L17" s="1" t="s">
        <v>108</v>
      </c>
      <c r="M17" s="8">
        <v>26000</v>
      </c>
    </row>
    <row r="18" spans="2:13" x14ac:dyDescent="0.2">
      <c r="B18" s="4" t="s">
        <v>154</v>
      </c>
      <c r="C18" s="4" t="s">
        <v>174</v>
      </c>
      <c r="D18" s="4" t="s">
        <v>81</v>
      </c>
      <c r="E18" s="4" t="s">
        <v>82</v>
      </c>
      <c r="F18" s="4" t="s">
        <v>104</v>
      </c>
      <c r="G18" s="4" t="s">
        <v>105</v>
      </c>
      <c r="H18" s="1" t="s">
        <v>106</v>
      </c>
      <c r="I18" s="4" t="s">
        <v>65</v>
      </c>
      <c r="J18" s="4">
        <v>4200000959</v>
      </c>
      <c r="K18" s="4">
        <v>45587</v>
      </c>
      <c r="L18" s="1" t="s">
        <v>113</v>
      </c>
      <c r="M18" s="8">
        <v>41091.879999999997</v>
      </c>
    </row>
    <row r="19" spans="2:13" x14ac:dyDescent="0.2">
      <c r="B19" s="4" t="s">
        <v>154</v>
      </c>
      <c r="C19" s="4" t="s">
        <v>175</v>
      </c>
      <c r="D19" s="4" t="s">
        <v>81</v>
      </c>
      <c r="E19" s="4" t="s">
        <v>82</v>
      </c>
      <c r="F19" s="4" t="s">
        <v>104</v>
      </c>
      <c r="G19" s="4" t="s">
        <v>105</v>
      </c>
      <c r="H19" s="1" t="s">
        <v>106</v>
      </c>
      <c r="I19" s="4" t="s">
        <v>65</v>
      </c>
      <c r="J19" s="4">
        <v>4200000960</v>
      </c>
      <c r="K19" s="4">
        <v>45587</v>
      </c>
      <c r="L19" s="1" t="s">
        <v>117</v>
      </c>
      <c r="M19" s="8">
        <v>73259.37</v>
      </c>
    </row>
    <row r="20" spans="2:13" x14ac:dyDescent="0.2">
      <c r="B20" s="4" t="s">
        <v>154</v>
      </c>
      <c r="C20" s="4" t="s">
        <v>177</v>
      </c>
      <c r="D20" s="4" t="s">
        <v>81</v>
      </c>
      <c r="E20" s="4" t="s">
        <v>82</v>
      </c>
      <c r="F20" s="4" t="s">
        <v>104</v>
      </c>
      <c r="G20" s="4" t="s">
        <v>105</v>
      </c>
      <c r="H20" s="1" t="s">
        <v>106</v>
      </c>
      <c r="I20" s="4" t="s">
        <v>65</v>
      </c>
      <c r="J20" s="4">
        <v>4200000961</v>
      </c>
      <c r="K20" s="4">
        <v>45587</v>
      </c>
      <c r="L20" s="1" t="s">
        <v>120</v>
      </c>
      <c r="M20" s="8">
        <v>54239.75</v>
      </c>
    </row>
    <row r="21" spans="2:13" x14ac:dyDescent="0.2">
      <c r="B21" s="4" t="s">
        <v>154</v>
      </c>
      <c r="C21" s="4" t="s">
        <v>179</v>
      </c>
      <c r="D21" s="4" t="s">
        <v>81</v>
      </c>
      <c r="E21" s="4" t="s">
        <v>82</v>
      </c>
      <c r="F21" s="4" t="s">
        <v>104</v>
      </c>
      <c r="G21" s="4" t="s">
        <v>105</v>
      </c>
      <c r="H21" s="1" t="s">
        <v>106</v>
      </c>
      <c r="I21" s="4" t="s">
        <v>65</v>
      </c>
      <c r="J21" s="4">
        <v>4200000962</v>
      </c>
      <c r="K21" s="4">
        <v>45587</v>
      </c>
      <c r="L21" s="1" t="s">
        <v>123</v>
      </c>
      <c r="M21" s="8">
        <v>240000.75</v>
      </c>
    </row>
    <row r="22" spans="2:13" x14ac:dyDescent="0.2">
      <c r="B22" s="4" t="s">
        <v>154</v>
      </c>
      <c r="C22" s="4" t="s">
        <v>181</v>
      </c>
      <c r="D22" s="4" t="s">
        <v>81</v>
      </c>
      <c r="E22" s="4" t="s">
        <v>82</v>
      </c>
      <c r="F22" s="4" t="s">
        <v>104</v>
      </c>
      <c r="G22" s="4" t="s">
        <v>105</v>
      </c>
      <c r="H22" s="1" t="s">
        <v>106</v>
      </c>
      <c r="I22" s="4" t="s">
        <v>65</v>
      </c>
      <c r="J22" s="4">
        <v>4200000963</v>
      </c>
      <c r="K22" s="4">
        <v>45587</v>
      </c>
      <c r="L22" s="1" t="s">
        <v>127</v>
      </c>
      <c r="M22" s="8">
        <v>57052.98</v>
      </c>
    </row>
    <row r="23" spans="2:13" x14ac:dyDescent="0.2">
      <c r="B23" s="4" t="s">
        <v>154</v>
      </c>
      <c r="C23" s="4" t="s">
        <v>182</v>
      </c>
      <c r="D23" s="4" t="s">
        <v>81</v>
      </c>
      <c r="E23" s="4" t="s">
        <v>82</v>
      </c>
      <c r="F23" s="4" t="s">
        <v>104</v>
      </c>
      <c r="G23" s="4" t="s">
        <v>105</v>
      </c>
      <c r="H23" s="1" t="s">
        <v>106</v>
      </c>
      <c r="I23" s="4" t="s">
        <v>65</v>
      </c>
      <c r="J23" s="4">
        <v>4200000964</v>
      </c>
      <c r="K23" s="4">
        <v>45587</v>
      </c>
      <c r="L23" s="1" t="s">
        <v>133</v>
      </c>
      <c r="M23" s="8">
        <v>66390.009999999995</v>
      </c>
    </row>
    <row r="24" spans="2:13" x14ac:dyDescent="0.2">
      <c r="B24" s="4" t="s">
        <v>154</v>
      </c>
      <c r="C24" s="4" t="s">
        <v>183</v>
      </c>
      <c r="D24" s="4" t="s">
        <v>81</v>
      </c>
      <c r="E24" s="4" t="s">
        <v>82</v>
      </c>
      <c r="F24" s="4" t="s">
        <v>104</v>
      </c>
      <c r="G24" s="4" t="s">
        <v>105</v>
      </c>
      <c r="H24" s="1" t="s">
        <v>106</v>
      </c>
      <c r="I24" s="4" t="s">
        <v>65</v>
      </c>
      <c r="J24" s="4">
        <v>4200000965</v>
      </c>
      <c r="K24" s="4">
        <v>45587</v>
      </c>
      <c r="M24" s="8">
        <v>30553.279999999999</v>
      </c>
    </row>
    <row r="25" spans="2:13" x14ac:dyDescent="0.2">
      <c r="B25" s="4" t="s">
        <v>154</v>
      </c>
      <c r="C25" s="4" t="s">
        <v>184</v>
      </c>
      <c r="D25" s="4" t="s">
        <v>81</v>
      </c>
      <c r="E25" s="4" t="s">
        <v>82</v>
      </c>
      <c r="F25" s="4" t="s">
        <v>104</v>
      </c>
      <c r="G25" s="4" t="s">
        <v>105</v>
      </c>
      <c r="H25" s="1" t="s">
        <v>106</v>
      </c>
      <c r="I25" s="4" t="s">
        <v>65</v>
      </c>
      <c r="J25" s="4">
        <v>4200000966</v>
      </c>
      <c r="K25" s="4">
        <v>45587</v>
      </c>
      <c r="L25" s="1" t="s">
        <v>140</v>
      </c>
      <c r="M25" s="8">
        <v>4000</v>
      </c>
    </row>
    <row r="26" spans="2:13" x14ac:dyDescent="0.2">
      <c r="B26" s="4" t="s">
        <v>154</v>
      </c>
      <c r="C26" s="4" t="s">
        <v>186</v>
      </c>
      <c r="D26" s="4" t="s">
        <v>81</v>
      </c>
      <c r="E26" s="4" t="s">
        <v>82</v>
      </c>
      <c r="F26" s="4" t="s">
        <v>104</v>
      </c>
      <c r="G26" s="4" t="s">
        <v>105</v>
      </c>
      <c r="H26" s="1" t="s">
        <v>106</v>
      </c>
      <c r="I26" s="4" t="s">
        <v>65</v>
      </c>
      <c r="J26" s="4">
        <v>4200000967</v>
      </c>
      <c r="K26" s="4">
        <v>45587</v>
      </c>
      <c r="L26" s="1" t="s">
        <v>144</v>
      </c>
      <c r="M26" s="8">
        <v>7116.79</v>
      </c>
    </row>
    <row r="27" spans="2:13" x14ac:dyDescent="0.2">
      <c r="B27" s="4" t="s">
        <v>154</v>
      </c>
      <c r="C27" s="4" t="s">
        <v>189</v>
      </c>
      <c r="D27" s="4" t="s">
        <v>147</v>
      </c>
      <c r="E27" s="4" t="s">
        <v>82</v>
      </c>
      <c r="F27" s="4" t="s">
        <v>148</v>
      </c>
      <c r="G27" s="4" t="s">
        <v>84</v>
      </c>
      <c r="H27" s="1" t="s">
        <v>85</v>
      </c>
      <c r="I27" s="4" t="s">
        <v>64</v>
      </c>
      <c r="J27" s="4">
        <v>2500001216</v>
      </c>
      <c r="K27" s="4">
        <v>45596</v>
      </c>
      <c r="M27" s="8">
        <v>578.80999999999995</v>
      </c>
    </row>
    <row r="28" spans="2:13" x14ac:dyDescent="0.2">
      <c r="B28" s="4" t="s">
        <v>154</v>
      </c>
      <c r="C28" s="4" t="s">
        <v>190</v>
      </c>
      <c r="D28" s="4" t="s">
        <v>147</v>
      </c>
      <c r="E28" s="4" t="s">
        <v>98</v>
      </c>
      <c r="F28" s="4" t="s">
        <v>99</v>
      </c>
      <c r="G28" s="4" t="s">
        <v>84</v>
      </c>
      <c r="H28" s="1" t="s">
        <v>85</v>
      </c>
      <c r="I28" s="4" t="s">
        <v>64</v>
      </c>
      <c r="J28" s="4">
        <v>2500001219</v>
      </c>
      <c r="K28" s="4">
        <v>45596</v>
      </c>
      <c r="M28" s="8">
        <v>1821807.05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16FB-0216-4964-8619-F0593B843BCA}">
  <sheetPr>
    <tabColor theme="4" tint="-0.249977111117893"/>
  </sheetPr>
  <dimension ref="B1:N9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8.85546875" defaultRowHeight="12" x14ac:dyDescent="0.2"/>
  <cols>
    <col min="1" max="1" width="2.140625" style="1" customWidth="1"/>
    <col min="2" max="2" width="12" style="1" bestFit="1" customWidth="1"/>
    <col min="3" max="3" width="27.42578125" style="1" bestFit="1" customWidth="1"/>
    <col min="4" max="4" width="9.85546875" style="1" bestFit="1" customWidth="1"/>
    <col min="5" max="5" width="12.7109375" style="1" bestFit="1" customWidth="1"/>
    <col min="6" max="6" width="9.42578125" style="1" bestFit="1" customWidth="1"/>
    <col min="7" max="7" width="10.7109375" style="1" bestFit="1" customWidth="1"/>
    <col min="8" max="8" width="13.7109375" style="1" bestFit="1" customWidth="1"/>
    <col min="9" max="9" width="9.42578125" style="1" bestFit="1" customWidth="1"/>
    <col min="10" max="10" width="16" style="1" bestFit="1" customWidth="1"/>
    <col min="11" max="11" width="14.28515625" style="1" bestFit="1" customWidth="1"/>
    <col min="12" max="12" width="19.140625" style="1" bestFit="1" customWidth="1"/>
    <col min="13" max="13" width="18.42578125" style="1" bestFit="1" customWidth="1"/>
    <col min="14" max="14" width="11.28515625" style="1" bestFit="1" customWidth="1"/>
    <col min="15" max="16384" width="8.85546875" style="1"/>
  </cols>
  <sheetData>
    <row r="1" spans="2:14" s="101" customFormat="1" ht="15" x14ac:dyDescent="0.2">
      <c r="B1" s="47" t="s">
        <v>55</v>
      </c>
    </row>
    <row r="3" spans="2:14" x14ac:dyDescent="0.2">
      <c r="C3" s="35">
        <f>+COUNTIF(Under_Control[[#All],[Counts]],"Count")</f>
        <v>1</v>
      </c>
      <c r="M3" s="29">
        <f>+SUMIF(Under_Control[[#All],[Counts]],"Count",Under_Control[[#All],[Total Deb./Cred.]])</f>
        <v>14751768.68</v>
      </c>
    </row>
    <row r="4" spans="2:14" ht="4.1500000000000004" customHeight="1" thickBot="1" x14ac:dyDescent="0.25"/>
    <row r="5" spans="2:14" ht="12.75" thickBot="1" x14ac:dyDescent="0.25">
      <c r="B5" s="15" t="s">
        <v>0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10</v>
      </c>
      <c r="K5" s="17" t="s">
        <v>13</v>
      </c>
      <c r="L5" s="17" t="s">
        <v>14</v>
      </c>
      <c r="M5" s="17" t="s">
        <v>17</v>
      </c>
      <c r="N5" s="14" t="s">
        <v>60</v>
      </c>
    </row>
    <row r="6" spans="2:14" x14ac:dyDescent="0.2">
      <c r="B6" s="4" t="s">
        <v>39</v>
      </c>
      <c r="C6" s="4" t="s">
        <v>168</v>
      </c>
      <c r="D6" s="4" t="s">
        <v>81</v>
      </c>
      <c r="E6" s="4" t="s">
        <v>98</v>
      </c>
      <c r="F6" s="4" t="s">
        <v>99</v>
      </c>
      <c r="G6" s="4" t="s">
        <v>84</v>
      </c>
      <c r="H6" s="1" t="s">
        <v>85</v>
      </c>
      <c r="I6" s="4" t="s">
        <v>64</v>
      </c>
      <c r="J6" s="4">
        <v>2500005447</v>
      </c>
      <c r="K6" s="4">
        <v>45596</v>
      </c>
      <c r="M6" s="8">
        <v>2299054.73</v>
      </c>
      <c r="N6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7" spans="2:14" x14ac:dyDescent="0.2">
      <c r="B7" s="4" t="s">
        <v>39</v>
      </c>
      <c r="C7" s="4" t="s">
        <v>189</v>
      </c>
      <c r="D7" s="4" t="s">
        <v>147</v>
      </c>
      <c r="E7" s="4" t="s">
        <v>82</v>
      </c>
      <c r="F7" s="4" t="s">
        <v>148</v>
      </c>
      <c r="G7" s="4" t="s">
        <v>84</v>
      </c>
      <c r="H7" s="1" t="s">
        <v>85</v>
      </c>
      <c r="I7" s="4" t="s">
        <v>64</v>
      </c>
      <c r="J7" s="4">
        <v>2500001216</v>
      </c>
      <c r="K7" s="4">
        <v>45596</v>
      </c>
      <c r="M7" s="8">
        <v>578.80999999999995</v>
      </c>
      <c r="N7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8" spans="2:14" x14ac:dyDescent="0.2">
      <c r="B8" s="4" t="s">
        <v>39</v>
      </c>
      <c r="C8" s="4" t="s">
        <v>190</v>
      </c>
      <c r="D8" s="4" t="s">
        <v>147</v>
      </c>
      <c r="E8" s="4" t="s">
        <v>98</v>
      </c>
      <c r="F8" s="4" t="s">
        <v>99</v>
      </c>
      <c r="G8" s="4" t="s">
        <v>84</v>
      </c>
      <c r="H8" s="1" t="s">
        <v>85</v>
      </c>
      <c r="I8" s="4" t="s">
        <v>64</v>
      </c>
      <c r="J8" s="4">
        <v>2500001219</v>
      </c>
      <c r="K8" s="4">
        <v>45596</v>
      </c>
      <c r="M8" s="8">
        <v>1821807.05</v>
      </c>
      <c r="N8" s="4" t="str">
        <f>+IFERROR(IF(INDEX(To_Analyze[#All],MATCH(Under_Control[[#This Row],[Type + TCode + Co + Doc N]],To_Analyze[[#All],[Type + TCode + Co + Doc N]],0),1)="To Analyze","Not Count","Count"),"Count")</f>
        <v>Not Count</v>
      </c>
    </row>
    <row r="9" spans="2:14" x14ac:dyDescent="0.2">
      <c r="B9" s="4" t="s">
        <v>39</v>
      </c>
      <c r="C9" s="4" t="s">
        <v>72</v>
      </c>
      <c r="D9" s="4"/>
      <c r="E9" s="4"/>
      <c r="F9" s="4"/>
      <c r="G9" s="4"/>
      <c r="I9" s="4"/>
      <c r="J9" s="4"/>
      <c r="K9" s="4"/>
      <c r="M9" s="8">
        <v>14751768.68</v>
      </c>
      <c r="N9" s="4" t="str">
        <f>+IFERROR(IF(INDEX(To_Analyze[#All],MATCH(Under_Control[[#This Row],[Type + TCode + Co + Doc N]],To_Analyze[[#All],[Type + TCode + Co + Doc N]],0),1)="To Analyze","Not Count","Count"),"Count")</f>
        <v>Count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DF31-DD02-483A-8535-C4C519061A64}">
  <sheetPr>
    <tabColor rgb="FF00B0F0"/>
  </sheetPr>
  <dimension ref="B1:N20"/>
  <sheetViews>
    <sheetView showGridLines="0" workbookViewId="0">
      <pane ySplit="7" topLeftCell="A8" activePane="bottomLeft" state="frozen"/>
      <selection pane="bottomLeft" activeCell="E8" sqref="E8"/>
    </sheetView>
  </sheetViews>
  <sheetFormatPr defaultColWidth="8.85546875" defaultRowHeight="12" x14ac:dyDescent="0.2"/>
  <cols>
    <col min="1" max="1" width="3.425781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11.42578125" style="1" bestFit="1" customWidth="1"/>
    <col min="6" max="6" width="10.7109375" style="1" bestFit="1" customWidth="1"/>
    <col min="7" max="7" width="13.710937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19.140625" style="1" bestFit="1" customWidth="1"/>
    <col min="12" max="12" width="18.42578125" style="1" bestFit="1" customWidth="1"/>
    <col min="13" max="13" width="13.140625" style="1" bestFit="1" customWidth="1"/>
    <col min="14" max="14" width="10.7109375" style="1" customWidth="1"/>
    <col min="15" max="16384" width="8.85546875" style="1"/>
  </cols>
  <sheetData>
    <row r="1" spans="2:14" s="9" customFormat="1" ht="19.149999999999999" customHeight="1" x14ac:dyDescent="0.3">
      <c r="B1" s="121" t="s">
        <v>57</v>
      </c>
      <c r="C1" s="121"/>
      <c r="D1" s="121"/>
      <c r="E1" s="121"/>
      <c r="F1" s="121"/>
      <c r="G1" s="121"/>
      <c r="H1" s="121"/>
      <c r="I1" s="121"/>
      <c r="J1" s="121"/>
    </row>
    <row r="3" spans="2:14" x14ac:dyDescent="0.2">
      <c r="L3" s="35">
        <f>+COUNTA(AR[[#All],[Type + TCode + Co + Doc N]])-1</f>
        <v>13</v>
      </c>
      <c r="M3" s="35">
        <f>+COUNTIF(AR[[#All],[Sampling]],"Sample")</f>
        <v>2</v>
      </c>
    </row>
    <row r="4" spans="2:14" x14ac:dyDescent="0.2">
      <c r="L4" s="31" t="s">
        <v>40</v>
      </c>
      <c r="M4" s="34" t="s">
        <v>41</v>
      </c>
      <c r="N4" s="32" t="s">
        <v>42</v>
      </c>
    </row>
    <row r="5" spans="2:14" x14ac:dyDescent="0.2">
      <c r="L5" s="30">
        <f>+SUM(AR[[#All],[Total Deb./Cred.]])</f>
        <v>4133965.84</v>
      </c>
      <c r="M5" s="30">
        <f>+SUMIF(AR[[#All],[Sampling]],"Sample",AR[[#All],[Total Deb./Cred.]])</f>
        <v>4120861.7800000003</v>
      </c>
      <c r="N5" s="33">
        <f>+L5-M5</f>
        <v>13104.05999999959</v>
      </c>
    </row>
    <row r="6" spans="2:14" ht="6" customHeight="1" x14ac:dyDescent="0.2"/>
    <row r="7" spans="2:14" ht="12.75" thickBot="1" x14ac:dyDescent="0.25">
      <c r="B7" s="1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10</v>
      </c>
      <c r="J7" s="12" t="s">
        <v>13</v>
      </c>
      <c r="K7" s="12" t="s">
        <v>14</v>
      </c>
      <c r="L7" s="12" t="s">
        <v>17</v>
      </c>
      <c r="M7" s="18" t="s">
        <v>43</v>
      </c>
    </row>
    <row r="8" spans="2:14" x14ac:dyDescent="0.2">
      <c r="B8" s="4" t="s">
        <v>156</v>
      </c>
      <c r="C8" s="4" t="s">
        <v>81</v>
      </c>
      <c r="D8" s="4" t="s">
        <v>82</v>
      </c>
      <c r="E8" s="4" t="s">
        <v>83</v>
      </c>
      <c r="F8" s="4" t="s">
        <v>84</v>
      </c>
      <c r="G8" s="1" t="s">
        <v>85</v>
      </c>
      <c r="H8" s="4" t="s">
        <v>64</v>
      </c>
      <c r="I8" s="4">
        <v>2500004886</v>
      </c>
      <c r="J8" s="4">
        <v>45572</v>
      </c>
      <c r="L8" s="8">
        <v>1129.5</v>
      </c>
      <c r="M8" s="4" t="str">
        <f>+IF(AR[[#This Row],[Total Deb./Cred.]]&gt;Summary!$C$20,"Sample","-")</f>
        <v>-</v>
      </c>
    </row>
    <row r="9" spans="2:14" x14ac:dyDescent="0.2">
      <c r="B9" s="4" t="s">
        <v>158</v>
      </c>
      <c r="C9" s="4" t="s">
        <v>81</v>
      </c>
      <c r="D9" s="4" t="s">
        <v>82</v>
      </c>
      <c r="E9" s="4" t="s">
        <v>83</v>
      </c>
      <c r="F9" s="4" t="s">
        <v>84</v>
      </c>
      <c r="G9" s="1" t="s">
        <v>85</v>
      </c>
      <c r="H9" s="4" t="s">
        <v>64</v>
      </c>
      <c r="I9" s="4">
        <v>2500004899</v>
      </c>
      <c r="J9" s="4">
        <v>45572</v>
      </c>
      <c r="L9" s="8">
        <v>1750</v>
      </c>
      <c r="M9" s="4" t="str">
        <f>+IF(AR[[#This Row],[Total Deb./Cred.]]&gt;Summary!$C$20,"Sample","-")</f>
        <v>-</v>
      </c>
    </row>
    <row r="10" spans="2:14" x14ac:dyDescent="0.2">
      <c r="B10" s="4" t="s">
        <v>159</v>
      </c>
      <c r="C10" s="4" t="s">
        <v>81</v>
      </c>
      <c r="D10" s="4" t="s">
        <v>82</v>
      </c>
      <c r="E10" s="4" t="s">
        <v>83</v>
      </c>
      <c r="F10" s="4" t="s">
        <v>84</v>
      </c>
      <c r="G10" s="1" t="s">
        <v>85</v>
      </c>
      <c r="H10" s="4" t="s">
        <v>64</v>
      </c>
      <c r="I10" s="4">
        <v>2500004913</v>
      </c>
      <c r="J10" s="4">
        <v>45572</v>
      </c>
      <c r="L10" s="8">
        <v>1129.5</v>
      </c>
      <c r="M10" s="4" t="str">
        <f>+IF(AR[[#This Row],[Total Deb./Cred.]]&gt;Summary!$C$20,"Sample","-")</f>
        <v>-</v>
      </c>
    </row>
    <row r="11" spans="2:14" x14ac:dyDescent="0.2">
      <c r="B11" s="4" t="s">
        <v>160</v>
      </c>
      <c r="C11" s="4" t="s">
        <v>81</v>
      </c>
      <c r="D11" s="4" t="s">
        <v>82</v>
      </c>
      <c r="E11" s="4" t="s">
        <v>83</v>
      </c>
      <c r="F11" s="4" t="s">
        <v>84</v>
      </c>
      <c r="G11" s="1" t="s">
        <v>85</v>
      </c>
      <c r="H11" s="4" t="s">
        <v>64</v>
      </c>
      <c r="I11" s="4">
        <v>2500004942</v>
      </c>
      <c r="J11" s="4">
        <v>45572</v>
      </c>
      <c r="L11" s="8">
        <v>1129.5</v>
      </c>
      <c r="M11" s="4" t="str">
        <f>+IF(AR[[#This Row],[Total Deb./Cred.]]&gt;Summary!$C$20,"Sample","-")</f>
        <v>-</v>
      </c>
    </row>
    <row r="12" spans="2:14" x14ac:dyDescent="0.2">
      <c r="B12" s="4" t="s">
        <v>161</v>
      </c>
      <c r="C12" s="4" t="s">
        <v>81</v>
      </c>
      <c r="D12" s="4" t="s">
        <v>82</v>
      </c>
      <c r="E12" s="4" t="s">
        <v>83</v>
      </c>
      <c r="F12" s="4" t="s">
        <v>84</v>
      </c>
      <c r="G12" s="1" t="s">
        <v>85</v>
      </c>
      <c r="H12" s="4" t="s">
        <v>64</v>
      </c>
      <c r="I12" s="4">
        <v>2500004952</v>
      </c>
      <c r="J12" s="4">
        <v>45572</v>
      </c>
      <c r="L12" s="8">
        <v>2351.25</v>
      </c>
      <c r="M12" s="4" t="str">
        <f>+IF(AR[[#This Row],[Total Deb./Cred.]]&gt;Summary!$C$20,"Sample","-")</f>
        <v>-</v>
      </c>
    </row>
    <row r="13" spans="2:14" x14ac:dyDescent="0.2">
      <c r="B13" s="4" t="s">
        <v>162</v>
      </c>
      <c r="C13" s="4" t="s">
        <v>81</v>
      </c>
      <c r="D13" s="4" t="s">
        <v>82</v>
      </c>
      <c r="E13" s="4" t="s">
        <v>83</v>
      </c>
      <c r="F13" s="4" t="s">
        <v>84</v>
      </c>
      <c r="G13" s="1" t="s">
        <v>85</v>
      </c>
      <c r="H13" s="4" t="s">
        <v>64</v>
      </c>
      <c r="I13" s="4">
        <v>2500005000</v>
      </c>
      <c r="J13" s="4">
        <v>45572</v>
      </c>
      <c r="L13" s="8">
        <v>1129.5</v>
      </c>
      <c r="M13" s="4" t="str">
        <f>+IF(AR[[#This Row],[Total Deb./Cred.]]&gt;Summary!$C$20,"Sample","-")</f>
        <v>-</v>
      </c>
    </row>
    <row r="14" spans="2:14" x14ac:dyDescent="0.2">
      <c r="B14" s="4" t="s">
        <v>163</v>
      </c>
      <c r="C14" s="4" t="s">
        <v>81</v>
      </c>
      <c r="D14" s="4" t="s">
        <v>82</v>
      </c>
      <c r="E14" s="4" t="s">
        <v>83</v>
      </c>
      <c r="F14" s="4" t="s">
        <v>84</v>
      </c>
      <c r="G14" s="1" t="s">
        <v>85</v>
      </c>
      <c r="H14" s="4" t="s">
        <v>64</v>
      </c>
      <c r="I14" s="4">
        <v>2500005001</v>
      </c>
      <c r="J14" s="4">
        <v>45572</v>
      </c>
      <c r="L14" s="8">
        <v>1129.5</v>
      </c>
      <c r="M14" s="4" t="str">
        <f>+IF(AR[[#This Row],[Total Deb./Cred.]]&gt;Summary!$C$20,"Sample","-")</f>
        <v>-</v>
      </c>
    </row>
    <row r="15" spans="2:14" x14ac:dyDescent="0.2">
      <c r="B15" s="4" t="s">
        <v>164</v>
      </c>
      <c r="C15" s="4" t="s">
        <v>81</v>
      </c>
      <c r="D15" s="4" t="s">
        <v>82</v>
      </c>
      <c r="E15" s="4" t="s">
        <v>83</v>
      </c>
      <c r="F15" s="4" t="s">
        <v>84</v>
      </c>
      <c r="G15" s="1" t="s">
        <v>85</v>
      </c>
      <c r="H15" s="4" t="s">
        <v>64</v>
      </c>
      <c r="I15" s="4">
        <v>2500005008</v>
      </c>
      <c r="J15" s="4">
        <v>45572</v>
      </c>
      <c r="L15" s="8">
        <v>517.5</v>
      </c>
      <c r="M15" s="4" t="str">
        <f>+IF(AR[[#This Row],[Total Deb./Cred.]]&gt;Summary!$C$20,"Sample","-")</f>
        <v>-</v>
      </c>
    </row>
    <row r="16" spans="2:14" x14ac:dyDescent="0.2">
      <c r="B16" s="4" t="s">
        <v>165</v>
      </c>
      <c r="C16" s="4" t="s">
        <v>81</v>
      </c>
      <c r="D16" s="4" t="s">
        <v>82</v>
      </c>
      <c r="E16" s="4" t="s">
        <v>83</v>
      </c>
      <c r="F16" s="4" t="s">
        <v>84</v>
      </c>
      <c r="G16" s="1" t="s">
        <v>85</v>
      </c>
      <c r="H16" s="4" t="s">
        <v>64</v>
      </c>
      <c r="I16" s="4">
        <v>2500005019</v>
      </c>
      <c r="J16" s="4">
        <v>45572</v>
      </c>
      <c r="L16" s="8">
        <v>1129.5</v>
      </c>
      <c r="M16" s="4" t="str">
        <f>+IF(AR[[#This Row],[Total Deb./Cred.]]&gt;Summary!$C$20,"Sample","-")</f>
        <v>-</v>
      </c>
    </row>
    <row r="17" spans="2:13" x14ac:dyDescent="0.2">
      <c r="B17" s="4" t="s">
        <v>166</v>
      </c>
      <c r="C17" s="4" t="s">
        <v>81</v>
      </c>
      <c r="D17" s="4" t="s">
        <v>82</v>
      </c>
      <c r="E17" s="4" t="s">
        <v>83</v>
      </c>
      <c r="F17" s="4" t="s">
        <v>84</v>
      </c>
      <c r="G17" s="1" t="s">
        <v>85</v>
      </c>
      <c r="H17" s="4" t="s">
        <v>64</v>
      </c>
      <c r="I17" s="4">
        <v>2500005224</v>
      </c>
      <c r="J17" s="4">
        <v>45596</v>
      </c>
      <c r="L17" s="8">
        <v>1129.5</v>
      </c>
      <c r="M17" s="4" t="str">
        <f>+IF(AR[[#This Row],[Total Deb./Cred.]]&gt;Summary!$C$20,"Sample","-")</f>
        <v>-</v>
      </c>
    </row>
    <row r="18" spans="2:13" x14ac:dyDescent="0.2">
      <c r="B18" s="4" t="s">
        <v>168</v>
      </c>
      <c r="C18" s="4" t="s">
        <v>81</v>
      </c>
      <c r="D18" s="4" t="s">
        <v>98</v>
      </c>
      <c r="E18" s="4" t="s">
        <v>99</v>
      </c>
      <c r="F18" s="4" t="s">
        <v>84</v>
      </c>
      <c r="G18" s="1" t="s">
        <v>85</v>
      </c>
      <c r="H18" s="4" t="s">
        <v>64</v>
      </c>
      <c r="I18" s="4">
        <v>2500005447</v>
      </c>
      <c r="J18" s="4">
        <v>45596</v>
      </c>
      <c r="L18" s="8">
        <v>2299054.73</v>
      </c>
      <c r="M18" s="4" t="str">
        <f>+IF(AR[[#This Row],[Total Deb./Cred.]]&gt;Summary!$C$20,"Sample","-")</f>
        <v>Sample</v>
      </c>
    </row>
    <row r="19" spans="2:13" x14ac:dyDescent="0.2">
      <c r="B19" s="4" t="s">
        <v>189</v>
      </c>
      <c r="C19" s="4" t="s">
        <v>147</v>
      </c>
      <c r="D19" s="4" t="s">
        <v>82</v>
      </c>
      <c r="E19" s="4" t="s">
        <v>148</v>
      </c>
      <c r="F19" s="4" t="s">
        <v>84</v>
      </c>
      <c r="G19" s="1" t="s">
        <v>85</v>
      </c>
      <c r="H19" s="4" t="s">
        <v>64</v>
      </c>
      <c r="I19" s="4">
        <v>2500001216</v>
      </c>
      <c r="J19" s="4">
        <v>45596</v>
      </c>
      <c r="L19" s="8">
        <v>578.80999999999995</v>
      </c>
      <c r="M19" s="4" t="str">
        <f>+IF(AR[[#This Row],[Total Deb./Cred.]]&gt;Summary!$C$20,"Sample","-")</f>
        <v>-</v>
      </c>
    </row>
    <row r="20" spans="2:13" x14ac:dyDescent="0.2">
      <c r="B20" s="4" t="s">
        <v>190</v>
      </c>
      <c r="C20" s="4" t="s">
        <v>147</v>
      </c>
      <c r="D20" s="4" t="s">
        <v>98</v>
      </c>
      <c r="E20" s="4" t="s">
        <v>99</v>
      </c>
      <c r="F20" s="4" t="s">
        <v>84</v>
      </c>
      <c r="G20" s="1" t="s">
        <v>85</v>
      </c>
      <c r="H20" s="4" t="s">
        <v>64</v>
      </c>
      <c r="I20" s="4">
        <v>2500001219</v>
      </c>
      <c r="J20" s="4">
        <v>45596</v>
      </c>
      <c r="L20" s="8">
        <v>1821807.05</v>
      </c>
      <c r="M20" s="4" t="str">
        <f>+IF(AR[[#This Row],[Total Deb./Cred.]]&gt;Summary!$C$20,"Sample","-")</f>
        <v>Sample</v>
      </c>
    </row>
  </sheetData>
  <mergeCells count="1">
    <mergeCell ref="B1:J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CBED3-4C02-4969-B729-85060764B3C3}">
  <sheetPr>
    <tabColor rgb="FF00B0F0"/>
  </sheetPr>
  <dimension ref="B1:N17"/>
  <sheetViews>
    <sheetView showGridLines="0" workbookViewId="0">
      <pane ySplit="7" topLeftCell="A8" activePane="bottomLeft" state="frozen"/>
      <selection pane="bottomLeft" activeCell="H8" sqref="H8"/>
    </sheetView>
  </sheetViews>
  <sheetFormatPr defaultColWidth="8.85546875" defaultRowHeight="12" x14ac:dyDescent="0.2"/>
  <cols>
    <col min="1" max="1" width="3.28515625" style="1" customWidth="1"/>
    <col min="2" max="2" width="27.42578125" style="1" bestFit="1" customWidth="1"/>
    <col min="3" max="3" width="9.85546875" style="1" bestFit="1" customWidth="1"/>
    <col min="4" max="4" width="12.7109375" style="1" bestFit="1" customWidth="1"/>
    <col min="5" max="5" width="9.42578125" style="1" bestFit="1" customWidth="1"/>
    <col min="6" max="6" width="10.7109375" style="1" bestFit="1" customWidth="1"/>
    <col min="7" max="7" width="13.28515625" style="1" bestFit="1" customWidth="1"/>
    <col min="8" max="8" width="9.42578125" style="1" bestFit="1" customWidth="1"/>
    <col min="9" max="9" width="16" style="1" bestFit="1" customWidth="1"/>
    <col min="10" max="10" width="14.28515625" style="1" bestFit="1" customWidth="1"/>
    <col min="11" max="11" width="24.140625" style="1" bestFit="1" customWidth="1"/>
    <col min="12" max="12" width="18.42578125" style="1" bestFit="1" customWidth="1"/>
    <col min="13" max="13" width="13.140625" style="1" bestFit="1" customWidth="1"/>
    <col min="14" max="14" width="13.28515625" style="1" customWidth="1"/>
    <col min="15" max="16384" width="8.85546875" style="1"/>
  </cols>
  <sheetData>
    <row r="1" spans="2:14" s="101" customFormat="1" ht="19.149999999999999" customHeight="1" x14ac:dyDescent="0.3">
      <c r="B1" s="10" t="s">
        <v>56</v>
      </c>
    </row>
    <row r="3" spans="2:14" x14ac:dyDescent="0.2">
      <c r="L3" s="35">
        <f>+COUNTA(AP[[#All],[Type + TCode + Co + Doc N]])-1</f>
        <v>10</v>
      </c>
      <c r="M3" s="35">
        <f>+COUNTIF(AP[[#All],[Sampling]],"Sample")</f>
        <v>0</v>
      </c>
    </row>
    <row r="4" spans="2:14" x14ac:dyDescent="0.2">
      <c r="L4" s="31" t="s">
        <v>40</v>
      </c>
      <c r="M4" s="34" t="s">
        <v>41</v>
      </c>
      <c r="N4" s="32" t="s">
        <v>42</v>
      </c>
    </row>
    <row r="5" spans="2:14" x14ac:dyDescent="0.2">
      <c r="L5" s="30">
        <f>+SUM(AP[[#All],[Total Deb./Cred.]])</f>
        <v>599704.81000000006</v>
      </c>
      <c r="M5" s="30">
        <f>+SUMIF(AP[[#All],[Sampling]],"Sample",AP[[#All],[Total Deb./Cred.]])</f>
        <v>0</v>
      </c>
      <c r="N5" s="33">
        <f>+L5-M5</f>
        <v>599704.81000000006</v>
      </c>
    </row>
    <row r="6" spans="2:14" ht="4.9000000000000004" customHeight="1" x14ac:dyDescent="0.2">
      <c r="L6" s="8"/>
      <c r="M6" s="8"/>
    </row>
    <row r="7" spans="2:14" ht="12.75" thickBot="1" x14ac:dyDescent="0.25">
      <c r="B7" s="13" t="s">
        <v>2</v>
      </c>
      <c r="C7" s="12" t="s">
        <v>3</v>
      </c>
      <c r="D7" s="12" t="s">
        <v>4</v>
      </c>
      <c r="E7" s="12" t="s">
        <v>5</v>
      </c>
      <c r="F7" s="12" t="s">
        <v>6</v>
      </c>
      <c r="G7" s="12" t="s">
        <v>7</v>
      </c>
      <c r="H7" s="12" t="s">
        <v>8</v>
      </c>
      <c r="I7" s="12" t="s">
        <v>10</v>
      </c>
      <c r="J7" s="12" t="s">
        <v>13</v>
      </c>
      <c r="K7" s="12" t="s">
        <v>14</v>
      </c>
      <c r="L7" s="12" t="s">
        <v>17</v>
      </c>
      <c r="M7" s="18" t="s">
        <v>43</v>
      </c>
    </row>
    <row r="8" spans="2:14" x14ac:dyDescent="0.2">
      <c r="B8" s="4" t="s">
        <v>171</v>
      </c>
      <c r="C8" s="4" t="s">
        <v>81</v>
      </c>
      <c r="D8" s="4" t="s">
        <v>82</v>
      </c>
      <c r="E8" s="4" t="s">
        <v>104</v>
      </c>
      <c r="F8" s="4" t="s">
        <v>105</v>
      </c>
      <c r="G8" s="1" t="s">
        <v>106</v>
      </c>
      <c r="H8" s="4" t="s">
        <v>65</v>
      </c>
      <c r="I8" s="4">
        <v>4200000958</v>
      </c>
      <c r="J8" s="4">
        <v>45587</v>
      </c>
      <c r="K8" s="1" t="s">
        <v>108</v>
      </c>
      <c r="L8" s="8">
        <v>26000</v>
      </c>
      <c r="M8" s="4" t="str">
        <f>+IF(AP[[#This Row],[Total Deb./Cred.]]&gt;Summary!$C$20,"Sample","-")</f>
        <v>-</v>
      </c>
    </row>
    <row r="9" spans="2:14" x14ac:dyDescent="0.2">
      <c r="B9" s="4" t="s">
        <v>174</v>
      </c>
      <c r="C9" s="4" t="s">
        <v>81</v>
      </c>
      <c r="D9" s="4" t="s">
        <v>82</v>
      </c>
      <c r="E9" s="4" t="s">
        <v>104</v>
      </c>
      <c r="F9" s="4" t="s">
        <v>105</v>
      </c>
      <c r="G9" s="1" t="s">
        <v>106</v>
      </c>
      <c r="H9" s="4" t="s">
        <v>65</v>
      </c>
      <c r="I9" s="4">
        <v>4200000959</v>
      </c>
      <c r="J9" s="4">
        <v>45587</v>
      </c>
      <c r="K9" s="1" t="s">
        <v>113</v>
      </c>
      <c r="L9" s="8">
        <v>41091.879999999997</v>
      </c>
      <c r="M9" s="4" t="str">
        <f>+IF(AP[[#This Row],[Total Deb./Cred.]]&gt;Summary!$C$20,"Sample","-")</f>
        <v>-</v>
      </c>
    </row>
    <row r="10" spans="2:14" x14ac:dyDescent="0.2">
      <c r="B10" s="4" t="s">
        <v>175</v>
      </c>
      <c r="C10" s="4" t="s">
        <v>81</v>
      </c>
      <c r="D10" s="4" t="s">
        <v>82</v>
      </c>
      <c r="E10" s="4" t="s">
        <v>104</v>
      </c>
      <c r="F10" s="4" t="s">
        <v>105</v>
      </c>
      <c r="G10" s="1" t="s">
        <v>106</v>
      </c>
      <c r="H10" s="4" t="s">
        <v>65</v>
      </c>
      <c r="I10" s="4">
        <v>4200000960</v>
      </c>
      <c r="J10" s="4">
        <v>45587</v>
      </c>
      <c r="K10" s="1" t="s">
        <v>117</v>
      </c>
      <c r="L10" s="8">
        <v>73259.37</v>
      </c>
      <c r="M10" s="4" t="str">
        <f>+IF(AP[[#This Row],[Total Deb./Cred.]]&gt;Summary!$C$20,"Sample","-")</f>
        <v>-</v>
      </c>
    </row>
    <row r="11" spans="2:14" x14ac:dyDescent="0.2">
      <c r="B11" s="4" t="s">
        <v>177</v>
      </c>
      <c r="C11" s="4" t="s">
        <v>81</v>
      </c>
      <c r="D11" s="4" t="s">
        <v>82</v>
      </c>
      <c r="E11" s="4" t="s">
        <v>104</v>
      </c>
      <c r="F11" s="4" t="s">
        <v>105</v>
      </c>
      <c r="G11" s="1" t="s">
        <v>106</v>
      </c>
      <c r="H11" s="4" t="s">
        <v>65</v>
      </c>
      <c r="I11" s="4">
        <v>4200000961</v>
      </c>
      <c r="J11" s="4">
        <v>45587</v>
      </c>
      <c r="K11" s="1" t="s">
        <v>120</v>
      </c>
      <c r="L11" s="8">
        <v>54239.75</v>
      </c>
      <c r="M11" s="4" t="str">
        <f>+IF(AP[[#This Row],[Total Deb./Cred.]]&gt;Summary!$C$20,"Sample","-")</f>
        <v>-</v>
      </c>
    </row>
    <row r="12" spans="2:14" x14ac:dyDescent="0.2">
      <c r="B12" s="4" t="s">
        <v>179</v>
      </c>
      <c r="C12" s="4" t="s">
        <v>81</v>
      </c>
      <c r="D12" s="4" t="s">
        <v>82</v>
      </c>
      <c r="E12" s="4" t="s">
        <v>104</v>
      </c>
      <c r="F12" s="4" t="s">
        <v>105</v>
      </c>
      <c r="G12" s="1" t="s">
        <v>106</v>
      </c>
      <c r="H12" s="4" t="s">
        <v>65</v>
      </c>
      <c r="I12" s="4">
        <v>4200000962</v>
      </c>
      <c r="J12" s="4">
        <v>45587</v>
      </c>
      <c r="K12" s="1" t="s">
        <v>123</v>
      </c>
      <c r="L12" s="8">
        <v>240000.75</v>
      </c>
      <c r="M12" s="4" t="str">
        <f>+IF(AP[[#This Row],[Total Deb./Cred.]]&gt;Summary!$C$20,"Sample","-")</f>
        <v>-</v>
      </c>
    </row>
    <row r="13" spans="2:14" x14ac:dyDescent="0.2">
      <c r="B13" s="4" t="s">
        <v>181</v>
      </c>
      <c r="C13" s="4" t="s">
        <v>81</v>
      </c>
      <c r="D13" s="4" t="s">
        <v>82</v>
      </c>
      <c r="E13" s="4" t="s">
        <v>104</v>
      </c>
      <c r="F13" s="4" t="s">
        <v>105</v>
      </c>
      <c r="G13" s="1" t="s">
        <v>106</v>
      </c>
      <c r="H13" s="4" t="s">
        <v>65</v>
      </c>
      <c r="I13" s="4">
        <v>4200000963</v>
      </c>
      <c r="J13" s="4">
        <v>45587</v>
      </c>
      <c r="K13" s="1" t="s">
        <v>127</v>
      </c>
      <c r="L13" s="8">
        <v>57052.98</v>
      </c>
      <c r="M13" s="4" t="str">
        <f>+IF(AP[[#This Row],[Total Deb./Cred.]]&gt;Summary!$C$20,"Sample","-")</f>
        <v>-</v>
      </c>
    </row>
    <row r="14" spans="2:14" x14ac:dyDescent="0.2">
      <c r="B14" s="4" t="s">
        <v>182</v>
      </c>
      <c r="C14" s="4" t="s">
        <v>81</v>
      </c>
      <c r="D14" s="4" t="s">
        <v>82</v>
      </c>
      <c r="E14" s="4" t="s">
        <v>104</v>
      </c>
      <c r="F14" s="4" t="s">
        <v>105</v>
      </c>
      <c r="G14" s="1" t="s">
        <v>106</v>
      </c>
      <c r="H14" s="4" t="s">
        <v>65</v>
      </c>
      <c r="I14" s="4">
        <v>4200000964</v>
      </c>
      <c r="J14" s="4">
        <v>45587</v>
      </c>
      <c r="K14" s="1" t="s">
        <v>133</v>
      </c>
      <c r="L14" s="8">
        <v>66390.009999999995</v>
      </c>
      <c r="M14" s="4" t="str">
        <f>+IF(AP[[#This Row],[Total Deb./Cred.]]&gt;Summary!$C$20,"Sample","-")</f>
        <v>-</v>
      </c>
    </row>
    <row r="15" spans="2:14" x14ac:dyDescent="0.2">
      <c r="B15" s="4" t="s">
        <v>183</v>
      </c>
      <c r="C15" s="4" t="s">
        <v>81</v>
      </c>
      <c r="D15" s="4" t="s">
        <v>82</v>
      </c>
      <c r="E15" s="4" t="s">
        <v>104</v>
      </c>
      <c r="F15" s="4" t="s">
        <v>105</v>
      </c>
      <c r="G15" s="1" t="s">
        <v>106</v>
      </c>
      <c r="H15" s="4" t="s">
        <v>65</v>
      </c>
      <c r="I15" s="4">
        <v>4200000965</v>
      </c>
      <c r="J15" s="4">
        <v>45587</v>
      </c>
      <c r="L15" s="8">
        <v>30553.279999999999</v>
      </c>
      <c r="M15" s="4" t="str">
        <f>+IF(AP[[#This Row],[Total Deb./Cred.]]&gt;Summary!$C$20,"Sample","-")</f>
        <v>-</v>
      </c>
    </row>
    <row r="16" spans="2:14" x14ac:dyDescent="0.2">
      <c r="B16" s="4" t="s">
        <v>184</v>
      </c>
      <c r="C16" s="4" t="s">
        <v>81</v>
      </c>
      <c r="D16" s="4" t="s">
        <v>82</v>
      </c>
      <c r="E16" s="4" t="s">
        <v>104</v>
      </c>
      <c r="F16" s="4" t="s">
        <v>105</v>
      </c>
      <c r="G16" s="1" t="s">
        <v>106</v>
      </c>
      <c r="H16" s="4" t="s">
        <v>65</v>
      </c>
      <c r="I16" s="4">
        <v>4200000966</v>
      </c>
      <c r="J16" s="4">
        <v>45587</v>
      </c>
      <c r="K16" s="1" t="s">
        <v>140</v>
      </c>
      <c r="L16" s="8">
        <v>4000</v>
      </c>
      <c r="M16" s="4" t="str">
        <f>+IF(AP[[#This Row],[Total Deb./Cred.]]&gt;Summary!$C$20,"Sample","-")</f>
        <v>-</v>
      </c>
    </row>
    <row r="17" spans="2:13" x14ac:dyDescent="0.2">
      <c r="B17" s="4" t="s">
        <v>186</v>
      </c>
      <c r="C17" s="4" t="s">
        <v>81</v>
      </c>
      <c r="D17" s="4" t="s">
        <v>82</v>
      </c>
      <c r="E17" s="4" t="s">
        <v>104</v>
      </c>
      <c r="F17" s="4" t="s">
        <v>105</v>
      </c>
      <c r="G17" s="1" t="s">
        <v>106</v>
      </c>
      <c r="H17" s="4" t="s">
        <v>65</v>
      </c>
      <c r="I17" s="4">
        <v>4200000967</v>
      </c>
      <c r="J17" s="4">
        <v>45587</v>
      </c>
      <c r="K17" s="1" t="s">
        <v>144</v>
      </c>
      <c r="L17" s="8">
        <v>7116.79</v>
      </c>
      <c r="M17" s="4" t="str">
        <f>+IF(AP[[#This Row],[Total Deb./Cred.]]&gt;Summary!$C$20,"Sample","-")</f>
        <v>-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47EE-5DEF-412A-9C0F-47F55C86145D}">
  <sheetPr>
    <tabColor rgb="FFFFFF00"/>
  </sheetPr>
  <dimension ref="B2:P21"/>
  <sheetViews>
    <sheetView showGridLines="0" workbookViewId="0">
      <selection activeCell="D29" sqref="D29"/>
    </sheetView>
  </sheetViews>
  <sheetFormatPr defaultColWidth="8.85546875" defaultRowHeight="12" x14ac:dyDescent="0.2"/>
  <cols>
    <col min="1" max="1" width="2" style="1" customWidth="1"/>
    <col min="2" max="2" width="33.42578125" style="1" bestFit="1" customWidth="1"/>
    <col min="3" max="3" width="11" style="1" bestFit="1" customWidth="1"/>
    <col min="4" max="4" width="8.7109375" style="1" customWidth="1"/>
    <col min="5" max="5" width="14" style="1" customWidth="1"/>
    <col min="6" max="6" width="8" style="1" customWidth="1"/>
    <col min="7" max="7" width="3.42578125" style="1" customWidth="1"/>
    <col min="8" max="8" width="6.7109375" style="1" customWidth="1"/>
    <col min="9" max="9" width="7" style="1" customWidth="1"/>
    <col min="10" max="10" width="11.7109375" style="1" customWidth="1"/>
    <col min="11" max="11" width="9.42578125" style="1" customWidth="1"/>
    <col min="12" max="12" width="4" style="1" customWidth="1"/>
    <col min="13" max="14" width="8.85546875" style="1"/>
    <col min="15" max="15" width="15.42578125" style="1" customWidth="1"/>
    <col min="16" max="16" width="9.28515625" style="1" bestFit="1" customWidth="1"/>
    <col min="17" max="16384" width="8.85546875" style="1"/>
  </cols>
  <sheetData>
    <row r="2" spans="2:16" ht="20.25" x14ac:dyDescent="0.3">
      <c r="B2" s="119" t="s">
        <v>44</v>
      </c>
      <c r="C2" s="119"/>
      <c r="D2" s="119"/>
      <c r="E2" s="122" t="s">
        <v>67</v>
      </c>
      <c r="F2" s="12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2:16" ht="12.75" thickBot="1" x14ac:dyDescent="0.25"/>
    <row r="4" spans="2:16" s="3" customFormat="1" ht="13.9" customHeight="1" x14ac:dyDescent="0.2">
      <c r="B4" s="123" t="s">
        <v>51</v>
      </c>
      <c r="C4" s="124"/>
      <c r="D4" s="124"/>
      <c r="E4" s="124"/>
      <c r="F4" s="125"/>
      <c r="H4" s="126" t="s">
        <v>41</v>
      </c>
      <c r="I4" s="127"/>
      <c r="J4" s="127"/>
      <c r="K4" s="128"/>
      <c r="L4" s="1"/>
      <c r="M4" s="129" t="s">
        <v>45</v>
      </c>
      <c r="N4" s="130"/>
      <c r="O4" s="130"/>
      <c r="P4" s="131"/>
    </row>
    <row r="5" spans="2:16" ht="14.45" customHeight="1" x14ac:dyDescent="0.2">
      <c r="B5" s="66" t="s">
        <v>38</v>
      </c>
      <c r="C5" s="65" t="s">
        <v>46</v>
      </c>
      <c r="D5" s="65" t="s">
        <v>47</v>
      </c>
      <c r="E5" s="65" t="s">
        <v>66</v>
      </c>
      <c r="F5" s="67" t="s">
        <v>47</v>
      </c>
      <c r="G5" s="43"/>
      <c r="H5" s="94" t="s">
        <v>46</v>
      </c>
      <c r="I5" s="95" t="s">
        <v>47</v>
      </c>
      <c r="J5" s="95" t="s">
        <v>66</v>
      </c>
      <c r="K5" s="96" t="s">
        <v>47</v>
      </c>
      <c r="M5" s="91" t="s">
        <v>46</v>
      </c>
      <c r="N5" s="92" t="s">
        <v>47</v>
      </c>
      <c r="O5" s="92" t="s">
        <v>66</v>
      </c>
      <c r="P5" s="93" t="s">
        <v>47</v>
      </c>
    </row>
    <row r="6" spans="2:16" ht="18.600000000000001" customHeight="1" x14ac:dyDescent="0.2">
      <c r="B6" s="68" t="s">
        <v>48</v>
      </c>
      <c r="C6" s="56">
        <f>+Under_Control!C3</f>
        <v>1</v>
      </c>
      <c r="D6" s="57">
        <f>+C6/$C$11</f>
        <v>4.1666666666666664E-2</v>
      </c>
      <c r="E6" s="58">
        <f>+Under_Control!M3</f>
        <v>14751768.68</v>
      </c>
      <c r="F6" s="69">
        <f>+E6/$E$11</f>
        <v>0.75706626010161404</v>
      </c>
      <c r="G6" s="43"/>
      <c r="H6" s="79" t="s">
        <v>36</v>
      </c>
      <c r="I6" s="63" t="s">
        <v>36</v>
      </c>
      <c r="J6" s="63" t="s">
        <v>36</v>
      </c>
      <c r="K6" s="80" t="s">
        <v>36</v>
      </c>
      <c r="M6" s="79" t="s">
        <v>36</v>
      </c>
      <c r="N6" s="63" t="s">
        <v>36</v>
      </c>
      <c r="O6" s="63" t="s">
        <v>36</v>
      </c>
      <c r="P6" s="80" t="s">
        <v>36</v>
      </c>
    </row>
    <row r="7" spans="2:16" ht="18.600000000000001" customHeight="1" x14ac:dyDescent="0.2">
      <c r="B7" s="70" t="s">
        <v>71</v>
      </c>
      <c r="C7" s="53">
        <f>+AR!L3</f>
        <v>13</v>
      </c>
      <c r="D7" s="54">
        <f>+C7/$C$9</f>
        <v>0.56521739130434778</v>
      </c>
      <c r="E7" s="55">
        <f>+AR!L5</f>
        <v>4133965.84</v>
      </c>
      <c r="F7" s="71">
        <f>+E7/$E$9</f>
        <v>0.87331082909200697</v>
      </c>
      <c r="G7" s="43"/>
      <c r="H7" s="89">
        <f>+AR!M3</f>
        <v>2</v>
      </c>
      <c r="I7" s="54">
        <f>+H7/$C7</f>
        <v>0.15384615384615385</v>
      </c>
      <c r="J7" s="62">
        <f>+AR!M5</f>
        <v>4120861.7800000003</v>
      </c>
      <c r="K7" s="82">
        <f>+J7/$E7</f>
        <v>0.99683014797238878</v>
      </c>
      <c r="M7" s="81">
        <f>+C7-H7</f>
        <v>11</v>
      </c>
      <c r="N7" s="54">
        <f>+M7/C7</f>
        <v>0.84615384615384615</v>
      </c>
      <c r="O7" s="62">
        <f>+E7-J7</f>
        <v>13104.05999999959</v>
      </c>
      <c r="P7" s="82">
        <f>+O7/$E7</f>
        <v>3.169852027611237E-3</v>
      </c>
    </row>
    <row r="8" spans="2:16" ht="18.600000000000001" customHeight="1" x14ac:dyDescent="0.2">
      <c r="B8" s="72" t="s">
        <v>70</v>
      </c>
      <c r="C8" s="59">
        <f>+AP!L3</f>
        <v>10</v>
      </c>
      <c r="D8" s="60">
        <f>+C8/$C$9</f>
        <v>0.43478260869565216</v>
      </c>
      <c r="E8" s="61">
        <f>+AP!L5</f>
        <v>599704.81000000006</v>
      </c>
      <c r="F8" s="73">
        <f>+E8/$E$9</f>
        <v>0.12668917090799295</v>
      </c>
      <c r="G8" s="43"/>
      <c r="H8" s="90">
        <f>+AP!M3</f>
        <v>0</v>
      </c>
      <c r="I8" s="60">
        <f>+H8/$C8</f>
        <v>0</v>
      </c>
      <c r="J8" s="64">
        <f>+AP!M5</f>
        <v>0</v>
      </c>
      <c r="K8" s="84">
        <f>+J8/$E8</f>
        <v>0</v>
      </c>
      <c r="L8" s="44"/>
      <c r="M8" s="83">
        <f>+C8-H8</f>
        <v>10</v>
      </c>
      <c r="N8" s="60">
        <f t="shared" ref="N8:N9" si="0">+M8/C8</f>
        <v>1</v>
      </c>
      <c r="O8" s="64">
        <f>+E8-J8</f>
        <v>599704.81000000006</v>
      </c>
      <c r="P8" s="84">
        <f>+O8/$E8</f>
        <v>1</v>
      </c>
    </row>
    <row r="9" spans="2:16" s="3" customFormat="1" ht="18.600000000000001" customHeight="1" thickBot="1" x14ac:dyDescent="0.25">
      <c r="B9" s="74" t="s">
        <v>49</v>
      </c>
      <c r="C9" s="75">
        <f>SUM(C7:C8)</f>
        <v>23</v>
      </c>
      <c r="D9" s="76">
        <f>+C9/$C$11</f>
        <v>0.95833333333333337</v>
      </c>
      <c r="E9" s="77">
        <f>SUM(E7:E8)</f>
        <v>4733670.6500000004</v>
      </c>
      <c r="F9" s="78">
        <f>+E9/$E$11</f>
        <v>0.24293373989838601</v>
      </c>
      <c r="G9" s="45"/>
      <c r="H9" s="97">
        <f>SUM(H7:H8)</f>
        <v>2</v>
      </c>
      <c r="I9" s="98">
        <f>+H9/$C9</f>
        <v>8.6956521739130432E-2</v>
      </c>
      <c r="J9" s="99">
        <f>SUM(J7:J8)</f>
        <v>4120861.7800000003</v>
      </c>
      <c r="K9" s="100">
        <f>+J9/$E9</f>
        <v>0.87054256298967481</v>
      </c>
      <c r="L9" s="44"/>
      <c r="M9" s="85">
        <f>SUM(M7:M8)</f>
        <v>21</v>
      </c>
      <c r="N9" s="86">
        <f t="shared" si="0"/>
        <v>0.91304347826086951</v>
      </c>
      <c r="O9" s="87">
        <f>SUM(O7:O8)</f>
        <v>612808.86999999965</v>
      </c>
      <c r="P9" s="88">
        <f>+O9/$E9</f>
        <v>0.12945743701032508</v>
      </c>
    </row>
    <row r="10" spans="2:16" ht="3" customHeight="1" thickBot="1" x14ac:dyDescent="0.25"/>
    <row r="11" spans="2:16" s="3" customFormat="1" ht="16.899999999999999" customHeight="1" thickBot="1" x14ac:dyDescent="0.25">
      <c r="B11" s="48" t="s">
        <v>50</v>
      </c>
      <c r="C11" s="49">
        <f>+C9+C6</f>
        <v>24</v>
      </c>
      <c r="D11" s="50" t="s">
        <v>36</v>
      </c>
      <c r="E11" s="51">
        <f>+E9+E6</f>
        <v>19485439.329999998</v>
      </c>
      <c r="F11" s="52" t="s">
        <v>36</v>
      </c>
      <c r="G11" s="45"/>
      <c r="H11" s="1" t="b">
        <f>+H9=Sample_AR!B3+Sample_AP!B3</f>
        <v>1</v>
      </c>
      <c r="I11" s="1"/>
      <c r="J11" s="1" t="b">
        <f>+J9=Sample_AR!L3+Sample_AP!L3</f>
        <v>1</v>
      </c>
      <c r="K11" s="1" t="b">
        <f>+J9='AR_To Analyze'!T3+'AP_To Analyze'!T3</f>
        <v>1</v>
      </c>
      <c r="L11" s="1"/>
      <c r="M11" s="1" t="b">
        <f>+M9&lt;100</f>
        <v>1</v>
      </c>
      <c r="N11" s="1"/>
      <c r="O11" s="46" t="b">
        <f>+O9&lt;3000000</f>
        <v>1</v>
      </c>
      <c r="P11" s="1"/>
    </row>
    <row r="12" spans="2:16" ht="4.9000000000000004" customHeight="1" x14ac:dyDescent="0.2"/>
    <row r="13" spans="2:16" x14ac:dyDescent="0.2">
      <c r="B13" s="3" t="s">
        <v>52</v>
      </c>
      <c r="C13" s="1" t="b">
        <f>+C11=To_Analyze!C3+Under_Control!C3</f>
        <v>1</v>
      </c>
      <c r="E13" s="1" t="b">
        <f>+E11=To_Analyze!M3+Under_Control!M3</f>
        <v>1</v>
      </c>
      <c r="F13" s="1" t="b">
        <f>+E11='Clearings'!Z3</f>
        <v>0</v>
      </c>
    </row>
    <row r="14" spans="2:16" ht="7.9" customHeight="1" x14ac:dyDescent="0.2"/>
    <row r="18" spans="2:6" ht="12.75" x14ac:dyDescent="0.2">
      <c r="B18" s="107" t="s">
        <v>68</v>
      </c>
      <c r="C18" s="42"/>
      <c r="D18" s="42"/>
      <c r="E18" s="42"/>
      <c r="F18" s="42"/>
    </row>
    <row r="19" spans="2:6" ht="12.75" thickBot="1" x14ac:dyDescent="0.25"/>
    <row r="20" spans="2:6" ht="12.75" thickBot="1" x14ac:dyDescent="0.25">
      <c r="B20" s="108" t="s">
        <v>69</v>
      </c>
      <c r="C20" s="109">
        <v>300000</v>
      </c>
      <c r="D20" s="110" t="s">
        <v>66</v>
      </c>
    </row>
    <row r="21" spans="2:6" x14ac:dyDescent="0.2">
      <c r="B21" s="8"/>
    </row>
  </sheetData>
  <mergeCells count="5">
    <mergeCell ref="B2:D2"/>
    <mergeCell ref="E2:F2"/>
    <mergeCell ref="B4:F4"/>
    <mergeCell ref="H4:K4"/>
    <mergeCell ref="M4:P4"/>
  </mergeCells>
  <conditionalFormatting sqref="C13">
    <cfRule type="containsText" dxfId="35" priority="7" operator="containsText" text="TRUE">
      <formula>NOT(ISERROR(SEARCH("TRUE",C13)))</formula>
    </cfRule>
  </conditionalFormatting>
  <conditionalFormatting sqref="E13:F13">
    <cfRule type="containsText" dxfId="34" priority="5" operator="containsText" text="TRUE">
      <formula>NOT(ISERROR(SEARCH("TRUE",E13)))</formula>
    </cfRule>
  </conditionalFormatting>
  <conditionalFormatting sqref="H11">
    <cfRule type="containsText" dxfId="33" priority="4" operator="containsText" text="TRUE">
      <formula>NOT(ISERROR(SEARCH("TRUE",H11)))</formula>
    </cfRule>
  </conditionalFormatting>
  <conditionalFormatting sqref="H7:K8">
    <cfRule type="cellIs" dxfId="32" priority="15" operator="equal">
      <formula>0</formula>
    </cfRule>
  </conditionalFormatting>
  <conditionalFormatting sqref="J11:K11">
    <cfRule type="containsText" dxfId="31" priority="2" operator="containsText" text="TRUE">
      <formula>NOT(ISERROR(SEARCH("TRUE",J11)))</formula>
    </cfRule>
  </conditionalFormatting>
  <conditionalFormatting sqref="M11">
    <cfRule type="containsText" dxfId="30" priority="1" operator="containsText" text="TRUE">
      <formula>NOT(ISERROR(SEARCH("TRUE",M11)))</formula>
    </cfRule>
  </conditionalFormatting>
  <conditionalFormatting sqref="O11">
    <cfRule type="containsText" dxfId="29" priority="16" operator="containsText" text="FALSE">
      <formula>NOT(ISERROR(SEARCH("FALSE",O11)))</formula>
    </cfRule>
    <cfRule type="containsText" dxfId="28" priority="17" operator="containsText" text="TRUE">
      <formula>NOT(ISERROR(SEARCH("TRUE",O11)))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3 b 4 6 c b - 0 e f c - 4 8 6 f - a b 7 0 - c d d f 8 c 8 2 c 8 9 a "   x m l n s = " h t t p : / / s c h e m a s . m i c r o s o f t . c o m / D a t a M a s h u p " > A A A A A O w G A A B Q S w M E F A A C A A g A q m 5 l W d X C W T u l A A A A 9 g A A A B I A H A B D b 2 5 m a W c v U G F j a 2 F n Z S 5 4 b W w g o h g A K K A U A A A A A A A A A A A A A A A A A A A A A A A A A A A A h Y 9 L D o I w G I S v Q r q n D z B R y U 9 Z u J X E h G j c N r V C I x R D i + V u L j y S V x C j q D u X M / N N M n O / 3 i A b m j q 4 q M 7 q 1 q S I Y Y o C Z W R 7 0 K Z M U e + O 4 Q J l H D Z C n k S p g h E 2 N h m s T l H l 3 D k h x H u P f Y z b r i Q R p Y z s 8 3 U h K 9 W I U B v r h J E K f V q H / y 3 E Y f c a w y P M 4 h l m 8 y W m Q C Y T c m 2 + Q D T u f a Y / J q z 6 2 v W d 4 s q E 2 w L I J I G 8 P / A H U E s D B B Q A A g A I A K p u Z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b m V Z U a 5 q R u U D A A B f J Q A A E w A c A E Z v c m 1 1 b G F z L 1 N l Y 3 R p b 2 4 x L m 0 g o h g A K K A U A A A A A A A A A A A A A A A A A A A A A A A A A A A A 7 V h d b 9 o w F H 2 v x H + w 0 h f Q U B j q p D 1 U f a A J d F 1 b i o B u 0 h B C b j B t 1 M R G T t j K K v 7 7 7 H x A / E H a R r R r 1 f A A w j e + t u 8 5 9 1 z f B M g J X Y L B I P 5 t H l b 2 K n v B L a R o C i w P Q e r i m w A c A Q + F l T 3 A P g O y o A 5 i I + 1 7 B 3 m m t a A U 4 f A n o X f X h N x V a w + j L v T R k f G r f d U 5 / X z w 1 R i v R h b B I X t o X I 9 d 7 B v W L c Q 3 b I X h c o 4 M 5 m s I r z 1 k D i n E w Y x Q 3 y L e w s f c G F T j 9 e o P D 8 b Q R d S o g 5 A N A 4 i X q z p g Y / z P J 3 D S O A c t x 9 l i H V p k y n 8 t w r 5 s 4 o C u / K B F r K k 8 d g E x v F F X v A o 0 u + A L K I P o P t R t S B 5 j G 1 r 4 L D r A R o F D z W 3 m L t F Y T G D D U P H Y x i F d g q n O M p s x n L U m 7 u 0 b g l N E g W 7 n f T R D D G h H m T d A Q W A C j r l y W B J C j 5 3 q 2 m x Y j E 7 8 Z D F b n K X J A 6 F 9 q H p x f i A 7 O g 1 9 e a h 3 p k B 4 0 Z a H E l a Q B V a O k z F t i b t F g h B Y o Y J 1 j 5 K Z q 7 V c 0 q l K j d R N t I q y y M Z Z Z N d 6 1 M 9 k a c S C x u Z C X 3 e + r I 2 H t K b O 5 + H e O l 8 w a h 2 c u x i x j P I 5 N 2 X b c a t v X d o C H q t a Z c / F 2 v z P S s 6 Q T F o Y e s u / q I j m r A W r F J 1 S d N a i k 2 t / M 3 r z 3 h L 6 j W v k q r b O + z 7 y y W 9 + n Y k S P N i k f m x I h q u S Q N R 1 S S I w U m T h N m Y l b I o Z l L B G Y o q e H R p G a F m g Q V 6 P t o x w B t U s k i J 6 a 8 R U l D T I S G g I a i E q h C y i G b w 6 r h c i X g z 6 5 E 8 G r Q H y m I z w s a q K a R 0 g 6 N y C E Z f r M Z v C 0 A B J I T E E J i A + y 1 7 M P d d h G 8 m 4 t 9 0 g d L E T V u U N 5 G v 6 d p 4 1 t x N N s w 9 G t 8 F i P m 9 Y i y B B m o V w 0 L A M s X A q a 2 S L 5 x V m w Z / w u k e J V 9 b P s n 6 W 9 b O s n 2 X 9 L O t n g f o Z 1 R K Q 1 J K P U 0 J b / S J 1 c 9 O 1 v k r h f B + l U a 1 9 x Q t Z X l V 6 J v N F k Y p p z 5 c 0 O W z Q Z e Q a c d O Y E e j H F 6 M G C N 1 m t j t G r Y B K S q m R I J 3 L U Z G i v Z K i J U U T D p 6 d / B c O D q A / 9 9 C k m F q 2 + j u k Y E k 3 / T 0 9 Q o i 1 c j u m 4 S j 1 G 1 0 S Y h o Y A m 1 E z z r S F N K v V q 8 k z U c k z T 6 T i 0 n m Z Y 6 W O / E + u i g I 0 f Q 7 c X F 1 / S L j k Z t n f a N k j z 6 Z b H z S O b a b 7 G R 8 n T M X T 8 1 T j B F 9 t g a n b E y L q P p S R F o v J Y 6 u q 8 p p E 3 b U c G k b p + d 1 S c I 1 n / A + R x + l y C R c 9 M V O J T 9 / 0 5 z N 5 G m a m + t 8 T P N N z D E p r z S 5 p M u f p 7 W i L 9 Q e a j p c u Z k t 2 F z J + O R G P Q / Z 5 t O h b f J V 3 i R 8 + r Z S w j U P w D w 4 i + I q 3 t W U s E s i 2 n s N E e 0 9 W U T 7 K A r m y 4 t o r l a 8 d 0 m V 4 r k 7 h S 2 z c C d Z a B z + A 1 B L A Q I t A B Q A A g A I A K p u Z V n V w l k 7 p Q A A A P Y A A A A S A A A A A A A A A A A A A A A A A A A A A A B D b 2 5 m a W c v U G F j a 2 F n Z S 5 4 b W x Q S w E C L Q A U A A I A C A C q b m V Z D 8 r p q 6 Q A A A D p A A A A E w A A A A A A A A A A A A A A A A D x A A A A W 0 N v b n R l b n R f V H l w Z X N d L n h t b F B L A Q I t A B Q A A g A I A K p u Z V l R r m p G 5 Q M A A F 8 l A A A T A A A A A A A A A A A A A A A A A O I B A A B G b 3 J t d W x h c y 9 T Z W N 0 a W 9 u M S 5 t U E s F B g A A A A A D A A M A w g A A A B Q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h A A A A A A A A m K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y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c m l u Z 3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2 Y y Z m F k Y j E 5 L T Z m N W U t N D Q 4 N y 1 i N T g w L T h h N j E 4 Y j c 0 O T M x N y I g L z 4 8 R W 5 0 c n k g V H l w Z T 0 i R m l s b E N v d W 5 0 I i B W Y W x 1 Z T 0 i b D Y w I i A v P j x F b n R y e S B U e X B l P S J B Z G R l Z F R v R G F 0 Y U 1 v Z G V s I i B W Y W x 1 Z T 0 i b D A i I C 8 + P E V u d H J 5 I F R 5 c G U 9 I k Z p b G x M Y X N 0 V X B k Y X R l Z C I g V m F s d W U 9 I m Q y M D I 0 L T E x L T A 1 V D E y O j U z O j A 3 L j Y x M D Q 5 M D F a I i A v P j x F b n R y e S B U e X B l P S J G a W x s Q 2 9 s d W 1 u V H l w Z X M i I F Z h b H V l P S J z Q U F B Q U F B Q U F B Q U F B Q U F B Q U F B Q U F B Q U F S Q U F B Q U F B Q U F B Q U F B Q U F B Q U F B Q U F B Q U F B Q U F B P S I g L z 4 8 R W 5 0 c n k g V H l w Z T 0 i R m l s b E N v b H V t b k 5 h b W V z I i B W Y W x 1 Z T 0 i c 1 s m c X V v d D t U a W V y J n F 1 b 3 Q 7 L C Z x d W 9 0 O 1 R 5 c G U g K y B H L 0 w g Q W N j J n F 1 b 3 Q 7 L C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I E R l c 2 N y L i Z x d W 9 0 O y w m c X V v d D t E b 2 N 1 b W V u d E 5 v J n F 1 b 3 Q 7 L C Z x d W 9 0 O 0 R v Y y 4 g R G F 0 Z S Z x d W 9 0 O y w m c X V v d D t F b n R y e S B k Y X R l J n F 1 b 3 Q 7 L C Z x d W 9 0 O 0 V m Z m V j d C B k Y X R l J n F 1 b 3 Q 7 L C Z x d W 9 0 O 0 R v Y y 5 I Z W F k Z X I g V G V 4 d C Z x d W 9 0 O y w m c X V v d D t S Z W Z l c m V u Y 2 U m c X V v d D s s J n F 1 b 3 Q 7 U 2 V z c y 4 g T m F t Z S Z x d W 9 0 O y w m c X V v d D t U b 3 R h b C B E Z W I u L 0 N y Z W Q u J n F 1 b 3 Q 7 L C Z x d W 9 0 O 1 R v d G F s I E R l Y i 4 v Q 3 J l Z C 4 o T U w z J n F 1 b 3 Q 7 L C Z x d W 9 0 O 0 l 0 b S Z x d W 9 0 O y w m c X V v d D t Q S y Z x d W 9 0 O y w m c X V v d D t D T U U m c X V v d D s s J n F 1 b 3 Q 7 R y 9 M I E F j Y 2 9 1 b n Q m c X V v d D s s J n F 1 b 3 Q 7 R y 9 M I E F j Y 2 9 1 b n Q g R G V z Y 3 I u J n F 1 b 3 Q 7 L C Z x d W 9 0 O y A g I E R l Y m l 0 I G F t b 3 V u d C Z x d W 9 0 O y w m c X V v d D t E Z W J p d C B h b W 9 1 b n Q o T U w z K S Z x d W 9 0 O y w m c X V v d D s g I E N y Z W R p d C B h b W 9 1 b n Q m c X V v d D s s J n F 1 b 3 Q 7 Q 3 J l Z G l 0 I G F t b 3 V u d C h N T D M p J n F 1 b 3 Q 7 L C Z x d W 9 0 O 0 x p b m U g Q 2 9 t b W V u d C Z x d W 9 0 O y w m c X V v d D t C Q V J D T 0 R F J n F 1 b 3 Q 7 L C Z x d W 9 0 O 0 N v c 3 Q g Q 3 R y J n F 1 b 3 Q 7 L C Z x d W 9 0 O 1 B y b 2 Z p d C B D d H I m c X V v d D s s J n F 1 b 3 Q 7 T 3 J k Z X I m c X V v d D s s J n F 1 b 3 Q 7 Q 2 9 z d C B D d H I g R G V z Y y 4 m c X V v d D s s J n F 1 b 3 Q 7 U H J v Z m l 0 I E N 0 c i B E Z X N j J n F 1 b 3 Q 7 L C Z x d W 9 0 O 0 9 y Z G V y I E R l c 2 M u J n F 1 b 3 Q 7 L C Z x d W 9 0 O 1 N 1 c H A v Q 3 V z d C Z x d W 9 0 O y w m c X V v d D t E Z X N j L l M v Q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y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v X 0 F u Y W x 5 e m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0 M W I 4 M j g 1 N i 0 x M T N k L T Q 2 Z j E t Y j Y 2 Z i 1 h O T Y 0 Y z J l Y T M x Z D U i I C 8 + P E V u d H J 5 I F R 5 c G U 9 I k Z p b G x F c n J v c k N v Z G U i I F Z h b H V l P S J z V W 5 r b m 9 3 b i I g L z 4 8 R W 5 0 c n k g V H l w Z T 0 i R m l s b E N v d W 5 0 I i B W Y W x 1 Z T 0 i b D I z I i A v P j x F b n R y e S B U e X B l P S J B Z G R l Z F R v R G F 0 Y U 1 v Z G V s I i B W Y W x 1 Z T 0 i b D A i I C 8 + P E V u d H J 5 I F R 5 c G U 9 I k Z p b G x M Y X N 0 V X B k Y X R l Z C I g V m F s d W U 9 I m Q y M D I 0 L T E x L T A 1 V D E y O j U z O j E x L j g 0 M D g 3 M j F a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U a W V y J n F 1 b 3 Q 7 L C Z x d W 9 0 O 1 R 5 c G U g K y B U Q 2 9 k Z S A r I E N v I C s g R G 9 j I E 4 m c X V v d D s s J n F 1 b 3 Q 7 Q 2 9 D Z C Z x d W 9 0 O y w m c X V v d D t N Y W 5 h Z 2 V y J n F 1 b 3 Q 7 L C Z x d W 9 0 O 1 V z Z X I m c X V v d D s s J n F 1 b 3 Q 7 V E N v Z G U m c X V v d D s s J n F 1 b 3 Q 7 V G V 4 d C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f Q W 5 h b H l 6 Z S 9 B d X R v U m V t b 3 Z l Z E N v b H V t b n M x L n t U a W V y L D B 9 J n F 1 b 3 Q 7 L C Z x d W 9 0 O 1 N l Y 3 R p b 2 4 x L 1 R v X 0 F u Y W x 5 e m U v Q X V 0 b 1 J l b W 9 2 Z W R D b 2 x 1 b W 5 z M S 5 7 V H l w Z S A r I F R D b 2 R l I C s g Q 2 8 g K y B E b 2 M g T i w x f S Z x d W 9 0 O y w m c X V v d D t T Z W N 0 a W 9 u M S 9 U b 1 9 B b m F s e X p l L 0 F 1 d G 9 S Z W 1 v d m V k Q 2 9 s d W 1 u c z E u e 0 N v Q 2 Q s M n 0 m c X V v d D s s J n F 1 b 3 Q 7 U 2 V j d G l v b j E v V G 9 f Q W 5 h b H l 6 Z S 9 B d X R v U m V t b 3 Z l Z E N v b H V t b n M x L n t N Y W 5 h Z 2 V y L D N 9 J n F 1 b 3 Q 7 L C Z x d W 9 0 O 1 N l Y 3 R p b 2 4 x L 1 R v X 0 F u Y W x 5 e m U v Q X V 0 b 1 J l b W 9 2 Z W R D b 2 x 1 b W 5 z M S 5 7 V X N l c i w 0 f S Z x d W 9 0 O y w m c X V v d D t T Z W N 0 a W 9 u M S 9 U b 1 9 B b m F s e X p l L 0 F 1 d G 9 S Z W 1 v d m V k Q 2 9 s d W 1 u c z E u e 1 R D b 2 R l L D V 9 J n F 1 b 3 Q 7 L C Z x d W 9 0 O 1 N l Y 3 R p b 2 4 x L 1 R v X 0 F u Y W x 5 e m U v Q X V 0 b 1 J l b W 9 2 Z W R D b 2 x 1 b W 5 z M S 5 7 V G V 4 d C w 2 f S Z x d W 9 0 O y w m c X V v d D t T Z W N 0 a W 9 u M S 9 U b 1 9 B b m F s e X p l L 0 F 1 d G 9 S Z W 1 v d m V k Q 2 9 s d W 1 u c z E u e 1 R 5 c G U s N 3 0 m c X V v d D s s J n F 1 b 3 Q 7 U 2 V j d G l v b j E v V G 9 f Q W 5 h b H l 6 Z S 9 B d X R v U m V t b 3 Z l Z E N v b H V t b n M x L n t E b 2 N 1 b W V u d E 5 v L D h 9 J n F 1 b 3 Q 7 L C Z x d W 9 0 O 1 N l Y 3 R p b 2 4 x L 1 R v X 0 F u Y W x 5 e m U v Q X V 0 b 1 J l b W 9 2 Z W R D b 2 x 1 b W 5 z M S 5 7 R W Z m Z W N 0 I G R h d G U s O X 0 m c X V v d D s s J n F 1 b 3 Q 7 U 2 V j d G l v b j E v V G 9 f Q W 5 h b H l 6 Z S 9 B d X R v U m V t b 3 Z l Z E N v b H V t b n M x L n t E b 2 M u S G V h Z G V y I F R l e H Q s M T B 9 J n F 1 b 3 Q 7 L C Z x d W 9 0 O 1 N l Y 3 R p b 2 4 x L 1 R v X 0 F u Y W x 5 e m U v Q X V 0 b 1 J l b W 9 2 Z W R D b 2 x 1 b W 5 z M S 5 7 V G 9 0 Y W w g R G V i L i 9 D c m V k L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v X 0 F u Y W x 5 e m U v Q X V 0 b 1 J l b W 9 2 Z W R D b 2 x 1 b W 5 z M S 5 7 V G l l c i w w f S Z x d W 9 0 O y w m c X V v d D t T Z W N 0 a W 9 u M S 9 U b 1 9 B b m F s e X p l L 0 F 1 d G 9 S Z W 1 v d m V k Q 2 9 s d W 1 u c z E u e 1 R 5 c G U g K y B U Q 2 9 k Z S A r I E N v I C s g R G 9 j I E 4 s M X 0 m c X V v d D s s J n F 1 b 3 Q 7 U 2 V j d G l v b j E v V G 9 f Q W 5 h b H l 6 Z S 9 B d X R v U m V t b 3 Z l Z E N v b H V t b n M x L n t D b 0 N k L D J 9 J n F 1 b 3 Q 7 L C Z x d W 9 0 O 1 N l Y 3 R p b 2 4 x L 1 R v X 0 F u Y W x 5 e m U v Q X V 0 b 1 J l b W 9 2 Z W R D b 2 x 1 b W 5 z M S 5 7 T W F u Y W d l c i w z f S Z x d W 9 0 O y w m c X V v d D t T Z W N 0 a W 9 u M S 9 U b 1 9 B b m F s e X p l L 0 F 1 d G 9 S Z W 1 v d m V k Q 2 9 s d W 1 u c z E u e 1 V z Z X I s N H 0 m c X V v d D s s J n F 1 b 3 Q 7 U 2 V j d G l v b j E v V G 9 f Q W 5 h b H l 6 Z S 9 B d X R v U m V t b 3 Z l Z E N v b H V t b n M x L n t U Q 2 9 k Z S w 1 f S Z x d W 9 0 O y w m c X V v d D t T Z W N 0 a W 9 u M S 9 U b 1 9 B b m F s e X p l L 0 F 1 d G 9 S Z W 1 v d m V k Q 2 9 s d W 1 u c z E u e 1 R l e H Q s N n 0 m c X V v d D s s J n F 1 b 3 Q 7 U 2 V j d G l v b j E v V G 9 f Q W 5 h b H l 6 Z S 9 B d X R v U m V t b 3 Z l Z E N v b H V t b n M x L n t U e X B l L D d 9 J n F 1 b 3 Q 7 L C Z x d W 9 0 O 1 N l Y 3 R p b 2 4 x L 1 R v X 0 F u Y W x 5 e m U v Q X V 0 b 1 J l b W 9 2 Z W R D b 2 x 1 b W 5 z M S 5 7 R G 9 j d W 1 l b n R O b y w 4 f S Z x d W 9 0 O y w m c X V v d D t T Z W N 0 a W 9 u M S 9 U b 1 9 B b m F s e X p l L 0 F 1 d G 9 S Z W 1 v d m V k Q 2 9 s d W 1 u c z E u e 0 V m Z m V j d C B k Y X R l L D l 9 J n F 1 b 3 Q 7 L C Z x d W 9 0 O 1 N l Y 3 R p b 2 4 x L 1 R v X 0 F u Y W x 5 e m U v Q X V 0 b 1 J l b W 9 2 Z W R D b 2 x 1 b W 5 z M S 5 7 R G 9 j L k h l Y W R l c i B U Z X h 0 L D E w f S Z x d W 9 0 O y w m c X V v d D t T Z W N 0 a W 9 u M S 9 U b 1 9 B b m F s e X p l L 0 F 1 d G 9 S Z W 1 v d m V k Q 2 9 s d W 1 u c z E u e 1 R v d G F s I E R l Y i 4 v Q 3 J l Z C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1 9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1 9 B b m F s e X p l L 1 J l b W V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b m R l c l 9 D b 2 5 0 c m 9 s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E x L T A 1 V D E y O j U z O j E x L j c 2 N j M w M j N a I i A v P j x F b n R y e S B U e X B l P S J R d W V y e U l E I i B W Y W x 1 Z T 0 i c z c 3 M 2 Q 1 N D A 4 L W N i N T c t N D c 0 Z S 0 4 N z E 1 L W Z j N W E x N j F j N W Z l Y y I g L z 4 8 R W 5 0 c n k g V H l w Z T 0 i R m l s b E N v b H V t b l R 5 c G V z I i B W Y W x 1 Z T 0 i c 0 F B Q U F B Q U F B Q U F B Q U F B Q U E i I C 8 + P E V u d H J 5 I F R 5 c G U 9 I k x v Y W R l Z F R v Q W 5 h b H l z a X N T Z X J 2 a W N l c y I g V m F s d W U 9 I m w w I i A v P j x F b n R y e S B U e X B l P S J G a W x s Q 2 9 s d W 1 u T m F t Z X M i I F Z h b H V l P S J z W y Z x d W 9 0 O 1 R p Z X I m c X V v d D s s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u Z G V y X 0 N v b n R y b 2 w v Q X V 0 b 1 J l b W 9 2 Z W R D b 2 x 1 b W 5 z M S 5 7 V G l l c i w w f S Z x d W 9 0 O y w m c X V v d D t T Z W N 0 a W 9 u M S 9 V b m R l c l 9 D b 2 5 0 c m 9 s L 0 F 1 d G 9 S Z W 1 v d m V k Q 2 9 s d W 1 u c z E u e 1 R 5 c G U g K y B U Q 2 9 k Z S A r I E N v I C s g R G 9 j I E 4 s M X 0 m c X V v d D s s J n F 1 b 3 Q 7 U 2 V j d G l v b j E v V W 5 k Z X J f Q 2 9 u d H J v b C 9 B d X R v U m V t b 3 Z l Z E N v b H V t b n M x L n t D b 0 N k L D J 9 J n F 1 b 3 Q 7 L C Z x d W 9 0 O 1 N l Y 3 R p b 2 4 x L 1 V u Z G V y X 0 N v b n R y b 2 w v Q X V 0 b 1 J l b W 9 2 Z W R D b 2 x 1 b W 5 z M S 5 7 T W F u Y W d l c i w z f S Z x d W 9 0 O y w m c X V v d D t T Z W N 0 a W 9 u M S 9 V b m R l c l 9 D b 2 5 0 c m 9 s L 0 F 1 d G 9 S Z W 1 v d m V k Q 2 9 s d W 1 u c z E u e 1 V z Z X I s N H 0 m c X V v d D s s J n F 1 b 3 Q 7 U 2 V j d G l v b j E v V W 5 k Z X J f Q 2 9 u d H J v b C 9 B d X R v U m V t b 3 Z l Z E N v b H V t b n M x L n t U Q 2 9 k Z S w 1 f S Z x d W 9 0 O y w m c X V v d D t T Z W N 0 a W 9 u M S 9 V b m R l c l 9 D b 2 5 0 c m 9 s L 0 F 1 d G 9 S Z W 1 v d m V k Q 2 9 s d W 1 u c z E u e 1 R l e H Q s N n 0 m c X V v d D s s J n F 1 b 3 Q 7 U 2 V j d G l v b j E v V W 5 k Z X J f Q 2 9 u d H J v b C 9 B d X R v U m V t b 3 Z l Z E N v b H V t b n M x L n t U e X B l L D d 9 J n F 1 b 3 Q 7 L C Z x d W 9 0 O 1 N l Y 3 R p b 2 4 x L 1 V u Z G V y X 0 N v b n R y b 2 w v Q X V 0 b 1 J l b W 9 2 Z W R D b 2 x 1 b W 5 z M S 5 7 R G 9 j d W 1 l b n R O b y w 4 f S Z x d W 9 0 O y w m c X V v d D t T Z W N 0 a W 9 u M S 9 V b m R l c l 9 D b 2 5 0 c m 9 s L 0 F 1 d G 9 S Z W 1 v d m V k Q 2 9 s d W 1 u c z E u e 0 V m Z m V j d C B k Y X R l L D l 9 J n F 1 b 3 Q 7 L C Z x d W 9 0 O 1 N l Y 3 R p b 2 4 x L 1 V u Z G V y X 0 N v b n R y b 2 w v Q X V 0 b 1 J l b W 9 2 Z W R D b 2 x 1 b W 5 z M S 5 7 R G 9 j L k h l Y W R l c i B U Z X h 0 L D E w f S Z x d W 9 0 O y w m c X V v d D t T Z W N 0 a W 9 u M S 9 V b m R l c l 9 D b 2 5 0 c m 9 s L 0 F 1 d G 9 S Z W 1 v d m V k Q 2 9 s d W 1 u c z E u e 1 R v d G F s I E R l Y i 4 v Q 3 J l Z C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b m R l c l 9 D b 2 5 0 c m 9 s L 0 F 1 d G 9 S Z W 1 v d m V k Q 2 9 s d W 1 u c z E u e 1 R p Z X I s M H 0 m c X V v d D s s J n F 1 b 3 Q 7 U 2 V j d G l v b j E v V W 5 k Z X J f Q 2 9 u d H J v b C 9 B d X R v U m V t b 3 Z l Z E N v b H V t b n M x L n t U e X B l I C s g V E N v Z G U g K y B D b y A r I E R v Y y B O L D F 9 J n F 1 b 3 Q 7 L C Z x d W 9 0 O 1 N l Y 3 R p b 2 4 x L 1 V u Z G V y X 0 N v b n R y b 2 w v Q X V 0 b 1 J l b W 9 2 Z W R D b 2 x 1 b W 5 z M S 5 7 Q 2 9 D Z C w y f S Z x d W 9 0 O y w m c X V v d D t T Z W N 0 a W 9 u M S 9 V b m R l c l 9 D b 2 5 0 c m 9 s L 0 F 1 d G 9 S Z W 1 v d m V k Q 2 9 s d W 1 u c z E u e 0 1 h b m F n Z X I s M 3 0 m c X V v d D s s J n F 1 b 3 Q 7 U 2 V j d G l v b j E v V W 5 k Z X J f Q 2 9 u d H J v b C 9 B d X R v U m V t b 3 Z l Z E N v b H V t b n M x L n t V c 2 V y L D R 9 J n F 1 b 3 Q 7 L C Z x d W 9 0 O 1 N l Y 3 R p b 2 4 x L 1 V u Z G V y X 0 N v b n R y b 2 w v Q X V 0 b 1 J l b W 9 2 Z W R D b 2 x 1 b W 5 z M S 5 7 V E N v Z G U s N X 0 m c X V v d D s s J n F 1 b 3 Q 7 U 2 V j d G l v b j E v V W 5 k Z X J f Q 2 9 u d H J v b C 9 B d X R v U m V t b 3 Z l Z E N v b H V t b n M x L n t U Z X h 0 L D Z 9 J n F 1 b 3 Q 7 L C Z x d W 9 0 O 1 N l Y 3 R p b 2 4 x L 1 V u Z G V y X 0 N v b n R y b 2 w v Q X V 0 b 1 J l b W 9 2 Z W R D b 2 x 1 b W 5 z M S 5 7 V H l w Z S w 3 f S Z x d W 9 0 O y w m c X V v d D t T Z W N 0 a W 9 u M S 9 V b m R l c l 9 D b 2 5 0 c m 9 s L 0 F 1 d G 9 S Z W 1 v d m V k Q 2 9 s d W 1 u c z E u e 0 R v Y 3 V t Z W 5 0 T m 8 s O H 0 m c X V v d D s s J n F 1 b 3 Q 7 U 2 V j d G l v b j E v V W 5 k Z X J f Q 2 9 u d H J v b C 9 B d X R v U m V t b 3 Z l Z E N v b H V t b n M x L n t F Z m Z l Y 3 Q g Z G F 0 Z S w 5 f S Z x d W 9 0 O y w m c X V v d D t T Z W N 0 a W 9 u M S 9 V b m R l c l 9 D b 2 5 0 c m 9 s L 0 F 1 d G 9 S Z W 1 v d m V k Q 2 9 s d W 1 u c z E u e 0 R v Y y 5 I Z W F k Z X I g V G V 4 d C w x M H 0 m c X V v d D s s J n F 1 b 3 Q 7 U 2 V j d G l v b j E v V W 5 k Z X J f Q 2 9 u d H J v b C 9 B d X R v U m V t b 3 Z l Z E N v b H V t b n M x L n t U b 3 R h b C B E Z W I u L 0 N y Z W Q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f Q 2 9 u d H J v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R l c l 9 D b 2 5 0 c m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u Z G V y X 0 N v b n R y b 2 w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S Z W 1 l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X 0 F u Y W x 5 e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f Q 2 9 u d H J v b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x M S 0 w N V Q x M j o 1 M z o x M S 4 5 M D c 4 N z Y 5 W i I g L z 4 8 R W 5 0 c n k g V H l w Z T 0 i U X V l c n l J R C I g V m F s d W U 9 I n N j O D Z l O T Q y M S 1 k N z Z h L T Q 3 O W Q t O T l m O C 0 w M D U 4 Y T Y w N z g y Z G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Z p b G x D b 3 V u d C I g V m F s d W U 9 I m w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I v Q X V 0 b 1 J l b W 9 2 Z W R D b 2 x 1 b W 5 z M S 5 7 V H l w Z S A r I F R D b 2 R l I C s g Q 2 8 g K y B E b 2 M g T i w w f S Z x d W 9 0 O y w m c X V v d D t T Z W N 0 a W 9 u M S 9 B U i 9 B d X R v U m V t b 3 Z l Z E N v b H V t b n M x L n t D b 0 N k L D F 9 J n F 1 b 3 Q 7 L C Z x d W 9 0 O 1 N l Y 3 R p b 2 4 x L 0 F S L 0 F 1 d G 9 S Z W 1 v d m V k Q 2 9 s d W 1 u c z E u e 0 1 h b m F n Z X I s M n 0 m c X V v d D s s J n F 1 b 3 Q 7 U 2 V j d G l v b j E v Q V I v Q X V 0 b 1 J l b W 9 2 Z W R D b 2 x 1 b W 5 z M S 5 7 V X N l c i w z f S Z x d W 9 0 O y w m c X V v d D t T Z W N 0 a W 9 u M S 9 B U i 9 B d X R v U m V t b 3 Z l Z E N v b H V t b n M x L n t U Q 2 9 k Z S w 0 f S Z x d W 9 0 O y w m c X V v d D t T Z W N 0 a W 9 u M S 9 B U i 9 B d X R v U m V t b 3 Z l Z E N v b H V t b n M x L n t U Z X h 0 L D V 9 J n F 1 b 3 Q 7 L C Z x d W 9 0 O 1 N l Y 3 R p b 2 4 x L 0 F S L 0 F 1 d G 9 S Z W 1 v d m V k Q 2 9 s d W 1 u c z E u e 1 R 5 c G U s N n 0 m c X V v d D s s J n F 1 b 3 Q 7 U 2 V j d G l v b j E v Q V I v Q X V 0 b 1 J l b W 9 2 Z W R D b 2 x 1 b W 5 z M S 5 7 R G 9 j d W 1 l b n R O b y w 3 f S Z x d W 9 0 O y w m c X V v d D t T Z W N 0 a W 9 u M S 9 B U i 9 B d X R v U m V t b 3 Z l Z E N v b H V t b n M x L n t F Z m Z l Y 3 Q g Z G F 0 Z S w 4 f S Z x d W 9 0 O y w m c X V v d D t T Z W N 0 a W 9 u M S 9 B U i 9 B d X R v U m V t b 3 Z l Z E N v b H V t b n M x L n t E b 2 M u S G V h Z G V y I F R l e H Q s O X 0 m c X V v d D s s J n F 1 b 3 Q 7 U 2 V j d G l v b j E v Q V I v Q X V 0 b 1 J l b W 9 2 Z W R D b 2 x 1 b W 5 z M S 5 7 V G 9 0 Y W w g R G V i L i 9 D c m V k L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S L 0 F 1 d G 9 S Z W 1 v d m V k Q 2 9 s d W 1 u c z E u e 1 R 5 c G U g K y B U Q 2 9 k Z S A r I E N v I C s g R G 9 j I E 4 s M H 0 m c X V v d D s s J n F 1 b 3 Q 7 U 2 V j d G l v b j E v Q V I v Q X V 0 b 1 J l b W 9 2 Z W R D b 2 x 1 b W 5 z M S 5 7 Q 2 9 D Z C w x f S Z x d W 9 0 O y w m c X V v d D t T Z W N 0 a W 9 u M S 9 B U i 9 B d X R v U m V t b 3 Z l Z E N v b H V t b n M x L n t N Y W 5 h Z 2 V y L D J 9 J n F 1 b 3 Q 7 L C Z x d W 9 0 O 1 N l Y 3 R p b 2 4 x L 0 F S L 0 F 1 d G 9 S Z W 1 v d m V k Q 2 9 s d W 1 u c z E u e 1 V z Z X I s M 3 0 m c X V v d D s s J n F 1 b 3 Q 7 U 2 V j d G l v b j E v Q V I v Q X V 0 b 1 J l b W 9 2 Z W R D b 2 x 1 b W 5 z M S 5 7 V E N v Z G U s N H 0 m c X V v d D s s J n F 1 b 3 Q 7 U 2 V j d G l v b j E v Q V I v Q X V 0 b 1 J l b W 9 2 Z W R D b 2 x 1 b W 5 z M S 5 7 V G V 4 d C w 1 f S Z x d W 9 0 O y w m c X V v d D t T Z W N 0 a W 9 u M S 9 B U i 9 B d X R v U m V t b 3 Z l Z E N v b H V t b n M x L n t U e X B l L D Z 9 J n F 1 b 3 Q 7 L C Z x d W 9 0 O 1 N l Y 3 R p b 2 4 x L 0 F S L 0 F 1 d G 9 S Z W 1 v d m V k Q 2 9 s d W 1 u c z E u e 0 R v Y 3 V t Z W 5 0 T m 8 s N 3 0 m c X V v d D s s J n F 1 b 3 Q 7 U 2 V j d G l v b j E v Q V I v Q X V 0 b 1 J l b W 9 2 Z W R D b 2 x 1 b W 5 z M S 5 7 R W Z m Z W N 0 I G R h d G U s O H 0 m c X V v d D s s J n F 1 b 3 Q 7 U 2 V j d G l v b j E v Q V I v Q X V 0 b 1 J l b W 9 2 Z W R D b 2 x 1 b W 5 z M S 5 7 R G 9 j L k h l Y W R l c i B U Z X h 0 L D l 9 J n F 1 b 3 Q 7 L C Z x d W 9 0 O 1 N l Y 3 R p b 2 4 x L 0 F S L 0 F 1 d G 9 S Z W 1 v d m V k Q 2 9 s d W 1 u c z E u e 1 R v d G F s I E R l Y i 4 v Q 3 J l Z C 4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V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U X V l c n l J R C I g V m F s d W U 9 I n M 4 M 2 J j N z l j Y y 1 l M z g y L T R k M j M t Y T V j Z i 0 2 Z G J j N D Y 1 Z j R l M T k i I C 8 + P E V u d H J 5 I F R 5 c G U 9 I k Z p b G x M Y X N 0 V X B k Y X R l Z C I g V m F s d W U 9 I m Q y M D I 0 L T E x L T A 1 V D E y O j U z O j E y L j k 0 N T Q y N z J a I i A v P j x F b n R y e S B U e X B l P S J G a W x s Q 2 9 1 b n Q i I F Z h b H V l P S J s M T A i I C 8 + P E V u d H J 5 I F R 5 c G U 9 I k F k Z G V k V G 9 E Y X R h T W 9 k Z W w i I F Z h b H V l P S J s M C I g L z 4 8 R W 5 0 c n k g V H l w Z T 0 i R m l s b E N v b H V t b l R 5 c G V z I i B W Y W x 1 Z T 0 i c 0 F B Q U F B Q U F B Q U F B Q U F B Q T 0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C 9 B d X R v U m V t b 3 Z l Z E N v b H V t b n M x L n t U e X B l I C s g V E N v Z G U g K y B D b y A r I E R v Y y B O L D B 9 J n F 1 b 3 Q 7 L C Z x d W 9 0 O 1 N l Y 3 R p b 2 4 x L 0 F Q L 0 F 1 d G 9 S Z W 1 v d m V k Q 2 9 s d W 1 u c z E u e 0 N v Q 2 Q s M X 0 m c X V v d D s s J n F 1 b 3 Q 7 U 2 V j d G l v b j E v Q V A v Q X V 0 b 1 J l b W 9 2 Z W R D b 2 x 1 b W 5 z M S 5 7 T W F u Y W d l c i w y f S Z x d W 9 0 O y w m c X V v d D t T Z W N 0 a W 9 u M S 9 B U C 9 B d X R v U m V t b 3 Z l Z E N v b H V t b n M x L n t V c 2 V y L D N 9 J n F 1 b 3 Q 7 L C Z x d W 9 0 O 1 N l Y 3 R p b 2 4 x L 0 F Q L 0 F 1 d G 9 S Z W 1 v d m V k Q 2 9 s d W 1 u c z E u e 1 R D b 2 R l L D R 9 J n F 1 b 3 Q 7 L C Z x d W 9 0 O 1 N l Y 3 R p b 2 4 x L 0 F Q L 0 F 1 d G 9 S Z W 1 v d m V k Q 2 9 s d W 1 u c z E u e 1 R l e H Q s N X 0 m c X V v d D s s J n F 1 b 3 Q 7 U 2 V j d G l v b j E v Q V A v Q X V 0 b 1 J l b W 9 2 Z W R D b 2 x 1 b W 5 z M S 5 7 V H l w Z S w 2 f S Z x d W 9 0 O y w m c X V v d D t T Z W N 0 a W 9 u M S 9 B U C 9 B d X R v U m V t b 3 Z l Z E N v b H V t b n M x L n t E b 2 N 1 b W V u d E 5 v L D d 9 J n F 1 b 3 Q 7 L C Z x d W 9 0 O 1 N l Y 3 R p b 2 4 x L 0 F Q L 0 F 1 d G 9 S Z W 1 v d m V k Q 2 9 s d W 1 u c z E u e 0 V m Z m V j d C B k Y X R l L D h 9 J n F 1 b 3 Q 7 L C Z x d W 9 0 O 1 N l Y 3 R p b 2 4 x L 0 F Q L 0 F 1 d G 9 S Z W 1 v d m V k Q 2 9 s d W 1 u c z E u e 0 R v Y y 5 I Z W F k Z X I g V G V 4 d C w 5 f S Z x d W 9 0 O y w m c X V v d D t T Z W N 0 a W 9 u M S 9 B U C 9 B d X R v U m V t b 3 Z l Z E N v b H V t b n M x L n t U b 3 R h b C B E Z W I u L 0 N y Z W Q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V A v Q X V 0 b 1 J l b W 9 2 Z W R D b 2 x 1 b W 5 z M S 5 7 V H l w Z S A r I F R D b 2 R l I C s g Q 2 8 g K y B E b 2 M g T i w w f S Z x d W 9 0 O y w m c X V v d D t T Z W N 0 a W 9 u M S 9 B U C 9 B d X R v U m V t b 3 Z l Z E N v b H V t b n M x L n t D b 0 N k L D F 9 J n F 1 b 3 Q 7 L C Z x d W 9 0 O 1 N l Y 3 R p b 2 4 x L 0 F Q L 0 F 1 d G 9 S Z W 1 v d m V k Q 2 9 s d W 1 u c z E u e 0 1 h b m F n Z X I s M n 0 m c X V v d D s s J n F 1 b 3 Q 7 U 2 V j d G l v b j E v Q V A v Q X V 0 b 1 J l b W 9 2 Z W R D b 2 x 1 b W 5 z M S 5 7 V X N l c i w z f S Z x d W 9 0 O y w m c X V v d D t T Z W N 0 a W 9 u M S 9 B U C 9 B d X R v U m V t b 3 Z l Z E N v b H V t b n M x L n t U Q 2 9 k Z S w 0 f S Z x d W 9 0 O y w m c X V v d D t T Z W N 0 a W 9 u M S 9 B U C 9 B d X R v U m V t b 3 Z l Z E N v b H V t b n M x L n t U Z X h 0 L D V 9 J n F 1 b 3 Q 7 L C Z x d W 9 0 O 1 N l Y 3 R p b 2 4 x L 0 F Q L 0 F 1 d G 9 S Z W 1 v d m V k Q 2 9 s d W 1 u c z E u e 1 R 5 c G U s N n 0 m c X V v d D s s J n F 1 b 3 Q 7 U 2 V j d G l v b j E v Q V A v Q X V 0 b 1 J l b W 9 2 Z W R D b 2 x 1 b W 5 z M S 5 7 R G 9 j d W 1 l b n R O b y w 3 f S Z x d W 9 0 O y w m c X V v d D t T Z W N 0 a W 9 u M S 9 B U C 9 B d X R v U m V t b 3 Z l Z E N v b H V t b n M x L n t F Z m Z l Y 3 Q g Z G F 0 Z S w 4 f S Z x d W 9 0 O y w m c X V v d D t T Z W N 0 a W 9 u M S 9 B U C 9 B d X R v U m V t b 3 Z l Z E N v b H V t b n M x L n t E b 2 M u S G V h Z G V y I F R l e H Q s O X 0 m c X V v d D s s J n F 1 b 3 Q 7 U 2 V j d G l v b j E v Q V A v Q X V 0 b 1 J l b W 9 2 Z W R D b 2 x 1 b W 5 z M S 5 7 V G 9 0 Y W w g R G V i L i 9 D c m V k L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F t c G x l X 0 F S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V H l w Z S A r I F R D b 2 R l I C s g Q 2 8 g K y B E b 2 M g T i Z x d W 9 0 O y w m c X V v d D t D b 0 N k J n F 1 b 3 Q 7 L C Z x d W 9 0 O 0 1 h b m F n Z X I m c X V v d D s s J n F 1 b 3 Q 7 V X N l c i Z x d W 9 0 O y w m c X V v d D t U Q 2 9 k Z S Z x d W 9 0 O y w m c X V v d D t U Z X h 0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T Y W 1 w b G l u Z y Z x d W 9 0 O 1 0 i I C 8 + P E V u d H J 5 I F R 5 c G U 9 I k Z p b G x D b 2 x 1 b W 5 U e X B l c y I g V m F s d W U 9 I n N B Q U F B Q U F B Q U F B Q U F B Q U F B I i A v P j x F b n R y e S B U e X B l P S J G a W x s T G F z d F V w Z G F 0 Z W Q i I F Z h b H V l P S J k M j A y N C 0 x M S 0 w N V Q x M j o 1 M z o y M S 4 y N T M 4 N j U z W i I g L z 4 8 R W 5 0 c n k g V H l w Z T 0 i U X V l c n l J R C I g V m F s d W U 9 I n N i Z T J j N W Z i Y y 0 z N j E x L T Q 0 N D k t O D h j N S 0 w N G I 4 M G N l N W N j M G I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1 w b G V f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W 1 w b G V f Q V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F 1 Z X J 5 S U Q i I F Z h b H V l P S J z M j A 5 N z Q 0 N D M t Y j Z l Y i 0 0 Z j A 4 L T k 0 M 2 M t M D U 0 O T R m Y j B l Y m I 2 I i A v P j x F b n R y e S B U e X B l P S J G a W x s T G F z d F V w Z G F 0 Z W Q i I F Z h b H V l P S J k M j A y N C 0 x M S 0 w N V Q x M j o 1 M z o y M S 4 y M j U 4 N j k y W i I g L z 4 8 R W 5 0 c n k g V H l w Z T 0 i R m l s b E V y c m 9 y Q 2 9 k Z S I g V m F s d W U 9 I n N V b m t u b 3 d u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U e X B l I C s g V E N v Z G U g K y B D b y A r I E R v Y y B O J n F 1 b 3 Q 7 L C Z x d W 9 0 O 0 N v Q 2 Q m c X V v d D s s J n F 1 b 3 Q 7 T W F u Y W d l c i Z x d W 9 0 O y w m c X V v d D t V c 2 V y J n F 1 b 3 Q 7 L C Z x d W 9 0 O 1 R D b 2 R l J n F 1 b 3 Q 7 L C Z x d W 9 0 O 1 R l e H Q m c X V v d D s s J n F 1 b 3 Q 7 V H l w Z S Z x d W 9 0 O y w m c X V v d D t E b 2 N 1 b W V u d E 5 v J n F 1 b 3 Q 7 L C Z x d W 9 0 O 0 V m Z m V j d C B k Y X R l J n F 1 b 3 Q 7 L C Z x d W 9 0 O 0 R v Y y 5 I Z W F k Z X I g V G V 4 d C Z x d W 9 0 O y w m c X V v d D t U b 3 R h b C B E Z W I u L 0 N y Z W Q u J n F 1 b 3 Q 7 L C Z x d W 9 0 O 1 N h b X B s a W 5 n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C 9 B d X R v U m V t b 3 Z l Z E N v b H V t b n M x L n t U e X B l I C s g V E N v Z G U g K y B D b y A r I E R v Y y B O L D B 9 J n F 1 b 3 Q 7 L C Z x d W 9 0 O 1 N l Y 3 R p b 2 4 x L 1 N h b X B s Z V 9 B U C 9 B d X R v U m V t b 3 Z l Z E N v b H V t b n M x L n t D b 0 N k L D F 9 J n F 1 b 3 Q 7 L C Z x d W 9 0 O 1 N l Y 3 R p b 2 4 x L 1 N h b X B s Z V 9 B U C 9 B d X R v U m V t b 3 Z l Z E N v b H V t b n M x L n t N Y W 5 h Z 2 V y L D J 9 J n F 1 b 3 Q 7 L C Z x d W 9 0 O 1 N l Y 3 R p b 2 4 x L 1 N h b X B s Z V 9 B U C 9 B d X R v U m V t b 3 Z l Z E N v b H V t b n M x L n t V c 2 V y L D N 9 J n F 1 b 3 Q 7 L C Z x d W 9 0 O 1 N l Y 3 R p b 2 4 x L 1 N h b X B s Z V 9 B U C 9 B d X R v U m V t b 3 Z l Z E N v b H V t b n M x L n t U Q 2 9 k Z S w 0 f S Z x d W 9 0 O y w m c X V v d D t T Z W N 0 a W 9 u M S 9 T Y W 1 w b G V f Q V A v Q X V 0 b 1 J l b W 9 2 Z W R D b 2 x 1 b W 5 z M S 5 7 V G V 4 d C w 1 f S Z x d W 9 0 O y w m c X V v d D t T Z W N 0 a W 9 u M S 9 T Y W 1 w b G V f Q V A v Q X V 0 b 1 J l b W 9 2 Z W R D b 2 x 1 b W 5 z M S 5 7 V H l w Z S w 2 f S Z x d W 9 0 O y w m c X V v d D t T Z W N 0 a W 9 u M S 9 T Y W 1 w b G V f Q V A v Q X V 0 b 1 J l b W 9 2 Z W R D b 2 x 1 b W 5 z M S 5 7 R G 9 j d W 1 l b n R O b y w 3 f S Z x d W 9 0 O y w m c X V v d D t T Z W N 0 a W 9 u M S 9 T Y W 1 w b G V f Q V A v Q X V 0 b 1 J l b W 9 2 Z W R D b 2 x 1 b W 5 z M S 5 7 R W Z m Z W N 0 I G R h d G U s O H 0 m c X V v d D s s J n F 1 b 3 Q 7 U 2 V j d G l v b j E v U 2 F t c G x l X 0 F Q L 0 F 1 d G 9 S Z W 1 v d m V k Q 2 9 s d W 1 u c z E u e 0 R v Y y 5 I Z W F k Z X I g V G V 4 d C w 5 f S Z x d W 9 0 O y w m c X V v d D t T Z W N 0 a W 9 u M S 9 T Y W 1 w b G V f Q V A v Q X V 0 b 1 J l b W 9 2 Z W R D b 2 x 1 b W 5 z M S 5 7 V G 9 0 Y W w g R G V i L i 9 D c m V k L i w x M H 0 m c X V v d D s s J n F 1 b 3 Q 7 U 2 V j d G l v b j E v U 2 F t c G x l X 0 F Q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Q L 0 F 1 d G 9 S Z W 1 v d m V k Q 2 9 s d W 1 u c z E u e 1 R 5 c G U g K y B U Q 2 9 k Z S A r I E N v I C s g R G 9 j I E 4 s M H 0 m c X V v d D s s J n F 1 b 3 Q 7 U 2 V j d G l v b j E v U 2 F t c G x l X 0 F Q L 0 F 1 d G 9 S Z W 1 v d m V k Q 2 9 s d W 1 u c z E u e 0 N v Q 2 Q s M X 0 m c X V v d D s s J n F 1 b 3 Q 7 U 2 V j d G l v b j E v U 2 F t c G x l X 0 F Q L 0 F 1 d G 9 S Z W 1 v d m V k Q 2 9 s d W 1 u c z E u e 0 1 h b m F n Z X I s M n 0 m c X V v d D s s J n F 1 b 3 Q 7 U 2 V j d G l v b j E v U 2 F t c G x l X 0 F Q L 0 F 1 d G 9 S Z W 1 v d m V k Q 2 9 s d W 1 u c z E u e 1 V z Z X I s M 3 0 m c X V v d D s s J n F 1 b 3 Q 7 U 2 V j d G l v b j E v U 2 F t c G x l X 0 F Q L 0 F 1 d G 9 S Z W 1 v d m V k Q 2 9 s d W 1 u c z E u e 1 R D b 2 R l L D R 9 J n F 1 b 3 Q 7 L C Z x d W 9 0 O 1 N l Y 3 R p b 2 4 x L 1 N h b X B s Z V 9 B U C 9 B d X R v U m V t b 3 Z l Z E N v b H V t b n M x L n t U Z X h 0 L D V 9 J n F 1 b 3 Q 7 L C Z x d W 9 0 O 1 N l Y 3 R p b 2 4 x L 1 N h b X B s Z V 9 B U C 9 B d X R v U m V t b 3 Z l Z E N v b H V t b n M x L n t U e X B l L D Z 9 J n F 1 b 3 Q 7 L C Z x d W 9 0 O 1 N l Y 3 R p b 2 4 x L 1 N h b X B s Z V 9 B U C 9 B d X R v U m V t b 3 Z l Z E N v b H V t b n M x L n t E b 2 N 1 b W V u d E 5 v L D d 9 J n F 1 b 3 Q 7 L C Z x d W 9 0 O 1 N l Y 3 R p b 2 4 x L 1 N h b X B s Z V 9 B U C 9 B d X R v U m V t b 3 Z l Z E N v b H V t b n M x L n t F Z m Z l Y 3 Q g Z G F 0 Z S w 4 f S Z x d W 9 0 O y w m c X V v d D t T Z W N 0 a W 9 u M S 9 T Y W 1 w b G V f Q V A v Q X V 0 b 1 J l b W 9 2 Z W R D b 2 x 1 b W 5 z M S 5 7 R G 9 j L k h l Y W R l c i B U Z X h 0 L D l 9 J n F 1 b 3 Q 7 L C Z x d W 9 0 O 1 N l Y 3 R p b 2 4 x L 1 N h b X B s Z V 9 B U C 9 B d X R v U m V t b 3 Z l Z E N v b H V t b n M x L n t U b 3 R h b C B E Z W I u L 0 N y Z W Q u L D E w f S Z x d W 9 0 O y w m c X V v d D t T Z W N 0 a W 9 u M S 9 T Y W 1 w b G V f Q V A v Q X V 0 b 1 J l b W 9 2 Z W R D b 2 x 1 b W 5 z M S 5 7 U 2 F t c G x p b m c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1 w b G V f Q V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Q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U l 9 U b 1 9 B b m F s e X p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X V l c n l J R C I g V m F s d W U 9 I n N m Z m Y x O W E 0 Y i 0 3 N T k 2 L T R h Z T g t O D h j Y i 0 4 N z E 2 Z m M 1 M 2 R k O D g i I C 8 + P E V u d H J 5 I F R 5 c G U 9 I k Z p b G x D b 3 V u d C I g V m F s d W U 9 I m w 2 I i A v P j x F b n R y e S B U e X B l P S J G a W x s T G F z d F V w Z G F 0 Z W Q i I F Z h b H V l P S J k M j A y N C 0 x M S 0 w N V Q x M j o 1 M z o x O C 4 5 N j g 0 N z I 4 W i I g L z 4 8 R W 5 0 c n k g V H l w Z T 0 i Q W R k Z W R U b 0 R h d G F N b 2 R l b C I g V m F s d W U 9 I m w w I i A v P j x F b n R y e S B U e X B l P S J G a W x s Q 2 9 s d W 1 u V H l w Z X M i I F Z h b H V l P S J z Q U F B Q U F B Q U F B Q U F S Q U F B Q U F B Q U F B Q U F B Q U F B Q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U l 9 U b y U y M E F u Y W x 5 e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Q X 1 R v X 0 F u Y W x 5 e m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R d W V y e U l E I i B W Y W x 1 Z T 0 i c z I 5 N T J j N T Z l L T g 5 Y T E t N D F i Y y 1 h M z I 3 L W R i N m I x M z N i Z D R h N i I g L z 4 8 R W 5 0 c n k g V H l w Z T 0 i R m l s b E N v d W 5 0 I i B W Y W x 1 Z T 0 i b D A i I C 8 + P E V u d H J 5 I F R 5 c G U 9 I k Z p b G x M Y X N 0 V X B k Y X R l Z C I g V m F s d W U 9 I m Q y M D I 0 L T E x L T A 1 V D E y O j U z O j I x L j M y M j g 2 N z d a I i A v P j x F b n R y e S B U e X B l P S J B Z G R l Z F R v R G F 0 Y U 1 v Z G V s I i B W Y W x 1 Z T 0 i b D A i I C 8 + P E V u d H J 5 I F R 5 c G U 9 I k Z p b G x D b 2 x 1 b W 5 U e X B l c y I g V m F s d W U 9 I n N B Q U F B Q U F B Q U F B Q V J B Q U F B Q U F B Q U F B Q U F B Q U F B I i A v P j x F b n R y e S B U e X B l P S J G a W x s Q 2 9 s d W 1 u T m F t Z X M i I F Z h b H V l P S J z W y Z x d W 9 0 O 0 N v Q 2 Q m c X V v d D s s J n F 1 b 3 Q 7 T W F u Y W d l c i Z x d W 9 0 O y w m c X V v d D t V c 2 V y J n F 1 b 3 Q 7 L C Z x d W 9 0 O 1 R D b 2 R l J n F 1 b 3 Q 7 L C Z x d W 9 0 O 1 R 5 c G U m c X V v d D s s J n F 1 b 3 Q 7 R G 9 j d W 1 l b n R O b y Z x d W 9 0 O y w m c X V v d D t F Z m Z l Y 3 Q g Z G F 0 Z S Z x d W 9 0 O y w m c X V v d D t E b 2 M u S G V h Z G V y I F R l e H Q m c X V v d D s s J n F 1 b 3 Q 7 V G 9 0 Y W w g R G V i L i 9 D c m V k L i Z x d W 9 0 O y w m c X V v d D t H L 0 w g Q W N j b 3 V u d C Z x d W 9 0 O y w m c X V v d D t H L 0 w g Q W N j b 3 V u d C B E Z X N j c i 4 m c X V v d D s s J n F 1 b 3 Q 7 U 3 V w c C 9 D d X N 0 J n F 1 b 3 Q 7 L C Z x d W 9 0 O 0 R l c 2 M u U y 9 D J n F 1 b 3 Q 7 L C Z x d W 9 0 O 0 N v c 3 Q g Q 3 R y J n F 1 b 3 Q 7 L C Z x d W 9 0 O 0 N v c 3 Q g Q 3 R y I E R l c 2 M u J n F 1 b 3 Q 7 L C Z x d W 9 0 O 1 B y b 2 Z p d C B D d H I m c X V v d D s s J n F 1 b 3 Q 7 U H J v Z m l 0 I E N 0 c i B E Z X N j J n F 1 b 3 Q 7 L C Z x d W 9 0 O 0 9 y Z G V y J n F 1 b 3 Q 7 L C Z x d W 9 0 O 0 9 y Z G V y I E R l c 2 M u J n F 1 b 3 Q 7 L C Z x d W 9 0 O y A g I E R l Y m l 0 I G F t b 3 V u d C Z x d W 9 0 O y w m c X V v d D s g I E N y Z W R p d C B h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B f V G 8 g Q W 5 h b H l 6 Z S 9 B d X R v U m V t b 3 Z l Z E N v b H V t b n M x L n t D b 0 N k L D B 9 J n F 1 b 3 Q 7 L C Z x d W 9 0 O 1 N l Y 3 R p b 2 4 x L 0 F Q X 1 R v I E F u Y W x 5 e m U v Q X V 0 b 1 J l b W 9 2 Z W R D b 2 x 1 b W 5 z M S 5 7 T W F u Y W d l c i w x f S Z x d W 9 0 O y w m c X V v d D t T Z W N 0 a W 9 u M S 9 B U F 9 U b y B B b m F s e X p l L 0 F 1 d G 9 S Z W 1 v d m V k Q 2 9 s d W 1 u c z E u e 1 V z Z X I s M n 0 m c X V v d D s s J n F 1 b 3 Q 7 U 2 V j d G l v b j E v Q V B f V G 8 g Q W 5 h b H l 6 Z S 9 B d X R v U m V t b 3 Z l Z E N v b H V t b n M x L n t U Q 2 9 k Z S w z f S Z x d W 9 0 O y w m c X V v d D t T Z W N 0 a W 9 u M S 9 B U F 9 U b y B B b m F s e X p l L 0 F 1 d G 9 S Z W 1 v d m V k Q 2 9 s d W 1 u c z E u e 1 R 5 c G U s N H 0 m c X V v d D s s J n F 1 b 3 Q 7 U 2 V j d G l v b j E v Q V B f V G 8 g Q W 5 h b H l 6 Z S 9 B d X R v U m V t b 3 Z l Z E N v b H V t b n M x L n t E b 2 N 1 b W V u d E 5 v L D V 9 J n F 1 b 3 Q 7 L C Z x d W 9 0 O 1 N l Y 3 R p b 2 4 x L 0 F Q X 1 R v I E F u Y W x 5 e m U v Q X V 0 b 1 J l b W 9 2 Z W R D b 2 x 1 b W 5 z M S 5 7 R W Z m Z W N 0 I G R h d G U s N n 0 m c X V v d D s s J n F 1 b 3 Q 7 U 2 V j d G l v b j E v Q V B f V G 8 g Q W 5 h b H l 6 Z S 9 B d X R v U m V t b 3 Z l Z E N v b H V t b n M x L n t E b 2 M u S G V h Z G V y I F R l e H Q s N 3 0 m c X V v d D s s J n F 1 b 3 Q 7 U 2 V j d G l v b j E v Q V B f V G 8 g Q W 5 h b H l 6 Z S 9 B d X R v U m V t b 3 Z l Z E N v b H V t b n M x L n t U b 3 R h b C B E Z W I u L 0 N y Z W Q u L D h 9 J n F 1 b 3 Q 7 L C Z x d W 9 0 O 1 N l Y 3 R p b 2 4 x L 0 F Q X 1 R v I E F u Y W x 5 e m U v Q X V 0 b 1 J l b W 9 2 Z W R D b 2 x 1 b W 5 z M S 5 7 R y 9 M I E F j Y 2 9 1 b n Q s O X 0 m c X V v d D s s J n F 1 b 3 Q 7 U 2 V j d G l v b j E v Q V B f V G 8 g Q W 5 h b H l 6 Z S 9 B d X R v U m V t b 3 Z l Z E N v b H V t b n M x L n t H L 0 w g Q W N j b 3 V u d C B E Z X N j c i 4 s M T B 9 J n F 1 b 3 Q 7 L C Z x d W 9 0 O 1 N l Y 3 R p b 2 4 x L 0 F Q X 1 R v I E F u Y W x 5 e m U v Q X V 0 b 1 J l b W 9 2 Z W R D b 2 x 1 b W 5 z M S 5 7 U 3 V w c C 9 D d X N 0 L D E x f S Z x d W 9 0 O y w m c X V v d D t T Z W N 0 a W 9 u M S 9 B U F 9 U b y B B b m F s e X p l L 0 F 1 d G 9 S Z W 1 v d m V k Q 2 9 s d W 1 u c z E u e 0 R l c 2 M u U y 9 D L D E y f S Z x d W 9 0 O y w m c X V v d D t T Z W N 0 a W 9 u M S 9 B U F 9 U b y B B b m F s e X p l L 0 F 1 d G 9 S Z W 1 v d m V k Q 2 9 s d W 1 u c z E u e 0 N v c 3 Q g Q 3 R y L D E z f S Z x d W 9 0 O y w m c X V v d D t T Z W N 0 a W 9 u M S 9 B U F 9 U b y B B b m F s e X p l L 0 F 1 d G 9 S Z W 1 v d m V k Q 2 9 s d W 1 u c z E u e 0 N v c 3 Q g Q 3 R y I E R l c 2 M u L D E 0 f S Z x d W 9 0 O y w m c X V v d D t T Z W N 0 a W 9 u M S 9 B U F 9 U b y B B b m F s e X p l L 0 F 1 d G 9 S Z W 1 v d m V k Q 2 9 s d W 1 u c z E u e 1 B y b 2 Z p d C B D d H I s M T V 9 J n F 1 b 3 Q 7 L C Z x d W 9 0 O 1 N l Y 3 R p b 2 4 x L 0 F Q X 1 R v I E F u Y W x 5 e m U v Q X V 0 b 1 J l b W 9 2 Z W R D b 2 x 1 b W 5 z M S 5 7 U H J v Z m l 0 I E N 0 c i B E Z X N j L D E 2 f S Z x d W 9 0 O y w m c X V v d D t T Z W N 0 a W 9 u M S 9 B U F 9 U b y B B b m F s e X p l L 0 F 1 d G 9 S Z W 1 v d m V k Q 2 9 s d W 1 u c z E u e 0 9 y Z G V y L D E 3 f S Z x d W 9 0 O y w m c X V v d D t T Z W N 0 a W 9 u M S 9 B U F 9 U b y B B b m F s e X p l L 0 F 1 d G 9 S Z W 1 v d m V k Q 2 9 s d W 1 u c z E u e 0 9 y Z G V y I E R l c 2 M u L D E 4 f S Z x d W 9 0 O y w m c X V v d D t T Z W N 0 a W 9 u M S 9 B U F 9 U b y B B b m F s e X p l L 0 F 1 d G 9 S Z W 1 v d m V k Q 2 9 s d W 1 u c z E u e y A g I E R l Y m l 0 I G F t b 3 V u d C w x O X 0 m c X V v d D s s J n F 1 b 3 Q 7 U 2 V j d G l v b j E v Q V B f V G 8 g Q W 5 h b H l 6 Z S 9 B d X R v U m V t b 3 Z l Z E N v b H V t b n M x L n s g I E N y Z W R p d C B h b W 9 1 b n Q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U F 9 U b y B B b m F s e X p l L 0 F 1 d G 9 S Z W 1 v d m V k Q 2 9 s d W 1 u c z E u e 0 N v Q 2 Q s M H 0 m c X V v d D s s J n F 1 b 3 Q 7 U 2 V j d G l v b j E v Q V B f V G 8 g Q W 5 h b H l 6 Z S 9 B d X R v U m V t b 3 Z l Z E N v b H V t b n M x L n t N Y W 5 h Z 2 V y L D F 9 J n F 1 b 3 Q 7 L C Z x d W 9 0 O 1 N l Y 3 R p b 2 4 x L 0 F Q X 1 R v I E F u Y W x 5 e m U v Q X V 0 b 1 J l b W 9 2 Z W R D b 2 x 1 b W 5 z M S 5 7 V X N l c i w y f S Z x d W 9 0 O y w m c X V v d D t T Z W N 0 a W 9 u M S 9 B U F 9 U b y B B b m F s e X p l L 0 F 1 d G 9 S Z W 1 v d m V k Q 2 9 s d W 1 u c z E u e 1 R D b 2 R l L D N 9 J n F 1 b 3 Q 7 L C Z x d W 9 0 O 1 N l Y 3 R p b 2 4 x L 0 F Q X 1 R v I E F u Y W x 5 e m U v Q X V 0 b 1 J l b W 9 2 Z W R D b 2 x 1 b W 5 z M S 5 7 V H l w Z S w 0 f S Z x d W 9 0 O y w m c X V v d D t T Z W N 0 a W 9 u M S 9 B U F 9 U b y B B b m F s e X p l L 0 F 1 d G 9 S Z W 1 v d m V k Q 2 9 s d W 1 u c z E u e 0 R v Y 3 V t Z W 5 0 T m 8 s N X 0 m c X V v d D s s J n F 1 b 3 Q 7 U 2 V j d G l v b j E v Q V B f V G 8 g Q W 5 h b H l 6 Z S 9 B d X R v U m V t b 3 Z l Z E N v b H V t b n M x L n t F Z m Z l Y 3 Q g Z G F 0 Z S w 2 f S Z x d W 9 0 O y w m c X V v d D t T Z W N 0 a W 9 u M S 9 B U F 9 U b y B B b m F s e X p l L 0 F 1 d G 9 S Z W 1 v d m V k Q 2 9 s d W 1 u c z E u e 0 R v Y y 5 I Z W F k Z X I g V G V 4 d C w 3 f S Z x d W 9 0 O y w m c X V v d D t T Z W N 0 a W 9 u M S 9 B U F 9 U b y B B b m F s e X p l L 0 F 1 d G 9 S Z W 1 v d m V k Q 2 9 s d W 1 u c z E u e 1 R v d G F s I E R l Y i 4 v Q 3 J l Z C 4 s O H 0 m c X V v d D s s J n F 1 b 3 Q 7 U 2 V j d G l v b j E v Q V B f V G 8 g Q W 5 h b H l 6 Z S 9 B d X R v U m V t b 3 Z l Z E N v b H V t b n M x L n t H L 0 w g Q W N j b 3 V u d C w 5 f S Z x d W 9 0 O y w m c X V v d D t T Z W N 0 a W 9 u M S 9 B U F 9 U b y B B b m F s e X p l L 0 F 1 d G 9 S Z W 1 v d m V k Q 2 9 s d W 1 u c z E u e 0 c v T C B B Y 2 N v d W 5 0 I E R l c 2 N y L i w x M H 0 m c X V v d D s s J n F 1 b 3 Q 7 U 2 V j d G l v b j E v Q V B f V G 8 g Q W 5 h b H l 6 Z S 9 B d X R v U m V t b 3 Z l Z E N v b H V t b n M x L n t T d X B w L 0 N 1 c 3 Q s M T F 9 J n F 1 b 3 Q 7 L C Z x d W 9 0 O 1 N l Y 3 R p b 2 4 x L 0 F Q X 1 R v I E F u Y W x 5 e m U v Q X V 0 b 1 J l b W 9 2 Z W R D b 2 x 1 b W 5 z M S 5 7 R G V z Y y 5 T L 0 M s M T J 9 J n F 1 b 3 Q 7 L C Z x d W 9 0 O 1 N l Y 3 R p b 2 4 x L 0 F Q X 1 R v I E F u Y W x 5 e m U v Q X V 0 b 1 J l b W 9 2 Z W R D b 2 x 1 b W 5 z M S 5 7 Q 2 9 z d C B D d H I s M T N 9 J n F 1 b 3 Q 7 L C Z x d W 9 0 O 1 N l Y 3 R p b 2 4 x L 0 F Q X 1 R v I E F u Y W x 5 e m U v Q X V 0 b 1 J l b W 9 2 Z W R D b 2 x 1 b W 5 z M S 5 7 Q 2 9 z d C B D d H I g R G V z Y y 4 s M T R 9 J n F 1 b 3 Q 7 L C Z x d W 9 0 O 1 N l Y 3 R p b 2 4 x L 0 F Q X 1 R v I E F u Y W x 5 e m U v Q X V 0 b 1 J l b W 9 2 Z W R D b 2 x 1 b W 5 z M S 5 7 U H J v Z m l 0 I E N 0 c i w x N X 0 m c X V v d D s s J n F 1 b 3 Q 7 U 2 V j d G l v b j E v Q V B f V G 8 g Q W 5 h b H l 6 Z S 9 B d X R v U m V t b 3 Z l Z E N v b H V t b n M x L n t Q c m 9 m a X Q g Q 3 R y I E R l c 2 M s M T Z 9 J n F 1 b 3 Q 7 L C Z x d W 9 0 O 1 N l Y 3 R p b 2 4 x L 0 F Q X 1 R v I E F u Y W x 5 e m U v Q X V 0 b 1 J l b W 9 2 Z W R D b 2 x 1 b W 5 z M S 5 7 T 3 J k Z X I s M T d 9 J n F 1 b 3 Q 7 L C Z x d W 9 0 O 1 N l Y 3 R p b 2 4 x L 0 F Q X 1 R v I E F u Y W x 5 e m U v Q X V 0 b 1 J l b W 9 2 Z W R D b 2 x 1 b W 5 z M S 5 7 T 3 J k Z X I g R G V z Y y 4 s M T h 9 J n F 1 b 3 Q 7 L C Z x d W 9 0 O 1 N l Y 3 R p b 2 4 x L 0 F Q X 1 R v I E F u Y W x 5 e m U v Q X V 0 b 1 J l b W 9 2 Z W R D b 2 x 1 b W 5 z M S 5 7 I C A g R G V i a X Q g Y W 1 v d W 5 0 L D E 5 f S Z x d W 9 0 O y w m c X V v d D t T Z W N 0 a W 9 u M S 9 B U F 9 U b y B B b m F s e X p l L 0 F 1 d G 9 S Z W 1 v d m V k Q 2 9 s d W 1 u c z E u e y A g Q 3 J l Z G l 0 I G F t b 3 V u d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Q X 1 R v J T I w Q W 5 h b H l 6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F 9 U b y U y M E F u Y W x 5 e m U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s + 6 l h F q Q c T 7 1 v b A t / H c s o A A A A A A I A A A A A A A N m A A D A A A A A E A A A A P V c r 9 1 I I p I 9 i q y 3 Z E + 6 7 d k A A A A A B I A A A K A A A A A Q A A A A / B H D p 5 0 E h P x i d 0 j M 9 C u P S l A A A A B 1 O B N v s O y / B + H l p Z W Z D u K H y 8 a 1 x p w l Y V t G 7 h o B j A v x l Q L 4 w 6 x X 4 G Y v 5 e 1 e L R z 4 P s G f v a B r r Q T u Z O s N D T F I B P Y A 3 B b r e y B 8 k C V a B G Y I 9 s E G b B Q A A A A Y q 9 Y N / W I s Q K D 2 G O q V 0 O O S G + U G X Q = = < / D a t a M a s h u p > 
</file>

<file path=customXml/itemProps1.xml><?xml version="1.0" encoding="utf-8"?>
<ds:datastoreItem xmlns:ds="http://schemas.openxmlformats.org/officeDocument/2006/customXml" ds:itemID="{AA9B4740-5419-495B-ABEE-FF666458B6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ZEUFI037</vt:lpstr>
      <vt:lpstr>GL Analysis</vt:lpstr>
      <vt:lpstr>Clearings</vt:lpstr>
      <vt:lpstr>To_Analyze</vt:lpstr>
      <vt:lpstr>Under_Control</vt:lpstr>
      <vt:lpstr>AR</vt:lpstr>
      <vt:lpstr>AP</vt:lpstr>
      <vt:lpstr>Summary</vt:lpstr>
      <vt:lpstr>AR_To Analyze</vt:lpstr>
      <vt:lpstr>AP_To Analyze</vt:lpstr>
      <vt:lpstr>Sample_AR</vt:lpstr>
      <vt:lpstr>Sample_AP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Subirana Santos</dc:creator>
  <cp:lastModifiedBy>S_RPA_CORP</cp:lastModifiedBy>
  <dcterms:created xsi:type="dcterms:W3CDTF">2022-07-19T09:20:13Z</dcterms:created>
  <dcterms:modified xsi:type="dcterms:W3CDTF">2024-11-05T12:53:21Z</dcterms:modified>
</cp:coreProperties>
</file>