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drawings/drawing1.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showInkAnnotation="0" autoCompressPictures="0" defaultThemeVersion="124226"/>
  <mc:AlternateContent xmlns:mc="http://schemas.openxmlformats.org/markup-compatibility/2006">
    <mc:Choice Requires="x15">
      <x15ac:absPath xmlns:x15ac="http://schemas.microsoft.com/office/spreadsheetml/2010/11/ac" url="/Users/gchure/Dropbox/git/human_impacts/data/flora_fauna/eshel2014_livestock_resource_requirements/source/"/>
    </mc:Choice>
  </mc:AlternateContent>
  <xr:revisionPtr revIDLastSave="0" documentId="8_{A689677F-2607-234C-8E59-8DE406041980}" xr6:coauthVersionLast="45" xr6:coauthVersionMax="45" xr10:uidLastSave="{00000000-0000-0000-0000-000000000000}"/>
  <bookViews>
    <workbookView xWindow="3500" yWindow="4540" windowWidth="43100" windowHeight="23620" tabRatio="874" firstSheet="2" activeTab="2" xr2:uid="{00000000-000D-0000-FFFF-FFFF00000000}"/>
  </bookViews>
  <sheets>
    <sheet name="Table of Content" sheetId="30" r:id="rId1"/>
    <sheet name="Animal Partitioning" sheetId="31" r:id="rId2"/>
    <sheet name="PartitioningPerCal" sheetId="22" r:id="rId3"/>
    <sheet name="PartitioningPerProtein" sheetId="29" r:id="rId4"/>
    <sheet name="PartitioningResources" sheetId="23" r:id="rId5"/>
    <sheet name="ResourceFeedMain" sheetId="12" r:id="rId6"/>
    <sheet name="GHG Animals" sheetId="27" r:id="rId7"/>
    <sheet name="USA Cal-Protein Intake" sheetId="24" r:id="rId8"/>
    <sheet name="FeedNutrientComposition" sheetId="21" r:id="rId9"/>
    <sheet name="ConcentratsNr" sheetId="10" r:id="rId10"/>
    <sheet name="water" sheetId="17" r:id="rId11"/>
    <sheet name="crop yields" sheetId="2" r:id="rId12"/>
    <sheet name="wheat" sheetId="7" r:id="rId13"/>
    <sheet name="corn" sheetId="13" r:id="rId14"/>
    <sheet name="oats" sheetId="14" r:id="rId15"/>
    <sheet name="barley" sheetId="15" r:id="rId16"/>
    <sheet name="sorghum" sheetId="16" r:id="rId17"/>
    <sheet name="soy" sheetId="8" r:id="rId18"/>
    <sheet name="soy table2" sheetId="9" r:id="rId19"/>
    <sheet name="ProcessedRoughage" sheetId="18" r:id="rId20"/>
    <sheet name="Pasture" sheetId="19" r:id="rId21"/>
    <sheet name="comments" sheetId="25" r:id="rId2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8" i="27" l="1"/>
  <c r="C15" i="27"/>
  <c r="C17" i="27"/>
  <c r="C16" i="27"/>
  <c r="C19" i="27"/>
  <c r="C20" i="27"/>
  <c r="C21" i="27"/>
  <c r="E63" i="27"/>
  <c r="H14" i="22"/>
  <c r="F10" i="24"/>
  <c r="F11" i="24"/>
  <c r="F12" i="24"/>
  <c r="F13" i="24"/>
  <c r="F14" i="24"/>
  <c r="F15" i="24"/>
  <c r="F16" i="24"/>
  <c r="F17" i="24"/>
  <c r="F18" i="24"/>
  <c r="F19" i="24"/>
  <c r="F20" i="24"/>
  <c r="F21" i="24"/>
  <c r="F22" i="24"/>
  <c r="F25" i="24"/>
  <c r="H20" i="22"/>
  <c r="C26" i="27"/>
  <c r="C24" i="27"/>
  <c r="C25" i="27"/>
  <c r="C27" i="27"/>
  <c r="C28" i="27"/>
  <c r="E64" i="27"/>
  <c r="H15" i="22"/>
  <c r="H10" i="24"/>
  <c r="H11" i="24"/>
  <c r="H12" i="24"/>
  <c r="H13" i="24"/>
  <c r="H14" i="24"/>
  <c r="H15" i="24"/>
  <c r="H16" i="24"/>
  <c r="H17" i="24"/>
  <c r="H18" i="24"/>
  <c r="H19" i="24"/>
  <c r="H20" i="24"/>
  <c r="H21" i="24"/>
  <c r="H22" i="24"/>
  <c r="H25" i="24"/>
  <c r="H21" i="22"/>
  <c r="C32" i="27"/>
  <c r="C31" i="27"/>
  <c r="C33" i="27"/>
  <c r="C34" i="27"/>
  <c r="C35" i="27"/>
  <c r="E65" i="27"/>
  <c r="H16" i="22"/>
  <c r="J10" i="24"/>
  <c r="J11" i="24"/>
  <c r="J12" i="24"/>
  <c r="J13" i="24"/>
  <c r="J14" i="24"/>
  <c r="J15" i="24"/>
  <c r="J16" i="24"/>
  <c r="J17" i="24"/>
  <c r="J18" i="24"/>
  <c r="J19" i="24"/>
  <c r="J20" i="24"/>
  <c r="J21" i="24"/>
  <c r="J22" i="24"/>
  <c r="J25" i="24"/>
  <c r="H22" i="22"/>
  <c r="C38" i="27"/>
  <c r="C41" i="27"/>
  <c r="E66" i="27"/>
  <c r="H17" i="22"/>
  <c r="L10" i="24"/>
  <c r="L11" i="24"/>
  <c r="L12" i="24"/>
  <c r="L13" i="24"/>
  <c r="L14" i="24"/>
  <c r="L15" i="24"/>
  <c r="L16" i="24"/>
  <c r="L17" i="24"/>
  <c r="L18" i="24"/>
  <c r="L19" i="24"/>
  <c r="L20" i="24"/>
  <c r="L21" i="24"/>
  <c r="L22" i="24"/>
  <c r="L25" i="24"/>
  <c r="H23" i="22"/>
  <c r="C47" i="27"/>
  <c r="C44" i="27"/>
  <c r="C45" i="27"/>
  <c r="C48" i="27"/>
  <c r="E67" i="27"/>
  <c r="H18" i="22"/>
  <c r="N10" i="24"/>
  <c r="N11" i="24"/>
  <c r="N12" i="24"/>
  <c r="N13" i="24"/>
  <c r="N14" i="24"/>
  <c r="N15" i="24"/>
  <c r="N16" i="24"/>
  <c r="N17" i="24"/>
  <c r="N18" i="24"/>
  <c r="N19" i="24"/>
  <c r="N20" i="24"/>
  <c r="N21" i="24"/>
  <c r="N22" i="24"/>
  <c r="N25" i="24"/>
  <c r="H24" i="22"/>
  <c r="H25" i="22"/>
  <c r="B34" i="25"/>
  <c r="C34" i="25"/>
  <c r="C16" i="19"/>
  <c r="D16" i="19"/>
  <c r="E16" i="19"/>
  <c r="F16" i="19"/>
  <c r="AA12" i="12"/>
  <c r="C15" i="18"/>
  <c r="W7" i="12"/>
  <c r="D5" i="18"/>
  <c r="E5" i="18"/>
  <c r="D10" i="18"/>
  <c r="E10" i="18"/>
  <c r="E15" i="18"/>
  <c r="W11" i="12"/>
  <c r="W12" i="12"/>
  <c r="N35" i="2"/>
  <c r="U7" i="12"/>
  <c r="G23" i="2"/>
  <c r="L23" i="2"/>
  <c r="O23" i="2"/>
  <c r="G24" i="2"/>
  <c r="L24" i="2"/>
  <c r="O24" i="2"/>
  <c r="G25" i="2"/>
  <c r="L25" i="2"/>
  <c r="O25" i="2"/>
  <c r="G26" i="2"/>
  <c r="L26" i="2"/>
  <c r="O26" i="2"/>
  <c r="G27" i="2"/>
  <c r="L27" i="2"/>
  <c r="O27" i="2"/>
  <c r="G28" i="2"/>
  <c r="L28" i="2"/>
  <c r="O28" i="2"/>
  <c r="G29" i="2"/>
  <c r="L29" i="2"/>
  <c r="O29" i="2"/>
  <c r="G30" i="2"/>
  <c r="L30" i="2"/>
  <c r="O30" i="2"/>
  <c r="G31" i="2"/>
  <c r="L31" i="2"/>
  <c r="O31" i="2"/>
  <c r="G32" i="2"/>
  <c r="L32" i="2"/>
  <c r="O32" i="2"/>
  <c r="O35" i="2"/>
  <c r="U11" i="12"/>
  <c r="U12" i="12"/>
  <c r="N20" i="2"/>
  <c r="S7" i="12"/>
  <c r="G8" i="2"/>
  <c r="L8" i="2"/>
  <c r="O8" i="2"/>
  <c r="G9" i="2"/>
  <c r="L9" i="2"/>
  <c r="O9" i="2"/>
  <c r="G10" i="2"/>
  <c r="L10" i="2"/>
  <c r="O10" i="2"/>
  <c r="G11" i="2"/>
  <c r="L11" i="2"/>
  <c r="O11" i="2"/>
  <c r="G12" i="2"/>
  <c r="L12" i="2"/>
  <c r="O12" i="2"/>
  <c r="G13" i="2"/>
  <c r="L13" i="2"/>
  <c r="O13" i="2"/>
  <c r="G14" i="2"/>
  <c r="L14" i="2"/>
  <c r="O14" i="2"/>
  <c r="G15" i="2"/>
  <c r="L15" i="2"/>
  <c r="O15" i="2"/>
  <c r="G16" i="2"/>
  <c r="L16" i="2"/>
  <c r="O16" i="2"/>
  <c r="G17" i="2"/>
  <c r="L17" i="2"/>
  <c r="O17" i="2"/>
  <c r="O20" i="2"/>
  <c r="S11" i="12"/>
  <c r="S12" i="12"/>
  <c r="Y12" i="12"/>
  <c r="S19" i="7"/>
  <c r="O4" i="12"/>
  <c r="F6" i="7"/>
  <c r="F7" i="7"/>
  <c r="F8" i="7"/>
  <c r="F9" i="7"/>
  <c r="F10" i="7"/>
  <c r="F11" i="7"/>
  <c r="F12" i="7"/>
  <c r="F13" i="7"/>
  <c r="F14" i="7"/>
  <c r="F15" i="7"/>
  <c r="F16" i="7"/>
  <c r="F17" i="7"/>
  <c r="F19" i="7"/>
  <c r="O10" i="12"/>
  <c r="O12" i="12"/>
  <c r="F21" i="8"/>
  <c r="H21" i="8"/>
  <c r="M4" i="12"/>
  <c r="D8" i="9"/>
  <c r="D9" i="9"/>
  <c r="D10" i="9"/>
  <c r="D11" i="9"/>
  <c r="D12" i="9"/>
  <c r="D13" i="9"/>
  <c r="D14" i="9"/>
  <c r="D15" i="9"/>
  <c r="D16" i="9"/>
  <c r="D17" i="9"/>
  <c r="D18" i="9"/>
  <c r="D19" i="9"/>
  <c r="M10" i="12"/>
  <c r="M12" i="12"/>
  <c r="W7" i="13"/>
  <c r="W8" i="13"/>
  <c r="W9" i="13"/>
  <c r="W10" i="13"/>
  <c r="W11" i="13"/>
  <c r="W12" i="13"/>
  <c r="W13" i="13"/>
  <c r="W14" i="13"/>
  <c r="W15" i="13"/>
  <c r="W16" i="13"/>
  <c r="W17" i="13"/>
  <c r="W18" i="13"/>
  <c r="C4" i="12"/>
  <c r="H8" i="2"/>
  <c r="K8" i="2"/>
  <c r="H9" i="2"/>
  <c r="K9" i="2"/>
  <c r="H10" i="2"/>
  <c r="K10" i="2"/>
  <c r="H11" i="2"/>
  <c r="K11" i="2"/>
  <c r="H12" i="2"/>
  <c r="K12" i="2"/>
  <c r="H13" i="2"/>
  <c r="K13" i="2"/>
  <c r="H14" i="2"/>
  <c r="K14" i="2"/>
  <c r="H15" i="2"/>
  <c r="K15" i="2"/>
  <c r="H16" i="2"/>
  <c r="K16" i="2"/>
  <c r="H17" i="2"/>
  <c r="K17" i="2"/>
  <c r="K20" i="2"/>
  <c r="C10" i="12"/>
  <c r="C12" i="12"/>
  <c r="W7" i="16"/>
  <c r="W8" i="16"/>
  <c r="W9" i="16"/>
  <c r="W10" i="16"/>
  <c r="W11" i="16"/>
  <c r="W12" i="16"/>
  <c r="W13" i="16"/>
  <c r="W14" i="16"/>
  <c r="W15" i="16"/>
  <c r="W16" i="16"/>
  <c r="W17" i="16"/>
  <c r="W18" i="16"/>
  <c r="E4" i="12"/>
  <c r="H23" i="2"/>
  <c r="K23" i="2"/>
  <c r="H24" i="2"/>
  <c r="K24" i="2"/>
  <c r="H25" i="2"/>
  <c r="K25" i="2"/>
  <c r="H26" i="2"/>
  <c r="K26" i="2"/>
  <c r="H27" i="2"/>
  <c r="K27" i="2"/>
  <c r="H28" i="2"/>
  <c r="K28" i="2"/>
  <c r="H29" i="2"/>
  <c r="K29" i="2"/>
  <c r="H30" i="2"/>
  <c r="K30" i="2"/>
  <c r="H31" i="2"/>
  <c r="K31" i="2"/>
  <c r="H32" i="2"/>
  <c r="K32" i="2"/>
  <c r="K35" i="2"/>
  <c r="E10" i="12"/>
  <c r="E12" i="12"/>
  <c r="W7" i="15"/>
  <c r="W8" i="15"/>
  <c r="W9" i="15"/>
  <c r="W10" i="15"/>
  <c r="W11" i="15"/>
  <c r="W12" i="15"/>
  <c r="W13" i="15"/>
  <c r="W14" i="15"/>
  <c r="W15" i="15"/>
  <c r="W16" i="15"/>
  <c r="W17" i="15"/>
  <c r="W18" i="15"/>
  <c r="G4" i="12"/>
  <c r="F37" i="2"/>
  <c r="F38" i="2"/>
  <c r="F39" i="2"/>
  <c r="F40" i="2"/>
  <c r="F41" i="2"/>
  <c r="F42" i="2"/>
  <c r="F43" i="2"/>
  <c r="F44" i="2"/>
  <c r="F45" i="2"/>
  <c r="F46" i="2"/>
  <c r="F47" i="2"/>
  <c r="F48" i="2"/>
  <c r="F50" i="2"/>
  <c r="G10" i="12"/>
  <c r="G12" i="12"/>
  <c r="W7" i="14"/>
  <c r="W8" i="14"/>
  <c r="W9" i="14"/>
  <c r="W10" i="14"/>
  <c r="W11" i="14"/>
  <c r="W12" i="14"/>
  <c r="W13" i="14"/>
  <c r="W14" i="14"/>
  <c r="W15" i="14"/>
  <c r="W16" i="14"/>
  <c r="W17" i="14"/>
  <c r="W18" i="14"/>
  <c r="I4" i="12"/>
  <c r="F52" i="2"/>
  <c r="F53" i="2"/>
  <c r="F54" i="2"/>
  <c r="F55" i="2"/>
  <c r="F56" i="2"/>
  <c r="F57" i="2"/>
  <c r="F58" i="2"/>
  <c r="F59" i="2"/>
  <c r="F60" i="2"/>
  <c r="F61" i="2"/>
  <c r="F62" i="2"/>
  <c r="F63" i="2"/>
  <c r="F65" i="2"/>
  <c r="I10" i="12"/>
  <c r="I12" i="12"/>
  <c r="K12" i="12"/>
  <c r="Q12" i="12"/>
  <c r="AE12" i="12"/>
  <c r="B8" i="25"/>
  <c r="D12" i="25"/>
  <c r="B7" i="25"/>
  <c r="D11" i="25"/>
  <c r="E11" i="25"/>
  <c r="E10" i="25"/>
  <c r="C32" i="25"/>
  <c r="D8" i="25"/>
  <c r="F151" i="17"/>
  <c r="G151" i="17"/>
  <c r="F152" i="17"/>
  <c r="G152" i="17"/>
  <c r="G153" i="17"/>
  <c r="C153" i="17"/>
  <c r="H153" i="17"/>
  <c r="AA16" i="12"/>
  <c r="AA17" i="12"/>
  <c r="F135" i="17"/>
  <c r="D135" i="17"/>
  <c r="G135" i="17"/>
  <c r="F140" i="17"/>
  <c r="G140" i="17"/>
  <c r="G145" i="17"/>
  <c r="F136" i="17"/>
  <c r="D136" i="17"/>
  <c r="G136" i="17"/>
  <c r="F141" i="17"/>
  <c r="G141" i="17"/>
  <c r="G146" i="17"/>
  <c r="G147" i="17"/>
  <c r="D15" i="18"/>
  <c r="C147" i="17"/>
  <c r="H147" i="17"/>
  <c r="W16" i="12"/>
  <c r="W17" i="12"/>
  <c r="F109" i="17"/>
  <c r="G109" i="17"/>
  <c r="C109" i="17"/>
  <c r="H109" i="17"/>
  <c r="F114" i="17"/>
  <c r="G114" i="17"/>
  <c r="C114" i="17"/>
  <c r="H114" i="17"/>
  <c r="H118" i="17"/>
  <c r="S16" i="12"/>
  <c r="U16" i="12"/>
  <c r="U17" i="12"/>
  <c r="S17" i="12"/>
  <c r="Y17" i="12"/>
  <c r="F76" i="17"/>
  <c r="D76" i="17"/>
  <c r="G76" i="17"/>
  <c r="H76" i="17"/>
  <c r="F81" i="17"/>
  <c r="D81" i="17"/>
  <c r="G81" i="17"/>
  <c r="H81" i="17"/>
  <c r="H87" i="17"/>
  <c r="O16" i="12"/>
  <c r="O17" i="12"/>
  <c r="F95" i="17"/>
  <c r="D95" i="17"/>
  <c r="G95" i="17"/>
  <c r="H95" i="17"/>
  <c r="F100" i="17"/>
  <c r="D100" i="17"/>
  <c r="G100" i="17"/>
  <c r="H100" i="17"/>
  <c r="H103" i="17"/>
  <c r="M16" i="12"/>
  <c r="M17" i="12"/>
  <c r="F13" i="17"/>
  <c r="D13" i="17"/>
  <c r="G13" i="17"/>
  <c r="C13" i="17"/>
  <c r="H13" i="17"/>
  <c r="F18" i="17"/>
  <c r="D18" i="17"/>
  <c r="G18" i="17"/>
  <c r="C18" i="17"/>
  <c r="H18" i="17"/>
  <c r="H24" i="17"/>
  <c r="C16" i="12"/>
  <c r="C17" i="12"/>
  <c r="F27" i="17"/>
  <c r="D27" i="17"/>
  <c r="G27" i="17"/>
  <c r="C26" i="17"/>
  <c r="H27" i="17"/>
  <c r="F32" i="17"/>
  <c r="D32" i="17"/>
  <c r="G32" i="17"/>
  <c r="C31" i="17"/>
  <c r="H32" i="17"/>
  <c r="H38" i="17"/>
  <c r="E16" i="12"/>
  <c r="E17" i="12"/>
  <c r="F42" i="17"/>
  <c r="D42" i="17"/>
  <c r="G42" i="17"/>
  <c r="H42" i="17"/>
  <c r="F47" i="17"/>
  <c r="D47" i="17"/>
  <c r="G47" i="17"/>
  <c r="H47" i="17"/>
  <c r="H53" i="17"/>
  <c r="G16" i="12"/>
  <c r="G17" i="12"/>
  <c r="F62" i="17"/>
  <c r="D62" i="17"/>
  <c r="G62" i="17"/>
  <c r="Q62" i="17"/>
  <c r="M65" i="17"/>
  <c r="H62" i="17"/>
  <c r="H68" i="17"/>
  <c r="I16" i="12"/>
  <c r="I17" i="12"/>
  <c r="K17" i="12"/>
  <c r="Q17" i="12"/>
  <c r="AE17" i="12"/>
  <c r="E27" i="25"/>
  <c r="D10" i="25"/>
  <c r="D7" i="25"/>
  <c r="AA18" i="12"/>
  <c r="AA19" i="12"/>
  <c r="AK6" i="23"/>
  <c r="W18" i="12"/>
  <c r="W6" i="12"/>
  <c r="W9" i="12"/>
  <c r="W19" i="12"/>
  <c r="U18" i="12"/>
  <c r="U8" i="12"/>
  <c r="U6" i="12"/>
  <c r="U9" i="12"/>
  <c r="U19" i="12"/>
  <c r="S18" i="12"/>
  <c r="S8" i="12"/>
  <c r="S6" i="12"/>
  <c r="S9" i="12"/>
  <c r="S19" i="12"/>
  <c r="Y19" i="12"/>
  <c r="AI6" i="23"/>
  <c r="O18" i="12"/>
  <c r="O8" i="12"/>
  <c r="O6" i="12"/>
  <c r="O9" i="12"/>
  <c r="O19" i="12"/>
  <c r="M18" i="12"/>
  <c r="M8" i="12"/>
  <c r="M6" i="12"/>
  <c r="M9" i="12"/>
  <c r="M19" i="12"/>
  <c r="C18" i="12"/>
  <c r="C8" i="12"/>
  <c r="C6" i="12"/>
  <c r="C9" i="12"/>
  <c r="C19" i="12"/>
  <c r="E18" i="12"/>
  <c r="E8" i="12"/>
  <c r="E6" i="12"/>
  <c r="E9" i="12"/>
  <c r="E19" i="12"/>
  <c r="G18" i="12"/>
  <c r="G8" i="12"/>
  <c r="G6" i="12"/>
  <c r="G9" i="12"/>
  <c r="G19" i="12"/>
  <c r="I18" i="12"/>
  <c r="I8" i="12"/>
  <c r="I6" i="12"/>
  <c r="I9" i="12"/>
  <c r="I19" i="12"/>
  <c r="K19" i="12"/>
  <c r="Q19" i="12"/>
  <c r="AO20" i="23"/>
  <c r="AG6" i="23"/>
  <c r="AM6" i="23"/>
  <c r="AO6" i="23"/>
  <c r="N14" i="22"/>
  <c r="C19" i="7"/>
  <c r="N19" i="7"/>
  <c r="S21" i="7"/>
  <c r="S27" i="7"/>
  <c r="H20" i="2"/>
  <c r="R7" i="13"/>
  <c r="R8" i="13"/>
  <c r="R9" i="13"/>
  <c r="R10" i="13"/>
  <c r="R11" i="13"/>
  <c r="R12" i="13"/>
  <c r="R13" i="13"/>
  <c r="R14" i="13"/>
  <c r="R15" i="13"/>
  <c r="R16" i="13"/>
  <c r="R17" i="13"/>
  <c r="R18" i="13"/>
  <c r="W20" i="13"/>
  <c r="W23" i="13"/>
  <c r="C21" i="8"/>
  <c r="G23" i="8"/>
  <c r="H23" i="8"/>
  <c r="F23" i="8"/>
  <c r="B21" i="8"/>
  <c r="D21" i="8"/>
  <c r="O19" i="7"/>
  <c r="O21" i="7"/>
  <c r="Q19" i="7"/>
  <c r="Q21" i="7"/>
  <c r="R19" i="7"/>
  <c r="R21" i="7"/>
  <c r="P18" i="22"/>
  <c r="P17" i="22"/>
  <c r="P16" i="22"/>
  <c r="P15" i="22"/>
  <c r="P14" i="22"/>
  <c r="J9" i="27"/>
  <c r="S23" i="24"/>
  <c r="S25" i="24"/>
  <c r="W17" i="29"/>
  <c r="AB18" i="12"/>
  <c r="AB9" i="12"/>
  <c r="AA9" i="12"/>
  <c r="AB19" i="12"/>
  <c r="AL6" i="23"/>
  <c r="E23" i="24"/>
  <c r="E21" i="24"/>
  <c r="P23" i="24"/>
  <c r="P21" i="24"/>
  <c r="F23" i="24"/>
  <c r="F26" i="24"/>
  <c r="K9" i="27"/>
  <c r="S26" i="24"/>
  <c r="X17" i="29"/>
  <c r="AG9" i="23"/>
  <c r="AM9" i="23"/>
  <c r="AO9" i="23"/>
  <c r="C12" i="27"/>
  <c r="J12" i="27"/>
  <c r="Y23" i="24"/>
  <c r="Y25" i="24"/>
  <c r="Y20" i="29"/>
  <c r="AG7" i="23"/>
  <c r="AM7" i="23"/>
  <c r="AO7" i="23"/>
  <c r="N15" i="22"/>
  <c r="Q15" i="22"/>
  <c r="AG10" i="23"/>
  <c r="AG8" i="23"/>
  <c r="AM8" i="23"/>
  <c r="AO8" i="23"/>
  <c r="P18" i="12"/>
  <c r="P8" i="12"/>
  <c r="S20" i="7"/>
  <c r="P4" i="12"/>
  <c r="P6" i="12"/>
  <c r="P9" i="12"/>
  <c r="P19" i="12"/>
  <c r="N18" i="12"/>
  <c r="N8" i="12"/>
  <c r="F22" i="8"/>
  <c r="H22" i="8"/>
  <c r="N4" i="12"/>
  <c r="N6" i="12"/>
  <c r="N9" i="12"/>
  <c r="N19" i="12"/>
  <c r="J18" i="12"/>
  <c r="J8" i="12"/>
  <c r="W19" i="14"/>
  <c r="J4" i="12"/>
  <c r="J6" i="12"/>
  <c r="J9" i="12"/>
  <c r="J19" i="12"/>
  <c r="H18" i="12"/>
  <c r="H8" i="12"/>
  <c r="W19" i="15"/>
  <c r="H4" i="12"/>
  <c r="H6" i="12"/>
  <c r="H9" i="12"/>
  <c r="H19" i="12"/>
  <c r="F18" i="12"/>
  <c r="F8" i="12"/>
  <c r="W19" i="16"/>
  <c r="F4" i="12"/>
  <c r="F6" i="12"/>
  <c r="F9" i="12"/>
  <c r="F19" i="12"/>
  <c r="D18" i="12"/>
  <c r="D8" i="12"/>
  <c r="W19" i="13"/>
  <c r="D4" i="12"/>
  <c r="D6" i="12"/>
  <c r="D9" i="12"/>
  <c r="D19" i="12"/>
  <c r="L19" i="12"/>
  <c r="R19" i="12"/>
  <c r="AH7" i="23"/>
  <c r="AG11" i="23"/>
  <c r="AO15" i="23"/>
  <c r="AU10" i="23"/>
  <c r="W20" i="12"/>
  <c r="W21" i="12"/>
  <c r="U20" i="12"/>
  <c r="U21" i="12"/>
  <c r="S20" i="12"/>
  <c r="S21" i="12"/>
  <c r="Y21" i="12"/>
  <c r="AS10" i="23"/>
  <c r="O20" i="12"/>
  <c r="O21" i="12"/>
  <c r="M20" i="12"/>
  <c r="M21" i="12"/>
  <c r="C20" i="12"/>
  <c r="C21" i="12"/>
  <c r="E20" i="12"/>
  <c r="E21" i="12"/>
  <c r="G20" i="12"/>
  <c r="G21" i="12"/>
  <c r="I20" i="12"/>
  <c r="I21" i="12"/>
  <c r="K21" i="12"/>
  <c r="Q21" i="12"/>
  <c r="AQ10" i="23"/>
  <c r="AW10" i="23"/>
  <c r="AU7" i="23"/>
  <c r="AQ7" i="23"/>
  <c r="AW7" i="23"/>
  <c r="AY16" i="23"/>
  <c r="AY7" i="23"/>
  <c r="J10" i="27"/>
  <c r="U23" i="24"/>
  <c r="U25" i="24"/>
  <c r="P18" i="29"/>
  <c r="AK10" i="23"/>
  <c r="AI10" i="23"/>
  <c r="AM10" i="23"/>
  <c r="AO10" i="23"/>
  <c r="N18" i="22"/>
  <c r="Q18" i="22"/>
  <c r="AO19" i="23"/>
  <c r="AO16" i="23"/>
  <c r="AP16" i="23"/>
  <c r="AO17" i="23"/>
  <c r="AO18" i="23"/>
  <c r="AP18" i="23"/>
  <c r="AA14" i="12"/>
  <c r="AA15" i="12"/>
  <c r="AA6" i="23"/>
  <c r="AC15" i="12"/>
  <c r="Y15" i="12"/>
  <c r="Y6" i="23"/>
  <c r="X7" i="10"/>
  <c r="Y7" i="10"/>
  <c r="X8" i="10"/>
  <c r="Y8" i="10"/>
  <c r="X9" i="10"/>
  <c r="Y9" i="10"/>
  <c r="X10" i="10"/>
  <c r="Y10" i="10"/>
  <c r="X11" i="10"/>
  <c r="Y11" i="10"/>
  <c r="X12" i="10"/>
  <c r="Y12" i="10"/>
  <c r="X13" i="10"/>
  <c r="Y13" i="10"/>
  <c r="X14" i="10"/>
  <c r="Y14" i="10"/>
  <c r="X15" i="10"/>
  <c r="Y15" i="10"/>
  <c r="X16" i="10"/>
  <c r="Y16" i="10"/>
  <c r="X17" i="10"/>
  <c r="Y17" i="10"/>
  <c r="W21" i="10"/>
  <c r="O13" i="12"/>
  <c r="O15" i="12"/>
  <c r="T7" i="10"/>
  <c r="U7" i="10"/>
  <c r="T8" i="10"/>
  <c r="U8" i="10"/>
  <c r="T9" i="10"/>
  <c r="U9" i="10"/>
  <c r="T10" i="10"/>
  <c r="U10" i="10"/>
  <c r="T11" i="10"/>
  <c r="U11" i="10"/>
  <c r="T12" i="10"/>
  <c r="U12" i="10"/>
  <c r="T13" i="10"/>
  <c r="U13" i="10"/>
  <c r="T14" i="10"/>
  <c r="U14" i="10"/>
  <c r="T15" i="10"/>
  <c r="U15" i="10"/>
  <c r="T16" i="10"/>
  <c r="U16" i="10"/>
  <c r="T17" i="10"/>
  <c r="U17" i="10"/>
  <c r="S21" i="10"/>
  <c r="M13" i="12"/>
  <c r="M15" i="12"/>
  <c r="D8" i="10"/>
  <c r="E8" i="10"/>
  <c r="D9" i="10"/>
  <c r="E9" i="10"/>
  <c r="D10" i="10"/>
  <c r="E10" i="10"/>
  <c r="D11" i="10"/>
  <c r="E11" i="10"/>
  <c r="D12" i="10"/>
  <c r="E12" i="10"/>
  <c r="D13" i="10"/>
  <c r="E13" i="10"/>
  <c r="D14" i="10"/>
  <c r="E14" i="10"/>
  <c r="D15" i="10"/>
  <c r="E15" i="10"/>
  <c r="D16" i="10"/>
  <c r="E16" i="10"/>
  <c r="D17" i="10"/>
  <c r="E17" i="10"/>
  <c r="C21" i="10"/>
  <c r="C13" i="12"/>
  <c r="C15" i="12"/>
  <c r="G10" i="10"/>
  <c r="H10" i="10"/>
  <c r="I10" i="10"/>
  <c r="G18" i="10"/>
  <c r="H18" i="10"/>
  <c r="I18" i="10"/>
  <c r="G21" i="10"/>
  <c r="E13" i="12"/>
  <c r="E15" i="12"/>
  <c r="L10" i="10"/>
  <c r="M10" i="10"/>
  <c r="K21" i="10"/>
  <c r="G13" i="12"/>
  <c r="G15" i="12"/>
  <c r="Q11" i="10"/>
  <c r="O21" i="10"/>
  <c r="I13" i="12"/>
  <c r="I15" i="12"/>
  <c r="K15" i="12"/>
  <c r="Q15" i="12"/>
  <c r="W6" i="23"/>
  <c r="AC6" i="23"/>
  <c r="AE6" i="23"/>
  <c r="K14" i="22"/>
  <c r="AA7" i="23"/>
  <c r="Y7" i="23"/>
  <c r="W7" i="23"/>
  <c r="AC7" i="23"/>
  <c r="AE7" i="23"/>
  <c r="K15" i="22"/>
  <c r="AA8" i="23"/>
  <c r="Y8" i="23"/>
  <c r="W8" i="23"/>
  <c r="AC8" i="23"/>
  <c r="AE8" i="23"/>
  <c r="K16" i="22"/>
  <c r="AA9" i="23"/>
  <c r="Y9" i="23"/>
  <c r="W9" i="23"/>
  <c r="AC9" i="23"/>
  <c r="AE9" i="23"/>
  <c r="K17" i="22"/>
  <c r="AA10" i="23"/>
  <c r="Y10" i="23"/>
  <c r="W10" i="23"/>
  <c r="AC10" i="23"/>
  <c r="AE10" i="23"/>
  <c r="K18" i="22"/>
  <c r="J66" i="22"/>
  <c r="M53" i="22"/>
  <c r="J11" i="22"/>
  <c r="Q6" i="23"/>
  <c r="O6" i="23"/>
  <c r="M6" i="23"/>
  <c r="S6" i="23"/>
  <c r="U6" i="23"/>
  <c r="E14" i="22"/>
  <c r="Q7" i="23"/>
  <c r="O7" i="23"/>
  <c r="M7" i="23"/>
  <c r="S7" i="23"/>
  <c r="U7" i="23"/>
  <c r="E15" i="22"/>
  <c r="Q8" i="23"/>
  <c r="O8" i="23"/>
  <c r="M8" i="23"/>
  <c r="S8" i="23"/>
  <c r="U8" i="23"/>
  <c r="E16" i="22"/>
  <c r="Q9" i="23"/>
  <c r="O9" i="23"/>
  <c r="M9" i="23"/>
  <c r="S9" i="23"/>
  <c r="U9" i="23"/>
  <c r="E17" i="22"/>
  <c r="Q10" i="23"/>
  <c r="O10" i="23"/>
  <c r="M10" i="23"/>
  <c r="S10" i="23"/>
  <c r="U10" i="23"/>
  <c r="E18" i="22"/>
  <c r="C64" i="22"/>
  <c r="G11" i="22"/>
  <c r="G6" i="23"/>
  <c r="E6" i="23"/>
  <c r="C6" i="23"/>
  <c r="I6" i="23"/>
  <c r="K6" i="23"/>
  <c r="B14" i="22"/>
  <c r="G7" i="23"/>
  <c r="E7" i="23"/>
  <c r="C7" i="23"/>
  <c r="I7" i="23"/>
  <c r="K7" i="23"/>
  <c r="B15" i="22"/>
  <c r="G8" i="23"/>
  <c r="E8" i="23"/>
  <c r="C8" i="23"/>
  <c r="I8" i="23"/>
  <c r="K8" i="23"/>
  <c r="B16" i="22"/>
  <c r="G9" i="23"/>
  <c r="E9" i="23"/>
  <c r="C9" i="23"/>
  <c r="I9" i="23"/>
  <c r="K9" i="23"/>
  <c r="B17" i="22"/>
  <c r="G10" i="23"/>
  <c r="E10" i="23"/>
  <c r="C10" i="23"/>
  <c r="I10" i="23"/>
  <c r="K10" i="23"/>
  <c r="B18" i="22"/>
  <c r="D11" i="22"/>
  <c r="J52" i="22"/>
  <c r="J49" i="22"/>
  <c r="J50" i="22"/>
  <c r="J51" i="22"/>
  <c r="J53" i="22"/>
  <c r="J54" i="22"/>
  <c r="G40" i="24"/>
  <c r="G39" i="24"/>
  <c r="G41" i="24"/>
  <c r="E64" i="22"/>
  <c r="D64" i="22"/>
  <c r="B64" i="22"/>
  <c r="C60" i="22"/>
  <c r="I66" i="22"/>
  <c r="H66" i="22"/>
  <c r="AY19" i="23"/>
  <c r="AY10" i="23"/>
  <c r="C8" i="27"/>
  <c r="J8" i="27"/>
  <c r="AA23" i="24"/>
  <c r="AA25" i="24"/>
  <c r="P21" i="29"/>
  <c r="AY18" i="23"/>
  <c r="AY17" i="23"/>
  <c r="AY15" i="23"/>
  <c r="AY21" i="23"/>
  <c r="AP17" i="23"/>
  <c r="AP15" i="23"/>
  <c r="AA20" i="12"/>
  <c r="AB20" i="12"/>
  <c r="X20" i="12"/>
  <c r="V20" i="12"/>
  <c r="T20" i="12"/>
  <c r="P20" i="12"/>
  <c r="N20" i="12"/>
  <c r="J20" i="12"/>
  <c r="H20" i="12"/>
  <c r="F20" i="12"/>
  <c r="D20" i="12"/>
  <c r="AZ16" i="23"/>
  <c r="D21" i="12"/>
  <c r="F21" i="12"/>
  <c r="H21" i="12"/>
  <c r="J21" i="12"/>
  <c r="L21" i="12"/>
  <c r="N21" i="12"/>
  <c r="P21" i="12"/>
  <c r="R21" i="12"/>
  <c r="AR7" i="23"/>
  <c r="AX7" i="23"/>
  <c r="AZ7" i="23"/>
  <c r="AZ17" i="23"/>
  <c r="AZ18" i="23"/>
  <c r="AP19" i="23"/>
  <c r="R14" i="31"/>
  <c r="R10" i="31"/>
  <c r="G15" i="31"/>
  <c r="J28" i="29"/>
  <c r="N24" i="22"/>
  <c r="M23" i="24"/>
  <c r="M21" i="24"/>
  <c r="N23" i="24"/>
  <c r="N26" i="24"/>
  <c r="O22" i="12"/>
  <c r="K8" i="27"/>
  <c r="AA26" i="24"/>
  <c r="AB14" i="12"/>
  <c r="AB13" i="12"/>
  <c r="AB15" i="12"/>
  <c r="AB10" i="23"/>
  <c r="E153" i="17"/>
  <c r="E154" i="17"/>
  <c r="F154" i="17"/>
  <c r="F153" i="17"/>
  <c r="D153" i="17"/>
  <c r="D154" i="17"/>
  <c r="G154" i="17"/>
  <c r="C154" i="17"/>
  <c r="H154" i="17"/>
  <c r="AB16" i="12"/>
  <c r="C17" i="19"/>
  <c r="D17" i="19"/>
  <c r="E17" i="19"/>
  <c r="F17" i="19"/>
  <c r="AB12" i="12"/>
  <c r="AB17" i="12"/>
  <c r="R10" i="23"/>
  <c r="N32" i="29"/>
  <c r="AB6" i="23"/>
  <c r="F31" i="22"/>
  <c r="N29" i="29"/>
  <c r="E16" i="18"/>
  <c r="X11" i="12"/>
  <c r="C16" i="18"/>
  <c r="X7" i="12"/>
  <c r="X12" i="12"/>
  <c r="Z12" i="12"/>
  <c r="F10" i="23"/>
  <c r="L29" i="29"/>
  <c r="L28" i="29"/>
  <c r="F6" i="23"/>
  <c r="L33" i="29"/>
  <c r="L31" i="29"/>
  <c r="L32" i="29"/>
  <c r="AD15" i="12"/>
  <c r="Z15" i="12"/>
  <c r="Z6" i="23"/>
  <c r="M32" i="29"/>
  <c r="L30" i="29"/>
  <c r="G137" i="17"/>
  <c r="E137" i="17"/>
  <c r="E138" i="17"/>
  <c r="F138" i="17"/>
  <c r="F137" i="17"/>
  <c r="D137" i="17"/>
  <c r="D138" i="17"/>
  <c r="G138" i="17"/>
  <c r="G142" i="17"/>
  <c r="E142" i="17"/>
  <c r="E143" i="17"/>
  <c r="F143" i="17"/>
  <c r="F142" i="17"/>
  <c r="D142" i="17"/>
  <c r="D143" i="17"/>
  <c r="G143" i="17"/>
  <c r="G148" i="17"/>
  <c r="C148" i="17"/>
  <c r="H148" i="17"/>
  <c r="X16" i="12"/>
  <c r="X17" i="12"/>
  <c r="Z17" i="12"/>
  <c r="P6" i="23"/>
  <c r="J29" i="29"/>
  <c r="P29" i="29"/>
  <c r="F20" i="9"/>
  <c r="F19" i="9"/>
  <c r="B20" i="9"/>
  <c r="B19" i="9"/>
  <c r="N12" i="12"/>
  <c r="E20" i="7"/>
  <c r="E19" i="7"/>
  <c r="C20" i="7"/>
  <c r="P12" i="12"/>
  <c r="D66" i="2"/>
  <c r="D65" i="2"/>
  <c r="C66" i="2"/>
  <c r="C65" i="2"/>
  <c r="J12" i="12"/>
  <c r="D51" i="2"/>
  <c r="D50" i="2"/>
  <c r="C51" i="2"/>
  <c r="C50" i="2"/>
  <c r="H12" i="12"/>
  <c r="C36" i="2"/>
  <c r="C35" i="2"/>
  <c r="I36" i="2"/>
  <c r="I35" i="2"/>
  <c r="J36" i="2"/>
  <c r="J35" i="2"/>
  <c r="M36" i="2"/>
  <c r="G36" i="2"/>
  <c r="G35" i="2"/>
  <c r="F12" i="12"/>
  <c r="C21" i="2"/>
  <c r="C20" i="2"/>
  <c r="I21" i="2"/>
  <c r="I20" i="2"/>
  <c r="J21" i="2"/>
  <c r="J20" i="2"/>
  <c r="M21" i="2"/>
  <c r="G21" i="2"/>
  <c r="G20" i="2"/>
  <c r="D12" i="12"/>
  <c r="L12" i="12"/>
  <c r="R12" i="12"/>
  <c r="D6" i="23"/>
  <c r="J33" i="29"/>
  <c r="S20" i="10"/>
  <c r="S19" i="10"/>
  <c r="N15" i="12"/>
  <c r="W20" i="10"/>
  <c r="W19" i="10"/>
  <c r="P15" i="12"/>
  <c r="O19" i="10"/>
  <c r="O20" i="10"/>
  <c r="J15" i="12"/>
  <c r="K19" i="10"/>
  <c r="K20" i="10"/>
  <c r="H15" i="12"/>
  <c r="G19" i="10"/>
  <c r="G20" i="10"/>
  <c r="F15" i="12"/>
  <c r="C20" i="10"/>
  <c r="C19" i="10"/>
  <c r="D15" i="12"/>
  <c r="L15" i="12"/>
  <c r="R15" i="12"/>
  <c r="X10" i="23"/>
  <c r="J31" i="29"/>
  <c r="E103" i="17"/>
  <c r="E104" i="17"/>
  <c r="F104" i="17"/>
  <c r="F103" i="17"/>
  <c r="D103" i="17"/>
  <c r="D104" i="17"/>
  <c r="N17" i="12"/>
  <c r="E87" i="17"/>
  <c r="E88" i="17"/>
  <c r="F88" i="17"/>
  <c r="F87" i="17"/>
  <c r="D87" i="17"/>
  <c r="D88" i="17"/>
  <c r="P17" i="12"/>
  <c r="D68" i="17"/>
  <c r="D69" i="17"/>
  <c r="E68" i="17"/>
  <c r="E69" i="17"/>
  <c r="F69" i="17"/>
  <c r="F68" i="17"/>
  <c r="J17" i="12"/>
  <c r="D53" i="17"/>
  <c r="D54" i="17"/>
  <c r="E53" i="17"/>
  <c r="E54" i="17"/>
  <c r="F54" i="17"/>
  <c r="F53" i="17"/>
  <c r="H17" i="12"/>
  <c r="E39" i="17"/>
  <c r="F39" i="17"/>
  <c r="F38" i="17"/>
  <c r="D39" i="17"/>
  <c r="D38" i="17"/>
  <c r="F17" i="12"/>
  <c r="E25" i="17"/>
  <c r="F25" i="17"/>
  <c r="F24" i="17"/>
  <c r="D25" i="17"/>
  <c r="D24" i="17"/>
  <c r="D17" i="12"/>
  <c r="L17" i="12"/>
  <c r="R17" i="12"/>
  <c r="N10" i="23"/>
  <c r="X6" i="23"/>
  <c r="J32" i="29"/>
  <c r="N6" i="23"/>
  <c r="X9" i="23"/>
  <c r="AD9" i="23"/>
  <c r="AF9" i="23"/>
  <c r="X8" i="23"/>
  <c r="AD8" i="23"/>
  <c r="AF8" i="23"/>
  <c r="X7" i="23"/>
  <c r="AD7" i="23"/>
  <c r="AF7" i="23"/>
  <c r="AQ9" i="23"/>
  <c r="AQ8" i="23"/>
  <c r="AU8" i="23"/>
  <c r="AW8" i="23"/>
  <c r="AY8" i="23"/>
  <c r="J11" i="27"/>
  <c r="W23" i="24"/>
  <c r="W25" i="24"/>
  <c r="P19" i="29"/>
  <c r="AR8" i="23"/>
  <c r="AX8" i="23"/>
  <c r="AZ8" i="23"/>
  <c r="I23" i="24"/>
  <c r="I21" i="24"/>
  <c r="J23" i="24"/>
  <c r="J26" i="24"/>
  <c r="K11" i="27"/>
  <c r="W26" i="24"/>
  <c r="Q19" i="29"/>
  <c r="AQ6" i="23"/>
  <c r="AA21" i="12"/>
  <c r="AU6" i="23"/>
  <c r="AS6" i="23"/>
  <c r="AW6" i="23"/>
  <c r="J21" i="29"/>
  <c r="D48" i="27"/>
  <c r="K21" i="29"/>
  <c r="J19" i="29"/>
  <c r="D35" i="27"/>
  <c r="K19" i="29"/>
  <c r="J18" i="29"/>
  <c r="D28" i="27"/>
  <c r="K10" i="27"/>
  <c r="K18" i="29"/>
  <c r="J17" i="29"/>
  <c r="D21" i="27"/>
  <c r="K17" i="29"/>
  <c r="K23" i="24"/>
  <c r="K21" i="24"/>
  <c r="L23" i="24"/>
  <c r="L26" i="24"/>
  <c r="K12" i="27"/>
  <c r="Y26" i="24"/>
  <c r="G23" i="24"/>
  <c r="G21" i="24"/>
  <c r="H23" i="24"/>
  <c r="H26" i="24"/>
  <c r="U26" i="24"/>
  <c r="N9" i="23"/>
  <c r="T9" i="23"/>
  <c r="V9" i="23"/>
  <c r="N8" i="23"/>
  <c r="T8" i="23"/>
  <c r="V8" i="23"/>
  <c r="N7" i="23"/>
  <c r="T7" i="23"/>
  <c r="V7" i="23"/>
  <c r="G17" i="29"/>
  <c r="D9" i="23"/>
  <c r="J9" i="23"/>
  <c r="L9" i="23"/>
  <c r="D8" i="23"/>
  <c r="J8" i="23"/>
  <c r="L8" i="23"/>
  <c r="D7" i="23"/>
  <c r="J7" i="23"/>
  <c r="L7" i="23"/>
  <c r="AB26" i="24"/>
  <c r="AB25" i="24"/>
  <c r="S28" i="24"/>
  <c r="U28" i="24"/>
  <c r="W28" i="24"/>
  <c r="Y28" i="24"/>
  <c r="AA28" i="24"/>
  <c r="AB28" i="24"/>
  <c r="F29" i="22"/>
  <c r="F32" i="22"/>
  <c r="O25" i="24"/>
  <c r="N27" i="24"/>
  <c r="G32" i="22"/>
  <c r="F33" i="22"/>
  <c r="F34" i="22"/>
  <c r="F35" i="22"/>
  <c r="D35" i="22"/>
  <c r="B35" i="22"/>
  <c r="H35" i="22"/>
  <c r="AL10" i="23"/>
  <c r="T18" i="12"/>
  <c r="T8" i="12"/>
  <c r="N21" i="2"/>
  <c r="T7" i="12"/>
  <c r="T6" i="12"/>
  <c r="T9" i="12"/>
  <c r="T19" i="12"/>
  <c r="V18" i="12"/>
  <c r="V8" i="12"/>
  <c r="N36" i="2"/>
  <c r="V7" i="12"/>
  <c r="V6" i="12"/>
  <c r="V9" i="12"/>
  <c r="V19" i="12"/>
  <c r="X18" i="12"/>
  <c r="X8" i="12"/>
  <c r="X6" i="12"/>
  <c r="X9" i="12"/>
  <c r="X19" i="12"/>
  <c r="Z19" i="12"/>
  <c r="AJ6" i="23"/>
  <c r="D33" i="22"/>
  <c r="P33" i="22"/>
  <c r="B33" i="22"/>
  <c r="O33" i="22"/>
  <c r="D31" i="22"/>
  <c r="D29" i="22"/>
  <c r="P29" i="22"/>
  <c r="AJ10" i="23"/>
  <c r="D30" i="22"/>
  <c r="P30" i="22"/>
  <c r="B34" i="22"/>
  <c r="O34" i="22"/>
  <c r="B32" i="22"/>
  <c r="C32" i="22"/>
  <c r="G36" i="24"/>
  <c r="G37" i="24"/>
  <c r="G38" i="24"/>
  <c r="AB21" i="12"/>
  <c r="AV6" i="23"/>
  <c r="X21" i="12"/>
  <c r="V21" i="12"/>
  <c r="T21" i="12"/>
  <c r="L10" i="8"/>
  <c r="L11" i="8"/>
  <c r="L12" i="8"/>
  <c r="L13" i="8"/>
  <c r="L14" i="8"/>
  <c r="L15" i="8"/>
  <c r="L16" i="8"/>
  <c r="L17" i="8"/>
  <c r="L18" i="8"/>
  <c r="L19" i="8"/>
  <c r="L20" i="8"/>
  <c r="L21" i="8"/>
  <c r="M10" i="8"/>
  <c r="M11" i="8"/>
  <c r="M12" i="8"/>
  <c r="M13" i="8"/>
  <c r="M14" i="8"/>
  <c r="M15" i="8"/>
  <c r="M16" i="8"/>
  <c r="M17" i="8"/>
  <c r="M18" i="8"/>
  <c r="M19" i="8"/>
  <c r="M20" i="8"/>
  <c r="M21" i="8"/>
  <c r="F25" i="8"/>
  <c r="B6" i="25"/>
  <c r="B23" i="25"/>
  <c r="C23" i="25"/>
  <c r="B26" i="25"/>
  <c r="I15" i="31"/>
  <c r="O20" i="22"/>
  <c r="N23" i="22"/>
  <c r="N21" i="22"/>
  <c r="V233" i="21"/>
  <c r="W233" i="21"/>
  <c r="V237" i="21"/>
  <c r="W237" i="21"/>
  <c r="Y11" i="21"/>
  <c r="V30" i="21"/>
  <c r="W30" i="21"/>
  <c r="V31" i="21"/>
  <c r="W31" i="21"/>
  <c r="V32" i="21"/>
  <c r="W32" i="21"/>
  <c r="V33" i="21"/>
  <c r="W33" i="21"/>
  <c r="V34" i="21"/>
  <c r="W34" i="21"/>
  <c r="V35" i="21"/>
  <c r="W35" i="21"/>
  <c r="V36" i="21"/>
  <c r="W36" i="21"/>
  <c r="V29" i="21"/>
  <c r="W29" i="21"/>
  <c r="V22" i="21"/>
  <c r="W22" i="21"/>
  <c r="V241" i="21"/>
  <c r="W241" i="21"/>
  <c r="V240" i="21"/>
  <c r="W240" i="21"/>
  <c r="V239" i="21"/>
  <c r="W239" i="21"/>
  <c r="V238" i="21"/>
  <c r="W238" i="21"/>
  <c r="V236" i="21"/>
  <c r="W236" i="21"/>
  <c r="V235" i="21"/>
  <c r="W235" i="21"/>
  <c r="V234" i="21"/>
  <c r="W234" i="21"/>
  <c r="V230" i="21"/>
  <c r="W230" i="21"/>
  <c r="V229" i="21"/>
  <c r="W229" i="21"/>
  <c r="V181" i="21"/>
  <c r="W181" i="21"/>
  <c r="V180" i="21"/>
  <c r="W180" i="21"/>
  <c r="V179" i="21"/>
  <c r="W179" i="21"/>
  <c r="V37" i="21"/>
  <c r="W37" i="21"/>
  <c r="V78" i="21"/>
  <c r="W78" i="21"/>
  <c r="V95" i="21"/>
  <c r="V96" i="21"/>
  <c r="V97" i="21"/>
  <c r="V98" i="21"/>
  <c r="V99" i="21"/>
  <c r="V100" i="21"/>
  <c r="V101" i="21"/>
  <c r="W95" i="21"/>
  <c r="W96" i="21"/>
  <c r="W97" i="21"/>
  <c r="W98" i="21"/>
  <c r="W99" i="21"/>
  <c r="W100" i="21"/>
  <c r="W101" i="21"/>
  <c r="V87" i="21"/>
  <c r="W87" i="21"/>
  <c r="V88" i="21"/>
  <c r="W88" i="21"/>
  <c r="V89" i="21"/>
  <c r="W89" i="21"/>
  <c r="W90" i="21"/>
  <c r="V91" i="21"/>
  <c r="W91" i="21"/>
  <c r="V92" i="21"/>
  <c r="W92" i="21"/>
  <c r="V93" i="21"/>
  <c r="W93" i="21"/>
  <c r="V102" i="21"/>
  <c r="W102" i="21"/>
  <c r="V94" i="21"/>
  <c r="W94" i="21"/>
  <c r="V264" i="21"/>
  <c r="V265" i="21"/>
  <c r="V266" i="21"/>
  <c r="V267" i="21"/>
  <c r="V268" i="21"/>
  <c r="V269" i="21"/>
  <c r="V249" i="21"/>
  <c r="V248" i="21"/>
  <c r="V247" i="21"/>
  <c r="V183" i="21"/>
  <c r="V147" i="21"/>
  <c r="V209" i="21"/>
  <c r="V104" i="21"/>
  <c r="V103" i="21"/>
  <c r="V6" i="21"/>
  <c r="E24" i="24"/>
  <c r="G24" i="24"/>
  <c r="F65" i="27"/>
  <c r="F64" i="27"/>
  <c r="F63" i="27"/>
  <c r="S27" i="24"/>
  <c r="U27" i="24"/>
  <c r="W27" i="24"/>
  <c r="Y27" i="24"/>
  <c r="AA27" i="24"/>
  <c r="AB27" i="24"/>
  <c r="AU9" i="23"/>
  <c r="W29" i="24"/>
  <c r="U29" i="24"/>
  <c r="S29" i="24"/>
  <c r="E11" i="23"/>
  <c r="AA30" i="24"/>
  <c r="Y30" i="24"/>
  <c r="W30" i="24"/>
  <c r="U30" i="24"/>
  <c r="S30" i="24"/>
  <c r="AA29" i="24"/>
  <c r="Y29" i="24"/>
  <c r="AB21" i="24"/>
  <c r="AE21" i="12"/>
  <c r="AC21" i="12"/>
  <c r="E20" i="2"/>
  <c r="L12" i="27"/>
  <c r="L11" i="27"/>
  <c r="L10" i="27"/>
  <c r="L9" i="27"/>
  <c r="L8" i="27"/>
  <c r="T20" i="10"/>
  <c r="I109" i="17"/>
  <c r="C121" i="17"/>
  <c r="P29" i="2"/>
  <c r="P11" i="2"/>
  <c r="C113" i="17"/>
  <c r="F4" i="27"/>
  <c r="H4" i="27"/>
  <c r="G68" i="17"/>
  <c r="G22" i="24"/>
  <c r="AF13" i="13"/>
  <c r="Z7" i="13"/>
  <c r="Z8" i="13"/>
  <c r="Z9" i="13"/>
  <c r="Z10" i="13"/>
  <c r="Z11" i="13"/>
  <c r="Z12" i="13"/>
  <c r="Z13" i="13"/>
  <c r="Z14" i="13"/>
  <c r="Z15" i="13"/>
  <c r="Z16" i="13"/>
  <c r="Z17" i="13"/>
  <c r="L7" i="10"/>
  <c r="L8" i="10"/>
  <c r="L9" i="10"/>
  <c r="L11" i="10"/>
  <c r="H8" i="10"/>
  <c r="H9" i="10"/>
  <c r="H11" i="10"/>
  <c r="H12" i="10"/>
  <c r="H13" i="10"/>
  <c r="H14" i="10"/>
  <c r="H15" i="10"/>
  <c r="H16" i="10"/>
  <c r="H17" i="10"/>
  <c r="H20" i="10"/>
  <c r="D20" i="25"/>
  <c r="B27" i="25"/>
  <c r="D15" i="25"/>
  <c r="D16" i="25"/>
  <c r="D17" i="25"/>
  <c r="E20" i="25"/>
  <c r="K24" i="24"/>
  <c r="AA17" i="15"/>
  <c r="Z17" i="15"/>
  <c r="Y17" i="15"/>
  <c r="X17" i="15"/>
  <c r="V17" i="15"/>
  <c r="U17" i="15"/>
  <c r="T17" i="15"/>
  <c r="S17" i="15"/>
  <c r="R17" i="15"/>
  <c r="Q17" i="15"/>
  <c r="P17" i="15"/>
  <c r="AA16" i="15"/>
  <c r="Z16" i="15"/>
  <c r="Y16" i="15"/>
  <c r="X16" i="15"/>
  <c r="V16" i="15"/>
  <c r="U16" i="15"/>
  <c r="T16" i="15"/>
  <c r="S16" i="15"/>
  <c r="R16" i="15"/>
  <c r="Q16" i="15"/>
  <c r="P16" i="15"/>
  <c r="AA15" i="15"/>
  <c r="Z15" i="15"/>
  <c r="Y15" i="15"/>
  <c r="X15" i="15"/>
  <c r="V15" i="15"/>
  <c r="U15" i="15"/>
  <c r="T15" i="15"/>
  <c r="S15" i="15"/>
  <c r="R15" i="15"/>
  <c r="Q15" i="15"/>
  <c r="P15" i="15"/>
  <c r="AA14" i="15"/>
  <c r="Z14" i="15"/>
  <c r="Y14" i="15"/>
  <c r="X14" i="15"/>
  <c r="V14" i="15"/>
  <c r="U14" i="15"/>
  <c r="T14" i="15"/>
  <c r="S14" i="15"/>
  <c r="R14" i="15"/>
  <c r="Q14" i="15"/>
  <c r="P14" i="15"/>
  <c r="AA13" i="15"/>
  <c r="Z13" i="15"/>
  <c r="Y13" i="15"/>
  <c r="X13" i="15"/>
  <c r="V13" i="15"/>
  <c r="U13" i="15"/>
  <c r="T13" i="15"/>
  <c r="S13" i="15"/>
  <c r="R13" i="15"/>
  <c r="Q13" i="15"/>
  <c r="P13" i="15"/>
  <c r="AA12" i="15"/>
  <c r="Z12" i="15"/>
  <c r="Y12" i="15"/>
  <c r="X12" i="15"/>
  <c r="V12" i="15"/>
  <c r="U12" i="15"/>
  <c r="T12" i="15"/>
  <c r="S12" i="15"/>
  <c r="R12" i="15"/>
  <c r="Q12" i="15"/>
  <c r="P12" i="15"/>
  <c r="AA11" i="15"/>
  <c r="Z11" i="15"/>
  <c r="Y11" i="15"/>
  <c r="X11" i="15"/>
  <c r="V11" i="15"/>
  <c r="U11" i="15"/>
  <c r="T11" i="15"/>
  <c r="S11" i="15"/>
  <c r="R11" i="15"/>
  <c r="Q11" i="15"/>
  <c r="P11" i="15"/>
  <c r="AA10" i="15"/>
  <c r="Z10" i="15"/>
  <c r="Y10" i="15"/>
  <c r="X10" i="15"/>
  <c r="V10" i="15"/>
  <c r="U10" i="15"/>
  <c r="T10" i="15"/>
  <c r="S10" i="15"/>
  <c r="R10" i="15"/>
  <c r="Q10" i="15"/>
  <c r="P10" i="15"/>
  <c r="AA9" i="15"/>
  <c r="AA7" i="15"/>
  <c r="AA8" i="15"/>
  <c r="AA18" i="15"/>
  <c r="Z9" i="15"/>
  <c r="Y9" i="15"/>
  <c r="X9" i="15"/>
  <c r="V9" i="15"/>
  <c r="U9" i="15"/>
  <c r="T9" i="15"/>
  <c r="S9" i="15"/>
  <c r="R9" i="15"/>
  <c r="R7" i="15"/>
  <c r="R8" i="15"/>
  <c r="R18" i="15"/>
  <c r="Q9" i="15"/>
  <c r="P9" i="15"/>
  <c r="Z8" i="15"/>
  <c r="Y8" i="15"/>
  <c r="X8" i="15"/>
  <c r="V8" i="15"/>
  <c r="U8" i="15"/>
  <c r="U7" i="15"/>
  <c r="U18" i="15"/>
  <c r="T8" i="15"/>
  <c r="S8" i="15"/>
  <c r="Q8" i="15"/>
  <c r="Q7" i="15"/>
  <c r="Q19" i="15"/>
  <c r="P8" i="15"/>
  <c r="Z7" i="15"/>
  <c r="Y7" i="15"/>
  <c r="Y18" i="15"/>
  <c r="X7" i="15"/>
  <c r="V7" i="15"/>
  <c r="T7" i="15"/>
  <c r="T19" i="15"/>
  <c r="S7" i="15"/>
  <c r="P7" i="15"/>
  <c r="L12" i="10"/>
  <c r="L13" i="10"/>
  <c r="L14" i="10"/>
  <c r="L15" i="10"/>
  <c r="L16" i="10"/>
  <c r="L17" i="10"/>
  <c r="L18" i="10"/>
  <c r="P12" i="10"/>
  <c r="P13" i="10"/>
  <c r="P14" i="10"/>
  <c r="P15" i="10"/>
  <c r="P16" i="10"/>
  <c r="P17" i="10"/>
  <c r="P18" i="10"/>
  <c r="F20" i="10"/>
  <c r="J20" i="10"/>
  <c r="N20" i="10"/>
  <c r="V20" i="10"/>
  <c r="Z20" i="10"/>
  <c r="F19" i="10"/>
  <c r="J19" i="10"/>
  <c r="N19" i="10"/>
  <c r="R19" i="10"/>
  <c r="V19" i="10"/>
  <c r="Z19" i="10"/>
  <c r="U7" i="13"/>
  <c r="U8" i="13"/>
  <c r="U9" i="13"/>
  <c r="U10" i="13"/>
  <c r="U11" i="13"/>
  <c r="U12" i="13"/>
  <c r="U13" i="13"/>
  <c r="U14" i="13"/>
  <c r="U15" i="13"/>
  <c r="U16" i="13"/>
  <c r="U17" i="13"/>
  <c r="S7" i="13"/>
  <c r="S8" i="13"/>
  <c r="S9" i="13"/>
  <c r="S10" i="13"/>
  <c r="S11" i="13"/>
  <c r="S12" i="13"/>
  <c r="S13" i="13"/>
  <c r="S14" i="13"/>
  <c r="S15" i="13"/>
  <c r="S16" i="13"/>
  <c r="S17" i="13"/>
  <c r="S19" i="13"/>
  <c r="T7" i="13"/>
  <c r="V7" i="13"/>
  <c r="X7" i="13"/>
  <c r="Y7" i="13"/>
  <c r="AA7" i="13"/>
  <c r="Q7" i="13"/>
  <c r="P7" i="13"/>
  <c r="P8" i="13"/>
  <c r="T17" i="13"/>
  <c r="V17" i="13"/>
  <c r="X17" i="13"/>
  <c r="Y17" i="13"/>
  <c r="AA17" i="13"/>
  <c r="T16" i="13"/>
  <c r="V16" i="13"/>
  <c r="X16" i="13"/>
  <c r="Y16" i="13"/>
  <c r="AA16" i="13"/>
  <c r="T15" i="13"/>
  <c r="V15" i="13"/>
  <c r="X15" i="13"/>
  <c r="Y15" i="13"/>
  <c r="AA15" i="13"/>
  <c r="T14" i="13"/>
  <c r="V14" i="13"/>
  <c r="X14" i="13"/>
  <c r="Y14" i="13"/>
  <c r="AA14" i="13"/>
  <c r="T13" i="13"/>
  <c r="V13" i="13"/>
  <c r="X13" i="13"/>
  <c r="Y13" i="13"/>
  <c r="AA13" i="13"/>
  <c r="T12" i="13"/>
  <c r="V12" i="13"/>
  <c r="X12" i="13"/>
  <c r="Y12" i="13"/>
  <c r="AA12" i="13"/>
  <c r="T11" i="13"/>
  <c r="V11" i="13"/>
  <c r="X11" i="13"/>
  <c r="Y11" i="13"/>
  <c r="Y8" i="13"/>
  <c r="Y9" i="13"/>
  <c r="Y10" i="13"/>
  <c r="Y19" i="13"/>
  <c r="AA11" i="13"/>
  <c r="T10" i="13"/>
  <c r="V10" i="13"/>
  <c r="X10" i="13"/>
  <c r="AA10" i="13"/>
  <c r="T9" i="13"/>
  <c r="V9" i="13"/>
  <c r="V8" i="13"/>
  <c r="V19" i="13"/>
  <c r="X9" i="13"/>
  <c r="AA9" i="13"/>
  <c r="T8" i="13"/>
  <c r="T19" i="13"/>
  <c r="X8" i="13"/>
  <c r="AA8" i="13"/>
  <c r="Q17" i="13"/>
  <c r="Q16" i="13"/>
  <c r="Q15" i="13"/>
  <c r="Q14" i="13"/>
  <c r="Q13" i="13"/>
  <c r="Q11" i="13"/>
  <c r="Q12" i="13"/>
  <c r="Q10" i="13"/>
  <c r="Q9" i="13"/>
  <c r="Q8" i="13"/>
  <c r="P17" i="13"/>
  <c r="P16" i="13"/>
  <c r="P15" i="13"/>
  <c r="P14" i="13"/>
  <c r="P13" i="13"/>
  <c r="P12" i="13"/>
  <c r="P11" i="13"/>
  <c r="P10" i="13"/>
  <c r="P9" i="13"/>
  <c r="M35" i="2"/>
  <c r="M20" i="2"/>
  <c r="E66" i="2"/>
  <c r="I51" i="2"/>
  <c r="E51" i="2"/>
  <c r="D21" i="2"/>
  <c r="D20" i="2"/>
  <c r="E21" i="2"/>
  <c r="P53" i="2"/>
  <c r="P54" i="2"/>
  <c r="P55" i="2"/>
  <c r="P56" i="2"/>
  <c r="P57" i="2"/>
  <c r="P58" i="2"/>
  <c r="P59" i="2"/>
  <c r="P60" i="2"/>
  <c r="P61" i="2"/>
  <c r="P62" i="2"/>
  <c r="P63" i="2"/>
  <c r="P52" i="2"/>
  <c r="P38" i="2"/>
  <c r="P39" i="2"/>
  <c r="P40" i="2"/>
  <c r="P41" i="2"/>
  <c r="P42" i="2"/>
  <c r="P43" i="2"/>
  <c r="P44" i="2"/>
  <c r="P45" i="2"/>
  <c r="P46" i="2"/>
  <c r="P47" i="2"/>
  <c r="P48" i="2"/>
  <c r="P37" i="2"/>
  <c r="E35" i="2"/>
  <c r="E36" i="2"/>
  <c r="P24" i="2"/>
  <c r="P31" i="2"/>
  <c r="P9" i="2"/>
  <c r="P13" i="2"/>
  <c r="P15" i="2"/>
  <c r="P16" i="2"/>
  <c r="E65" i="2"/>
  <c r="I50" i="2"/>
  <c r="E50" i="2"/>
  <c r="P25" i="2"/>
  <c r="P10" i="2"/>
  <c r="P30" i="2"/>
  <c r="P32" i="2"/>
  <c r="D67" i="27"/>
  <c r="D66" i="27"/>
  <c r="D65" i="27"/>
  <c r="D64" i="27"/>
  <c r="D63" i="27"/>
  <c r="W22" i="14"/>
  <c r="X22" i="14"/>
  <c r="AA17" i="14"/>
  <c r="Z17" i="14"/>
  <c r="Y17" i="14"/>
  <c r="X17" i="14"/>
  <c r="V17" i="14"/>
  <c r="U17" i="14"/>
  <c r="T17" i="14"/>
  <c r="S17" i="14"/>
  <c r="R17" i="14"/>
  <c r="Q17" i="14"/>
  <c r="P17" i="14"/>
  <c r="AA16" i="14"/>
  <c r="Z16" i="14"/>
  <c r="Y16" i="14"/>
  <c r="X16" i="14"/>
  <c r="V16" i="14"/>
  <c r="U16" i="14"/>
  <c r="T16" i="14"/>
  <c r="S16" i="14"/>
  <c r="R16" i="14"/>
  <c r="Q16" i="14"/>
  <c r="P16" i="14"/>
  <c r="AA15" i="14"/>
  <c r="Z15" i="14"/>
  <c r="Y15" i="14"/>
  <c r="X15" i="14"/>
  <c r="V15" i="14"/>
  <c r="U15" i="14"/>
  <c r="T15" i="14"/>
  <c r="S15" i="14"/>
  <c r="R15" i="14"/>
  <c r="Q15" i="14"/>
  <c r="P15" i="14"/>
  <c r="AA14" i="14"/>
  <c r="Z14" i="14"/>
  <c r="Y14" i="14"/>
  <c r="X14" i="14"/>
  <c r="V14" i="14"/>
  <c r="U14" i="14"/>
  <c r="T14" i="14"/>
  <c r="S14" i="14"/>
  <c r="R14" i="14"/>
  <c r="Q14" i="14"/>
  <c r="P14" i="14"/>
  <c r="AA13" i="14"/>
  <c r="Z13" i="14"/>
  <c r="Y13" i="14"/>
  <c r="X13" i="14"/>
  <c r="V13" i="14"/>
  <c r="U13" i="14"/>
  <c r="T13" i="14"/>
  <c r="S13" i="14"/>
  <c r="R13" i="14"/>
  <c r="Q13" i="14"/>
  <c r="P13" i="14"/>
  <c r="AA12" i="14"/>
  <c r="Z12" i="14"/>
  <c r="Y12" i="14"/>
  <c r="X12" i="14"/>
  <c r="V12" i="14"/>
  <c r="U12" i="14"/>
  <c r="T12" i="14"/>
  <c r="S12" i="14"/>
  <c r="R12" i="14"/>
  <c r="Q12" i="14"/>
  <c r="P12" i="14"/>
  <c r="AA11" i="14"/>
  <c r="Z11" i="14"/>
  <c r="Y11" i="14"/>
  <c r="X11" i="14"/>
  <c r="V11" i="14"/>
  <c r="U11" i="14"/>
  <c r="U7" i="14"/>
  <c r="U8" i="14"/>
  <c r="U9" i="14"/>
  <c r="U10" i="14"/>
  <c r="U19" i="14"/>
  <c r="T11" i="14"/>
  <c r="S11" i="14"/>
  <c r="R11" i="14"/>
  <c r="Q11" i="14"/>
  <c r="P11" i="14"/>
  <c r="AA10" i="14"/>
  <c r="Z10" i="14"/>
  <c r="Y10" i="14"/>
  <c r="X10" i="14"/>
  <c r="V10" i="14"/>
  <c r="T10" i="14"/>
  <c r="S10" i="14"/>
  <c r="R10" i="14"/>
  <c r="Q10" i="14"/>
  <c r="P10" i="14"/>
  <c r="AA9" i="14"/>
  <c r="Z9" i="14"/>
  <c r="Y9" i="14"/>
  <c r="X9" i="14"/>
  <c r="V9" i="14"/>
  <c r="T9" i="14"/>
  <c r="S9" i="14"/>
  <c r="S7" i="14"/>
  <c r="S8" i="14"/>
  <c r="S18" i="14"/>
  <c r="R9" i="14"/>
  <c r="Q9" i="14"/>
  <c r="P9" i="14"/>
  <c r="AA8" i="14"/>
  <c r="AA7" i="14"/>
  <c r="AA18" i="14"/>
  <c r="Z8" i="14"/>
  <c r="Y8" i="14"/>
  <c r="X8" i="14"/>
  <c r="V8" i="14"/>
  <c r="V7" i="14"/>
  <c r="T8" i="14"/>
  <c r="T7" i="14"/>
  <c r="R8" i="14"/>
  <c r="R7" i="14"/>
  <c r="R19" i="14"/>
  <c r="Q8" i="14"/>
  <c r="P8" i="14"/>
  <c r="Z7" i="14"/>
  <c r="Y7" i="14"/>
  <c r="X7" i="14"/>
  <c r="Q7" i="14"/>
  <c r="P7" i="14"/>
  <c r="Q19" i="14"/>
  <c r="P7" i="12"/>
  <c r="Z6" i="12"/>
  <c r="AD6" i="12"/>
  <c r="C22" i="9"/>
  <c r="N22" i="23"/>
  <c r="H12" i="19"/>
  <c r="H7" i="19"/>
  <c r="H16" i="19"/>
  <c r="B6" i="19"/>
  <c r="B7" i="19"/>
  <c r="B8" i="19"/>
  <c r="B9" i="19"/>
  <c r="B10" i="19"/>
  <c r="B11" i="19"/>
  <c r="B12" i="19"/>
  <c r="B13" i="19"/>
  <c r="B14" i="19"/>
  <c r="B15" i="19"/>
  <c r="D16" i="18"/>
  <c r="F15" i="18"/>
  <c r="G15" i="18"/>
  <c r="M7" i="12"/>
  <c r="C54" i="17"/>
  <c r="C53" i="17"/>
  <c r="C69" i="17"/>
  <c r="C68" i="17"/>
  <c r="C104" i="17"/>
  <c r="C103" i="17"/>
  <c r="C88" i="17"/>
  <c r="C87" i="17"/>
  <c r="C161" i="17"/>
  <c r="C163" i="17"/>
  <c r="C33" i="17"/>
  <c r="C35" i="17"/>
  <c r="D118" i="17"/>
  <c r="D119" i="17"/>
  <c r="E118" i="17"/>
  <c r="E119" i="17"/>
  <c r="F119" i="17"/>
  <c r="C19" i="17"/>
  <c r="C21" i="17"/>
  <c r="AA17" i="16"/>
  <c r="Z17" i="16"/>
  <c r="Y17" i="16"/>
  <c r="X17" i="16"/>
  <c r="V17" i="16"/>
  <c r="U17" i="16"/>
  <c r="T17" i="16"/>
  <c r="S17" i="16"/>
  <c r="R17" i="16"/>
  <c r="Q17" i="16"/>
  <c r="P17" i="16"/>
  <c r="AA16" i="16"/>
  <c r="Z16" i="16"/>
  <c r="Y16" i="16"/>
  <c r="X16" i="16"/>
  <c r="V16" i="16"/>
  <c r="U16" i="16"/>
  <c r="T16" i="16"/>
  <c r="S16" i="16"/>
  <c r="R16" i="16"/>
  <c r="Q16" i="16"/>
  <c r="P16" i="16"/>
  <c r="AA15" i="16"/>
  <c r="Z15" i="16"/>
  <c r="Y15" i="16"/>
  <c r="X15" i="16"/>
  <c r="V15" i="16"/>
  <c r="U15" i="16"/>
  <c r="T15" i="16"/>
  <c r="S15" i="16"/>
  <c r="R15" i="16"/>
  <c r="R7" i="16"/>
  <c r="R8" i="16"/>
  <c r="R9" i="16"/>
  <c r="R10" i="16"/>
  <c r="R11" i="16"/>
  <c r="R12" i="16"/>
  <c r="R13" i="16"/>
  <c r="R14" i="16"/>
  <c r="R19" i="16"/>
  <c r="Q15" i="16"/>
  <c r="P15" i="16"/>
  <c r="AA14" i="16"/>
  <c r="Z14" i="16"/>
  <c r="Y14" i="16"/>
  <c r="X14" i="16"/>
  <c r="V14" i="16"/>
  <c r="U14" i="16"/>
  <c r="U7" i="16"/>
  <c r="U8" i="16"/>
  <c r="U9" i="16"/>
  <c r="U10" i="16"/>
  <c r="U11" i="16"/>
  <c r="U12" i="16"/>
  <c r="U13" i="16"/>
  <c r="U18" i="16"/>
  <c r="T14" i="16"/>
  <c r="S14" i="16"/>
  <c r="Q14" i="16"/>
  <c r="Q7" i="16"/>
  <c r="Q8" i="16"/>
  <c r="Q9" i="16"/>
  <c r="Q10" i="16"/>
  <c r="Q11" i="16"/>
  <c r="Q12" i="16"/>
  <c r="Q13" i="16"/>
  <c r="Q18" i="16"/>
  <c r="P14" i="16"/>
  <c r="AA13" i="16"/>
  <c r="Z13" i="16"/>
  <c r="Y13" i="16"/>
  <c r="Y7" i="16"/>
  <c r="Y8" i="16"/>
  <c r="Y9" i="16"/>
  <c r="Y10" i="16"/>
  <c r="Y11" i="16"/>
  <c r="Y12" i="16"/>
  <c r="Y19" i="16"/>
  <c r="X13" i="16"/>
  <c r="V13" i="16"/>
  <c r="T13" i="16"/>
  <c r="T7" i="16"/>
  <c r="T8" i="16"/>
  <c r="T9" i="16"/>
  <c r="T10" i="16"/>
  <c r="T11" i="16"/>
  <c r="T12" i="16"/>
  <c r="T18" i="16"/>
  <c r="S13" i="16"/>
  <c r="P13" i="16"/>
  <c r="AA12" i="16"/>
  <c r="Z12" i="16"/>
  <c r="X12" i="16"/>
  <c r="V12" i="16"/>
  <c r="S12" i="16"/>
  <c r="P12" i="16"/>
  <c r="AA11" i="16"/>
  <c r="AA7" i="16"/>
  <c r="AA8" i="16"/>
  <c r="AA9" i="16"/>
  <c r="AA10" i="16"/>
  <c r="AA18" i="16"/>
  <c r="Z11" i="16"/>
  <c r="X11" i="16"/>
  <c r="X7" i="16"/>
  <c r="X8" i="16"/>
  <c r="X9" i="16"/>
  <c r="X10" i="16"/>
  <c r="X22" i="16"/>
  <c r="V11" i="16"/>
  <c r="S11" i="16"/>
  <c r="P11" i="16"/>
  <c r="Z10" i="16"/>
  <c r="V10" i="16"/>
  <c r="S10" i="16"/>
  <c r="P10" i="16"/>
  <c r="Z9" i="16"/>
  <c r="V9" i="16"/>
  <c r="S9" i="16"/>
  <c r="P9" i="16"/>
  <c r="Z8" i="16"/>
  <c r="V8" i="16"/>
  <c r="S8" i="16"/>
  <c r="Q19" i="16"/>
  <c r="P8" i="16"/>
  <c r="Z7" i="16"/>
  <c r="Z19" i="16"/>
  <c r="V7" i="16"/>
  <c r="S7" i="16"/>
  <c r="P7" i="16"/>
  <c r="G22" i="8"/>
  <c r="I22" i="8"/>
  <c r="D22" i="8"/>
  <c r="F24" i="8"/>
  <c r="R22" i="8"/>
  <c r="S21" i="8"/>
  <c r="R21" i="8"/>
  <c r="E20" i="9"/>
  <c r="C20" i="9"/>
  <c r="C19" i="9"/>
  <c r="C21" i="9"/>
  <c r="E19" i="9"/>
  <c r="K47" i="24"/>
  <c r="L47" i="24"/>
  <c r="K48" i="24"/>
  <c r="R47" i="24"/>
  <c r="I22" i="24"/>
  <c r="K22" i="24"/>
  <c r="E22" i="24"/>
  <c r="C164" i="17"/>
  <c r="C165" i="17"/>
  <c r="E38" i="17"/>
  <c r="E24" i="17"/>
  <c r="C108" i="17"/>
  <c r="I87" i="17"/>
  <c r="C125" i="17"/>
  <c r="C123" i="17"/>
  <c r="C115" i="17"/>
  <c r="G118" i="17"/>
  <c r="D145" i="17"/>
  <c r="C128" i="17"/>
  <c r="C112" i="17"/>
  <c r="C117" i="17"/>
  <c r="C126" i="17"/>
  <c r="C110" i="17"/>
  <c r="D20" i="7"/>
  <c r="E23" i="7"/>
  <c r="U19" i="7"/>
  <c r="I7" i="7"/>
  <c r="I8" i="7"/>
  <c r="I9" i="7"/>
  <c r="I10" i="7"/>
  <c r="I11" i="7"/>
  <c r="I12" i="7"/>
  <c r="I13" i="7"/>
  <c r="I14" i="7"/>
  <c r="I15" i="7"/>
  <c r="I16" i="7"/>
  <c r="I17" i="7"/>
  <c r="I6" i="7"/>
  <c r="P19" i="7"/>
  <c r="T19" i="7"/>
  <c r="V19" i="7"/>
  <c r="W19" i="7"/>
  <c r="D19" i="7"/>
  <c r="G19" i="7"/>
  <c r="C29" i="17"/>
  <c r="S18" i="16"/>
  <c r="C12" i="17"/>
  <c r="P8" i="2"/>
  <c r="AA19" i="13"/>
  <c r="F118" i="17"/>
  <c r="Q18" i="14"/>
  <c r="U18" i="14"/>
  <c r="S19" i="14"/>
  <c r="P17" i="2"/>
  <c r="P26" i="2"/>
  <c r="AA19" i="15"/>
  <c r="C124" i="17"/>
  <c r="P28" i="2"/>
  <c r="P23" i="2"/>
  <c r="U19" i="15"/>
  <c r="I19" i="7"/>
  <c r="V19" i="16"/>
  <c r="Q18" i="13"/>
  <c r="V18" i="13"/>
  <c r="H19" i="10"/>
  <c r="V19" i="14"/>
  <c r="V18" i="14"/>
  <c r="AA18" i="13"/>
  <c r="Y18" i="13"/>
  <c r="U19" i="13"/>
  <c r="T19" i="10"/>
  <c r="P20" i="10"/>
  <c r="I24" i="24"/>
  <c r="O21" i="24"/>
  <c r="X19" i="14"/>
  <c r="O7" i="12"/>
  <c r="T19" i="14"/>
  <c r="P50" i="2"/>
  <c r="P65" i="2"/>
  <c r="T18" i="13"/>
  <c r="T18" i="15"/>
  <c r="Y20" i="15"/>
  <c r="Y19" i="15"/>
  <c r="R19" i="15"/>
  <c r="AA11" i="23"/>
  <c r="C14" i="17"/>
  <c r="C15" i="17"/>
  <c r="F20" i="7"/>
  <c r="P10" i="12"/>
  <c r="C127" i="17"/>
  <c r="D20" i="9"/>
  <c r="N10" i="12"/>
  <c r="N11" i="12"/>
  <c r="C32" i="17"/>
  <c r="AK11" i="23"/>
  <c r="G22" i="10"/>
  <c r="F13" i="12"/>
  <c r="C111" i="17"/>
  <c r="M11" i="12"/>
  <c r="I11" i="12"/>
  <c r="F66" i="2"/>
  <c r="J10" i="12"/>
  <c r="J11" i="12"/>
  <c r="I103" i="17"/>
  <c r="L20" i="10"/>
  <c r="L19" i="10"/>
  <c r="K22" i="10"/>
  <c r="H13" i="12"/>
  <c r="Y20" i="13"/>
  <c r="R19" i="13"/>
  <c r="Z18" i="13"/>
  <c r="Z19" i="13"/>
  <c r="M24" i="24"/>
  <c r="M22" i="24"/>
  <c r="G38" i="17"/>
  <c r="G39" i="17"/>
  <c r="W22" i="16"/>
  <c r="W23" i="16"/>
  <c r="F7" i="12"/>
  <c r="D7" i="12"/>
  <c r="G103" i="17"/>
  <c r="Y18" i="16"/>
  <c r="H7" i="12"/>
  <c r="P19" i="10"/>
  <c r="O22" i="10"/>
  <c r="J13" i="12"/>
  <c r="X18" i="16"/>
  <c r="N7" i="12"/>
  <c r="Z18" i="14"/>
  <c r="Z19" i="14"/>
  <c r="Z18" i="15"/>
  <c r="Z19" i="15"/>
  <c r="V19" i="15"/>
  <c r="V18" i="15"/>
  <c r="S18" i="15"/>
  <c r="S20" i="15"/>
  <c r="S19" i="15"/>
  <c r="X19" i="15"/>
  <c r="X18" i="15"/>
  <c r="X19" i="13"/>
  <c r="X18" i="13"/>
  <c r="X19" i="10"/>
  <c r="X20" i="10"/>
  <c r="R18" i="16"/>
  <c r="S20" i="16"/>
  <c r="S19" i="16"/>
  <c r="Y19" i="14"/>
  <c r="Y18" i="14"/>
  <c r="Q19" i="13"/>
  <c r="S18" i="13"/>
  <c r="U18" i="13"/>
  <c r="U20" i="13"/>
  <c r="Q18" i="15"/>
  <c r="M62" i="17"/>
  <c r="I68" i="17"/>
  <c r="G69" i="17"/>
  <c r="P14" i="2"/>
  <c r="Y7" i="12"/>
  <c r="U20" i="7"/>
  <c r="U21" i="7"/>
  <c r="V18" i="16"/>
  <c r="AA19" i="16"/>
  <c r="X19" i="16"/>
  <c r="R18" i="14"/>
  <c r="S20" i="14"/>
  <c r="T18" i="14"/>
  <c r="C130" i="17"/>
  <c r="C28" i="17"/>
  <c r="T19" i="16"/>
  <c r="U19" i="16"/>
  <c r="AA19" i="14"/>
  <c r="Z18" i="16"/>
  <c r="G119" i="17"/>
  <c r="X18" i="14"/>
  <c r="I14" i="22"/>
  <c r="P12" i="2"/>
  <c r="D146" i="17"/>
  <c r="D147" i="17"/>
  <c r="P27" i="2"/>
  <c r="P35" i="2"/>
  <c r="D41" i="27"/>
  <c r="F66" i="27"/>
  <c r="I17" i="22"/>
  <c r="F67" i="27"/>
  <c r="I18" i="22"/>
  <c r="I15" i="22"/>
  <c r="H21" i="2"/>
  <c r="Q20" i="2"/>
  <c r="S22" i="10"/>
  <c r="N13" i="12"/>
  <c r="D148" i="17"/>
  <c r="I147" i="17"/>
  <c r="H88" i="17"/>
  <c r="P16" i="12"/>
  <c r="C129" i="17"/>
  <c r="I53" i="17"/>
  <c r="G11" i="12"/>
  <c r="F51" i="2"/>
  <c r="H10" i="12"/>
  <c r="H11" i="12"/>
  <c r="C34" i="17"/>
  <c r="G87" i="17"/>
  <c r="G88" i="17"/>
  <c r="L6" i="12"/>
  <c r="R6" i="12"/>
  <c r="J7" i="12"/>
  <c r="L7" i="12"/>
  <c r="R7" i="12"/>
  <c r="C27" i="17"/>
  <c r="H35" i="2"/>
  <c r="H36" i="2"/>
  <c r="C16" i="17"/>
  <c r="I16" i="22"/>
  <c r="C116" i="17"/>
  <c r="W22" i="10"/>
  <c r="P13" i="12"/>
  <c r="Y20" i="16"/>
  <c r="AD12" i="12"/>
  <c r="W20" i="16"/>
  <c r="W21" i="16"/>
  <c r="H104" i="17"/>
  <c r="N16" i="12"/>
  <c r="D60" i="22"/>
  <c r="P49" i="22"/>
  <c r="H49" i="22"/>
  <c r="L49" i="22"/>
  <c r="D49" i="22"/>
  <c r="E18" i="19"/>
  <c r="C18" i="19"/>
  <c r="W24" i="14"/>
  <c r="X23" i="14"/>
  <c r="W25" i="14"/>
  <c r="W28" i="14"/>
  <c r="W29" i="14"/>
  <c r="W20" i="14"/>
  <c r="W23" i="14"/>
  <c r="C17" i="17"/>
  <c r="C20" i="17"/>
  <c r="Y6" i="12"/>
  <c r="AC6" i="12"/>
  <c r="L20" i="2"/>
  <c r="S20" i="13"/>
  <c r="H69" i="17"/>
  <c r="J16" i="12"/>
  <c r="G104" i="17"/>
  <c r="C30" i="17"/>
  <c r="C122" i="17"/>
  <c r="L35" i="2"/>
  <c r="P20" i="2"/>
  <c r="X28" i="14"/>
  <c r="X29" i="14"/>
  <c r="G53" i="17"/>
  <c r="Y20" i="14"/>
  <c r="W20" i="15"/>
  <c r="D18" i="19"/>
  <c r="W21" i="13"/>
  <c r="G24" i="17"/>
  <c r="G25" i="17"/>
  <c r="H53" i="22"/>
  <c r="P53" i="22"/>
  <c r="L53" i="22"/>
  <c r="D53" i="22"/>
  <c r="D50" i="22"/>
  <c r="L50" i="22"/>
  <c r="P50" i="22"/>
  <c r="H50" i="22"/>
  <c r="C11" i="12"/>
  <c r="K21" i="2"/>
  <c r="D10" i="12"/>
  <c r="D11" i="12"/>
  <c r="H51" i="22"/>
  <c r="P51" i="22"/>
  <c r="L51" i="22"/>
  <c r="D51" i="22"/>
  <c r="D20" i="10"/>
  <c r="D19" i="10"/>
  <c r="L21" i="2"/>
  <c r="Q35" i="2"/>
  <c r="L36" i="2"/>
  <c r="H54" i="17"/>
  <c r="H16" i="12"/>
  <c r="T12" i="12"/>
  <c r="O21" i="2"/>
  <c r="T11" i="12"/>
  <c r="G54" i="17"/>
  <c r="I153" i="17"/>
  <c r="Y9" i="12"/>
  <c r="Z9" i="12"/>
  <c r="O36" i="2"/>
  <c r="V11" i="12"/>
  <c r="C118" i="17"/>
  <c r="I118" i="17"/>
  <c r="C119" i="17"/>
  <c r="C24" i="17"/>
  <c r="I24" i="17"/>
  <c r="C25" i="17"/>
  <c r="H25" i="17"/>
  <c r="D16" i="12"/>
  <c r="C39" i="17"/>
  <c r="C38" i="17"/>
  <c r="H39" i="17"/>
  <c r="F16" i="12"/>
  <c r="I38" i="17"/>
  <c r="K36" i="2"/>
  <c r="F10" i="12"/>
  <c r="F11" i="12"/>
  <c r="O24" i="24"/>
  <c r="E7" i="12"/>
  <c r="I7" i="12"/>
  <c r="AD9" i="12"/>
  <c r="G7" i="12"/>
  <c r="V12" i="12"/>
  <c r="E19" i="10"/>
  <c r="C7" i="12"/>
  <c r="K7" i="12"/>
  <c r="Q7" i="12"/>
  <c r="K6" i="12"/>
  <c r="Q6" i="12"/>
  <c r="H119" i="17"/>
  <c r="AC9" i="12"/>
  <c r="Z11" i="12"/>
  <c r="K9" i="12"/>
  <c r="Q9" i="12"/>
  <c r="H27" i="24"/>
  <c r="T17" i="12"/>
  <c r="L9" i="12"/>
  <c r="R9" i="12"/>
  <c r="AD19" i="12"/>
  <c r="AC12" i="12"/>
  <c r="AC19" i="12"/>
  <c r="C22" i="10"/>
  <c r="D13" i="12"/>
  <c r="E11" i="12"/>
  <c r="AD17" i="12"/>
  <c r="V17" i="12"/>
  <c r="Z16" i="12"/>
  <c r="F27" i="24"/>
  <c r="J27" i="24"/>
  <c r="L27" i="24"/>
  <c r="AE9" i="12"/>
  <c r="Q11" i="23"/>
  <c r="AE19" i="12"/>
  <c r="AE15" i="12"/>
  <c r="AC17" i="12"/>
  <c r="J20" i="29"/>
  <c r="C18" i="29"/>
  <c r="D18" i="29"/>
  <c r="H6" i="23"/>
  <c r="R6" i="23"/>
  <c r="T6" i="23"/>
  <c r="V6" i="23"/>
  <c r="H17" i="29"/>
  <c r="AI11" i="23"/>
  <c r="Y11" i="23"/>
  <c r="N20" i="22"/>
  <c r="D36" i="22"/>
  <c r="AW9" i="23"/>
  <c r="AY9" i="23"/>
  <c r="P20" i="29"/>
  <c r="AR9" i="23"/>
  <c r="AX9" i="23"/>
  <c r="AZ9" i="23"/>
  <c r="Q20" i="29"/>
  <c r="D10" i="23"/>
  <c r="N28" i="29"/>
  <c r="O28" i="29"/>
  <c r="N30" i="29"/>
  <c r="O30" i="29"/>
  <c r="N33" i="29"/>
  <c r="Y18" i="29"/>
  <c r="S17" i="29"/>
  <c r="F36" i="22"/>
  <c r="G36" i="22"/>
  <c r="S21" i="29"/>
  <c r="U21" i="29"/>
  <c r="W21" i="29"/>
  <c r="Y21" i="29"/>
  <c r="N22" i="22"/>
  <c r="O24" i="22"/>
  <c r="B30" i="22"/>
  <c r="O30" i="22"/>
  <c r="N31" i="29"/>
  <c r="O31" i="29"/>
  <c r="S18" i="29"/>
  <c r="T18" i="29"/>
  <c r="Z18" i="29"/>
  <c r="S20" i="29"/>
  <c r="U17" i="29"/>
  <c r="V17" i="29"/>
  <c r="V21" i="29"/>
  <c r="AV10" i="23"/>
  <c r="Z21" i="12"/>
  <c r="AD21" i="12"/>
  <c r="AR6" i="23"/>
  <c r="G35" i="22"/>
  <c r="K33" i="29"/>
  <c r="E30" i="22"/>
  <c r="E29" i="22"/>
  <c r="H33" i="22"/>
  <c r="K31" i="29"/>
  <c r="E33" i="22"/>
  <c r="K29" i="29"/>
  <c r="O32" i="22"/>
  <c r="B36" i="22"/>
  <c r="F12" i="23"/>
  <c r="W11" i="23"/>
  <c r="C20" i="29"/>
  <c r="D20" i="29"/>
  <c r="G20" i="29"/>
  <c r="H20" i="29"/>
  <c r="M20" i="29"/>
  <c r="N20" i="29"/>
  <c r="G19" i="29"/>
  <c r="H19" i="29"/>
  <c r="M19" i="29"/>
  <c r="N19" i="29"/>
  <c r="C19" i="29"/>
  <c r="D19" i="29"/>
  <c r="C11" i="23"/>
  <c r="M11" i="23"/>
  <c r="C15" i="22"/>
  <c r="G18" i="29"/>
  <c r="H18" i="29"/>
  <c r="K32" i="29"/>
  <c r="B29" i="22"/>
  <c r="B31" i="22"/>
  <c r="O31" i="22"/>
  <c r="J30" i="29"/>
  <c r="P30" i="29"/>
  <c r="K28" i="29"/>
  <c r="P28" i="29"/>
  <c r="M29" i="29"/>
  <c r="E35" i="22"/>
  <c r="E36" i="22"/>
  <c r="O11" i="23"/>
  <c r="D32" i="22"/>
  <c r="H32" i="22"/>
  <c r="P33" i="29"/>
  <c r="P10" i="23"/>
  <c r="M31" i="29"/>
  <c r="Z10" i="23"/>
  <c r="M33" i="29"/>
  <c r="D34" i="22"/>
  <c r="E34" i="22"/>
  <c r="E31" i="22"/>
  <c r="M30" i="29"/>
  <c r="M28" i="29"/>
  <c r="AD6" i="23"/>
  <c r="AF6" i="23"/>
  <c r="H31" i="22"/>
  <c r="P31" i="22"/>
  <c r="P32" i="29"/>
  <c r="G34" i="22"/>
  <c r="O33" i="29"/>
  <c r="M21" i="29"/>
  <c r="AD10" i="23"/>
  <c r="AF10" i="23"/>
  <c r="N21" i="29"/>
  <c r="F30" i="22"/>
  <c r="X21" i="29"/>
  <c r="H10" i="23"/>
  <c r="J10" i="23"/>
  <c r="L10" i="23"/>
  <c r="G11" i="23"/>
  <c r="G33" i="22"/>
  <c r="G29" i="22"/>
  <c r="J6" i="23"/>
  <c r="L6" i="23"/>
  <c r="O32" i="29"/>
  <c r="M17" i="29"/>
  <c r="D52" i="22"/>
  <c r="P52" i="22"/>
  <c r="I61" i="22"/>
  <c r="L52" i="22"/>
  <c r="H52" i="22"/>
  <c r="K20" i="29"/>
  <c r="L14" i="29"/>
  <c r="AM13" i="23"/>
  <c r="AM12" i="23"/>
  <c r="G31" i="22"/>
  <c r="AT10" i="23"/>
  <c r="AT6" i="23"/>
  <c r="AX6" i="23"/>
  <c r="AR10" i="23"/>
  <c r="AE11" i="23"/>
  <c r="F14" i="23"/>
  <c r="F13" i="23"/>
  <c r="AC11" i="23"/>
  <c r="H36" i="22"/>
  <c r="G52" i="22"/>
  <c r="K52" i="22"/>
  <c r="F17" i="22"/>
  <c r="E23" i="22"/>
  <c r="O52" i="22"/>
  <c r="C52" i="22"/>
  <c r="I52" i="22"/>
  <c r="E52" i="22"/>
  <c r="E49" i="22"/>
  <c r="E50" i="22"/>
  <c r="E51" i="22"/>
  <c r="E53" i="22"/>
  <c r="E54" i="22"/>
  <c r="M52" i="22"/>
  <c r="L17" i="22"/>
  <c r="Q52" i="22"/>
  <c r="K23" i="22"/>
  <c r="B52" i="22"/>
  <c r="C16" i="22"/>
  <c r="N51" i="22"/>
  <c r="F51" i="22"/>
  <c r="B51" i="22"/>
  <c r="B22" i="22"/>
  <c r="K22" i="22"/>
  <c r="I51" i="22"/>
  <c r="M51" i="22"/>
  <c r="Q51" i="22"/>
  <c r="L16" i="22"/>
  <c r="K51" i="22"/>
  <c r="O51" i="22"/>
  <c r="O49" i="22"/>
  <c r="O50" i="22"/>
  <c r="O53" i="22"/>
  <c r="O54" i="22"/>
  <c r="C51" i="22"/>
  <c r="G51" i="22"/>
  <c r="F16" i="22"/>
  <c r="E22" i="22"/>
  <c r="O55" i="22"/>
  <c r="E21" i="22"/>
  <c r="M18" i="29"/>
  <c r="N18" i="29"/>
  <c r="J61" i="22"/>
  <c r="B21" i="22"/>
  <c r="B50" i="22"/>
  <c r="N50" i="22"/>
  <c r="F50" i="22"/>
  <c r="K30" i="29"/>
  <c r="C31" i="22"/>
  <c r="H29" i="22"/>
  <c r="O29" i="22"/>
  <c r="C29" i="22"/>
  <c r="I11" i="23"/>
  <c r="T10" i="23"/>
  <c r="V10" i="23"/>
  <c r="P32" i="22"/>
  <c r="L18" i="22"/>
  <c r="P34" i="22"/>
  <c r="I53" i="22"/>
  <c r="K24" i="22"/>
  <c r="G30" i="22"/>
  <c r="H30" i="22"/>
  <c r="S11" i="23"/>
  <c r="O29" i="29"/>
  <c r="F14" i="22"/>
  <c r="G49" i="22"/>
  <c r="K49" i="22"/>
  <c r="C49" i="22"/>
  <c r="E20" i="22"/>
  <c r="E24" i="22"/>
  <c r="E25" i="22"/>
  <c r="M49" i="22"/>
  <c r="M50" i="22"/>
  <c r="M54" i="22"/>
  <c r="Q49" i="22"/>
  <c r="E55" i="22"/>
  <c r="N17" i="29"/>
  <c r="L54" i="22"/>
  <c r="L55" i="22"/>
  <c r="L56" i="22"/>
  <c r="P56" i="22"/>
  <c r="P54" i="22"/>
  <c r="P55" i="22"/>
  <c r="H54" i="22"/>
  <c r="H55" i="22"/>
  <c r="H56" i="22"/>
  <c r="D56" i="22"/>
  <c r="D54" i="22"/>
  <c r="D55" i="22"/>
  <c r="AX10" i="23"/>
  <c r="C21" i="29"/>
  <c r="D21" i="29"/>
  <c r="I50" i="22"/>
  <c r="Q50" i="22"/>
  <c r="K21" i="22"/>
  <c r="L15" i="22"/>
  <c r="C17" i="29"/>
  <c r="F14" i="29"/>
  <c r="G21" i="29"/>
  <c r="U11" i="23"/>
  <c r="E56" i="22"/>
  <c r="G61" i="22"/>
  <c r="B53" i="22"/>
  <c r="N53" i="22"/>
  <c r="B24" i="22"/>
  <c r="C18" i="22"/>
  <c r="F53" i="22"/>
  <c r="D17" i="29"/>
  <c r="J56" i="22"/>
  <c r="N49" i="22"/>
  <c r="F49" i="22"/>
  <c r="B60" i="22"/>
  <c r="B49" i="22"/>
  <c r="B55" i="22"/>
  <c r="C14" i="22"/>
  <c r="B20" i="22"/>
  <c r="P23" i="23"/>
  <c r="F18" i="22"/>
  <c r="C53" i="22"/>
  <c r="G53" i="22"/>
  <c r="K53" i="22"/>
  <c r="H21" i="29"/>
  <c r="B56" i="22"/>
  <c r="B35" i="25"/>
  <c r="B36" i="25"/>
  <c r="B28" i="25"/>
  <c r="O15" i="23"/>
  <c r="C35" i="25"/>
  <c r="Q53" i="22"/>
  <c r="Q55" i="22"/>
  <c r="M56" i="22"/>
  <c r="M55" i="22"/>
  <c r="K50" i="22"/>
  <c r="K55" i="22"/>
  <c r="J55" i="22"/>
  <c r="I14" i="29"/>
  <c r="Q56" i="22"/>
  <c r="O14" i="29"/>
  <c r="E32" i="22"/>
  <c r="N52" i="22"/>
  <c r="N56" i="22"/>
  <c r="F52" i="22"/>
  <c r="F54" i="22"/>
  <c r="P31" i="29"/>
  <c r="C34" i="22"/>
  <c r="K56" i="22"/>
  <c r="O56" i="22"/>
  <c r="B54" i="22"/>
  <c r="H61" i="22"/>
  <c r="E60" i="22"/>
  <c r="K20" i="22"/>
  <c r="K25" i="22"/>
  <c r="Q54" i="22"/>
  <c r="H34" i="22"/>
  <c r="C50" i="22"/>
  <c r="G50" i="22"/>
  <c r="B23" i="22"/>
  <c r="B25" i="22"/>
  <c r="C20" i="22"/>
  <c r="C17" i="22"/>
  <c r="C30" i="22"/>
  <c r="C33" i="22"/>
  <c r="F15" i="22"/>
  <c r="Y17" i="29"/>
  <c r="G66" i="22"/>
  <c r="M11" i="22"/>
  <c r="I49" i="22"/>
  <c r="L14" i="22"/>
  <c r="K54" i="22"/>
  <c r="AZ19" i="23"/>
  <c r="AZ10" i="23"/>
  <c r="Q21" i="29"/>
  <c r="Q18" i="29"/>
  <c r="AY6" i="23"/>
  <c r="P17" i="29"/>
  <c r="AZ15" i="23"/>
  <c r="AZ6" i="23"/>
  <c r="AN7" i="23"/>
  <c r="AP7" i="23"/>
  <c r="O15" i="22"/>
  <c r="N16" i="22"/>
  <c r="Q16" i="22"/>
  <c r="Y19" i="29"/>
  <c r="AH10" i="23"/>
  <c r="T21" i="29"/>
  <c r="Z21" i="29"/>
  <c r="N17" i="22"/>
  <c r="Q17" i="22"/>
  <c r="S19" i="29"/>
  <c r="AH9" i="23"/>
  <c r="AH6" i="23"/>
  <c r="T17" i="29"/>
  <c r="Z17" i="29"/>
  <c r="AH8" i="23"/>
  <c r="P22" i="23"/>
  <c r="P18" i="23"/>
  <c r="C26" i="22"/>
  <c r="G26" i="22"/>
  <c r="E26" i="22"/>
  <c r="G56" i="22"/>
  <c r="G55" i="22"/>
  <c r="G54" i="22"/>
  <c r="I55" i="22"/>
  <c r="I54" i="22"/>
  <c r="I56" i="22"/>
  <c r="C56" i="22"/>
  <c r="C55" i="22"/>
  <c r="C54" i="22"/>
  <c r="N54" i="22"/>
  <c r="F55" i="22"/>
  <c r="F56" i="22"/>
  <c r="N55" i="22"/>
  <c r="Q17" i="29"/>
  <c r="R14" i="29"/>
  <c r="C35" i="22"/>
  <c r="T19" i="29"/>
  <c r="Z19" i="29"/>
  <c r="AO11" i="23"/>
  <c r="AN8" i="23"/>
  <c r="AP8" i="23"/>
  <c r="O16" i="22"/>
  <c r="AN9" i="23"/>
  <c r="AP9" i="23"/>
  <c r="O17" i="22"/>
  <c r="AN10" i="23"/>
  <c r="AP10" i="23"/>
  <c r="O18" i="22"/>
  <c r="C36" i="22"/>
  <c r="AN6" i="23"/>
  <c r="AP6" i="23"/>
  <c r="T20" i="29"/>
  <c r="Z20" i="29"/>
  <c r="O14" i="22"/>
  <c r="Q14" i="22"/>
  <c r="P1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Alon Shepon</author>
    <author>User</author>
  </authors>
  <commentList>
    <comment ref="N13" authorId="0" shapeId="0" xr:uid="{00000000-0006-0000-0200-000001000000}">
      <text>
        <r>
          <rPr>
            <b/>
            <sz val="9"/>
            <color indexed="81"/>
            <rFont val="Tahoma"/>
            <family val="2"/>
          </rPr>
          <t>Alon Shepon:</t>
        </r>
        <r>
          <rPr>
            <sz val="9"/>
            <color indexed="81"/>
            <rFont val="Tahoma"/>
            <family val="2"/>
          </rPr>
          <t xml:space="preserve">
including byproducts</t>
        </r>
      </text>
    </comment>
    <comment ref="P14" authorId="1" shapeId="0" xr:uid="{00000000-0006-0000-0200-000002000000}">
      <text>
        <r>
          <rPr>
            <b/>
            <sz val="9"/>
            <color indexed="81"/>
            <rFont val="Tahoma"/>
            <family val="2"/>
          </rPr>
          <t>User:</t>
        </r>
        <r>
          <rPr>
            <sz val="9"/>
            <color indexed="81"/>
            <rFont val="Tahoma"/>
            <family val="2"/>
          </rPr>
          <t xml:space="preserve">
Plettier result: 5.1%</t>
        </r>
      </text>
    </comment>
    <comment ref="N16" authorId="0" shapeId="0" xr:uid="{00000000-0006-0000-0200-000003000000}">
      <text>
        <r>
          <rPr>
            <b/>
            <sz val="9"/>
            <color indexed="81"/>
            <rFont val="Tahoma"/>
            <family val="2"/>
          </rPr>
          <t>Alon Shepon:</t>
        </r>
        <r>
          <rPr>
            <sz val="9"/>
            <color indexed="81"/>
            <rFont val="Tahoma"/>
            <family val="2"/>
          </rPr>
          <t xml:space="preserve">
Plettier result: 7%</t>
        </r>
      </text>
    </comment>
    <comment ref="N20" authorId="0" shapeId="0" xr:uid="{00000000-0006-0000-0200-000004000000}">
      <text>
        <r>
          <rPr>
            <b/>
            <sz val="9"/>
            <color indexed="81"/>
            <rFont val="Tahoma"/>
            <family val="2"/>
          </rPr>
          <t>Alon Shepon:</t>
        </r>
        <r>
          <rPr>
            <sz val="9"/>
            <color indexed="81"/>
            <rFont val="Tahoma"/>
            <family val="2"/>
          </rPr>
          <t xml:space="preserve">
Plettier result: 5.1%</t>
        </r>
      </text>
    </comment>
    <comment ref="O20" authorId="0" shapeId="0" xr:uid="{00000000-0006-0000-0200-000005000000}">
      <text>
        <r>
          <rPr>
            <b/>
            <sz val="9"/>
            <color indexed="81"/>
            <rFont val="Tahoma"/>
            <family val="2"/>
          </rPr>
          <t>Alon Shepon:</t>
        </r>
        <r>
          <rPr>
            <sz val="9"/>
            <color indexed="81"/>
            <rFont val="Tahoma"/>
            <family val="2"/>
          </rPr>
          <t xml:space="preserve">
Plettier result: 5.1%</t>
        </r>
      </text>
    </comment>
    <comment ref="P20" authorId="0" shapeId="0" xr:uid="{00000000-0006-0000-0200-000006000000}">
      <text>
        <r>
          <rPr>
            <b/>
            <sz val="9"/>
            <color indexed="81"/>
            <rFont val="Tahoma"/>
            <family val="2"/>
          </rPr>
          <t>Alon Shepon:</t>
        </r>
        <r>
          <rPr>
            <sz val="9"/>
            <color indexed="81"/>
            <rFont val="Tahoma"/>
            <family val="2"/>
          </rPr>
          <t xml:space="preserve">
Plettier result: 5.1%</t>
        </r>
      </text>
    </comment>
    <comment ref="N22" authorId="0" shapeId="0" xr:uid="{00000000-0006-0000-0200-000007000000}">
      <text>
        <r>
          <rPr>
            <b/>
            <sz val="9"/>
            <color indexed="81"/>
            <rFont val="Tahoma"/>
            <family val="2"/>
          </rPr>
          <t>Alon Shepon:</t>
        </r>
        <r>
          <rPr>
            <sz val="9"/>
            <color indexed="81"/>
            <rFont val="Tahoma"/>
            <family val="2"/>
          </rPr>
          <t xml:space="preserve">
Plettier result: 7%</t>
        </r>
      </text>
    </comment>
    <comment ref="O22" authorId="0" shapeId="0" xr:uid="{00000000-0006-0000-0200-000008000000}">
      <text>
        <r>
          <rPr>
            <b/>
            <sz val="9"/>
            <color indexed="81"/>
            <rFont val="Tahoma"/>
            <family val="2"/>
          </rPr>
          <t>Alon Shepon:</t>
        </r>
        <r>
          <rPr>
            <sz val="9"/>
            <color indexed="81"/>
            <rFont val="Tahoma"/>
            <family val="2"/>
          </rPr>
          <t xml:space="preserve">
Plettier result: 7%</t>
        </r>
      </text>
    </comment>
    <comment ref="P22" authorId="0" shapeId="0" xr:uid="{00000000-0006-0000-0200-000009000000}">
      <text>
        <r>
          <rPr>
            <b/>
            <sz val="9"/>
            <color indexed="81"/>
            <rFont val="Tahoma"/>
            <family val="2"/>
          </rPr>
          <t>Alon Shepon:</t>
        </r>
        <r>
          <rPr>
            <sz val="9"/>
            <color indexed="81"/>
            <rFont val="Tahoma"/>
            <family val="2"/>
          </rPr>
          <t xml:space="preserve">
Plettier result: 7%</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tamara</author>
    <author>Alon Shepon</author>
  </authors>
  <commentList>
    <comment ref="I6" authorId="0" shapeId="0" xr:uid="{00000000-0006-0000-0B00-000001000000}">
      <text>
        <r>
          <rPr>
            <b/>
            <sz val="9"/>
            <color indexed="81"/>
            <rFont val="Tahoma"/>
            <family val="2"/>
          </rPr>
          <t>tamara:</t>
        </r>
        <r>
          <rPr>
            <sz val="9"/>
            <color indexed="81"/>
            <rFont val="Tahoma"/>
            <family val="2"/>
          </rPr>
          <t xml:space="preserve">
corn silage - agristatistics table 1-35
sorghum silage - argistats table 1-62</t>
        </r>
      </text>
    </comment>
    <comment ref="J6" authorId="0" shapeId="0" xr:uid="{00000000-0006-0000-0B00-000002000000}">
      <text>
        <r>
          <rPr>
            <b/>
            <sz val="9"/>
            <color indexed="81"/>
            <rFont val="Tahoma"/>
            <family val="2"/>
          </rPr>
          <t>tamara:</t>
        </r>
        <r>
          <rPr>
            <sz val="9"/>
            <color indexed="81"/>
            <rFont val="Tahoma"/>
            <family val="2"/>
          </rPr>
          <t xml:space="preserve">
corn silage - agristatistics table 1-35
sorghum silage - argistats table 1-62</t>
        </r>
      </text>
    </comment>
    <comment ref="M6" authorId="0" shapeId="0" xr:uid="{00000000-0006-0000-0B00-000003000000}">
      <text>
        <r>
          <rPr>
            <b/>
            <sz val="9"/>
            <color indexed="81"/>
            <rFont val="Tahoma"/>
            <family val="2"/>
          </rPr>
          <t>tamara:</t>
        </r>
        <r>
          <rPr>
            <sz val="9"/>
            <color indexed="81"/>
            <rFont val="Tahoma"/>
            <family val="2"/>
          </rPr>
          <t xml:space="preserve">
corn silage - agristatistics table 1-35
sorghum silage - argistats table 1-62</t>
        </r>
      </text>
    </comment>
    <comment ref="N6" authorId="0" shapeId="0" xr:uid="{00000000-0006-0000-0B00-000004000000}">
      <text>
        <r>
          <rPr>
            <b/>
            <sz val="9"/>
            <color indexed="81"/>
            <rFont val="Tahoma"/>
            <family val="2"/>
          </rPr>
          <t>tamara:</t>
        </r>
        <r>
          <rPr>
            <sz val="9"/>
            <color indexed="81"/>
            <rFont val="Tahoma"/>
            <family val="2"/>
          </rPr>
          <t xml:space="preserve">
corn silage - agristatistics table 1-35
sorghum silage - argistats table 1-62</t>
        </r>
      </text>
    </comment>
    <comment ref="H21" authorId="1" shapeId="0" xr:uid="{00000000-0006-0000-0B00-000005000000}">
      <text>
        <r>
          <rPr>
            <b/>
            <sz val="9"/>
            <color indexed="81"/>
            <rFont val="Tahoma"/>
            <family val="2"/>
          </rPr>
          <t>Alon Shepon:</t>
        </r>
        <r>
          <rPr>
            <sz val="9"/>
            <color indexed="81"/>
            <rFont val="Tahoma"/>
            <family val="2"/>
          </rPr>
          <t xml:space="preserve">
based on the simplified equation =
PlantedAcreageAll*HarvestedGRain/HarvestedAll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tamara</author>
  </authors>
  <commentList>
    <comment ref="S15" authorId="0" shapeId="0" xr:uid="{00000000-0006-0000-0C00-000001000000}">
      <text>
        <r>
          <rPr>
            <b/>
            <sz val="9"/>
            <color indexed="81"/>
            <rFont val="Tahoma"/>
            <family val="2"/>
          </rPr>
          <t>tamara:</t>
        </r>
        <r>
          <rPr>
            <sz val="9"/>
            <color indexed="81"/>
            <rFont val="Tahoma"/>
            <family val="2"/>
          </rPr>
          <t xml:space="preserve">
excluded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tamara</author>
  </authors>
  <commentList>
    <comment ref="C7" authorId="0" shapeId="0" xr:uid="{00000000-0006-0000-1400-000001000000}">
      <text>
        <r>
          <rPr>
            <b/>
            <sz val="9"/>
            <color indexed="81"/>
            <rFont val="Tahoma"/>
            <family val="2"/>
          </rPr>
          <t>tamara:</t>
        </r>
        <r>
          <rPr>
            <sz val="9"/>
            <color indexed="81"/>
            <rFont val="Tahoma"/>
            <family val="2"/>
          </rPr>
          <t xml:space="preserve">
method changed in 2007</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Alon Shepon</author>
  </authors>
  <commentList>
    <comment ref="C3" authorId="0" shapeId="0" xr:uid="{00000000-0006-0000-1500-000001000000}">
      <text>
        <r>
          <rPr>
            <b/>
            <sz val="9"/>
            <color indexed="81"/>
            <rFont val="Tahoma"/>
            <family val="2"/>
          </rPr>
          <t>Alon Shepon:</t>
        </r>
        <r>
          <rPr>
            <sz val="9"/>
            <color indexed="81"/>
            <rFont val="Tahoma"/>
            <family val="2"/>
          </rPr>
          <t xml:space="preserve">
Page 1 of ref 1</t>
        </r>
      </text>
    </comment>
    <comment ref="C5" authorId="0" shapeId="0" xr:uid="{00000000-0006-0000-1500-000002000000}">
      <text>
        <r>
          <rPr>
            <b/>
            <sz val="9"/>
            <color indexed="81"/>
            <rFont val="Tahoma"/>
            <family val="2"/>
          </rPr>
          <t>Alon Shepon:</t>
        </r>
        <r>
          <rPr>
            <sz val="9"/>
            <color indexed="81"/>
            <rFont val="Tahoma"/>
            <family val="2"/>
          </rPr>
          <t xml:space="preserve">
page 1 of ref 1</t>
        </r>
      </text>
    </comment>
    <comment ref="C15" authorId="0" shapeId="0" xr:uid="{00000000-0006-0000-1500-000003000000}">
      <text>
        <r>
          <rPr>
            <b/>
            <sz val="9"/>
            <color indexed="81"/>
            <rFont val="Tahoma"/>
            <family val="2"/>
          </rPr>
          <t>Alon Shepon:</t>
        </r>
        <r>
          <rPr>
            <sz val="9"/>
            <color indexed="81"/>
            <rFont val="Tahoma"/>
            <family val="2"/>
          </rPr>
          <t xml:space="preserve">
ac-ft to m3</t>
        </r>
      </text>
    </comment>
    <comment ref="C16" authorId="0" shapeId="0" xr:uid="{00000000-0006-0000-1500-000004000000}">
      <text>
        <r>
          <rPr>
            <b/>
            <sz val="9"/>
            <color indexed="81"/>
            <rFont val="Tahoma"/>
            <family val="2"/>
          </rPr>
          <t>Alon Shepon:</t>
        </r>
        <r>
          <rPr>
            <sz val="9"/>
            <color indexed="81"/>
            <rFont val="Tahoma"/>
            <family val="2"/>
          </rPr>
          <t xml:space="preserve">
gallon to litre</t>
        </r>
      </text>
    </comment>
    <comment ref="C20" authorId="0" shapeId="0" xr:uid="{00000000-0006-0000-1500-000005000000}">
      <text>
        <r>
          <rPr>
            <b/>
            <sz val="9"/>
            <color indexed="81"/>
            <rFont val="Tahoma"/>
            <family val="2"/>
          </rPr>
          <t>Alon Shepon:</t>
        </r>
        <r>
          <rPr>
            <sz val="9"/>
            <color indexed="81"/>
            <rFont val="Tahoma"/>
            <family val="2"/>
          </rPr>
          <t xml:space="preserve">
gallon to m3</t>
        </r>
      </text>
    </comment>
    <comment ref="B26" authorId="0" shapeId="0" xr:uid="{00000000-0006-0000-1500-000006000000}">
      <text>
        <r>
          <rPr>
            <b/>
            <sz val="9"/>
            <color rgb="FF000000"/>
            <rFont val="Tahoma"/>
            <family val="2"/>
          </rPr>
          <t>Alon Shepon:</t>
        </r>
        <r>
          <rPr>
            <sz val="9"/>
            <color rgb="FF000000"/>
            <rFont val="Tahoma"/>
            <family val="2"/>
          </rPr>
          <t xml:space="preserve">
</t>
        </r>
        <r>
          <rPr>
            <sz val="9"/>
            <color rgb="FF000000"/>
            <rFont val="Tahoma"/>
            <family val="2"/>
          </rPr>
          <t xml:space="preserve">Fits well with Steinfeld et al 2008 which states also a 8% average from global total water usage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Alon Shepon</author>
  </authors>
  <commentList>
    <comment ref="R16" authorId="0" shapeId="0" xr:uid="{00000000-0006-0000-0300-000001000000}">
      <text>
        <r>
          <rPr>
            <b/>
            <sz val="9"/>
            <color indexed="81"/>
            <rFont val="Tahoma"/>
            <family val="2"/>
          </rPr>
          <t>Alon Shepon:</t>
        </r>
        <r>
          <rPr>
            <sz val="9"/>
            <color indexed="81"/>
            <rFont val="Tahoma"/>
            <family val="2"/>
          </rPr>
          <t xml:space="preserve">
Smil's values "feeding the world", Chapter 5 table 5.1, pg 157</t>
        </r>
      </text>
    </comment>
    <comment ref="X16" authorId="0" shapeId="0" xr:uid="{00000000-0006-0000-0300-000002000000}">
      <text>
        <r>
          <rPr>
            <b/>
            <sz val="9"/>
            <color indexed="81"/>
            <rFont val="Tahoma"/>
            <family val="2"/>
          </rPr>
          <t>Alon Shepon:</t>
        </r>
        <r>
          <rPr>
            <sz val="9"/>
            <color indexed="81"/>
            <rFont val="Tahoma"/>
            <family val="2"/>
          </rPr>
          <t xml:space="preserve">
Smil's values "feeding the world", Chapter 5 table 5.1, pg 157</t>
        </r>
      </text>
    </comment>
    <comment ref="P17" authorId="0" shapeId="0" xr:uid="{00000000-0006-0000-0300-000003000000}">
      <text>
        <r>
          <rPr>
            <b/>
            <sz val="9"/>
            <color indexed="81"/>
            <rFont val="Tahoma"/>
            <family val="2"/>
          </rPr>
          <t>Alon Shepon:</t>
        </r>
        <r>
          <rPr>
            <sz val="9"/>
            <color indexed="81"/>
            <rFont val="Tahoma"/>
            <family val="2"/>
          </rPr>
          <t xml:space="preserve">
Plettier result: 5.1%</t>
        </r>
      </text>
    </comment>
    <comment ref="Y17" authorId="0" shapeId="0" xr:uid="{00000000-0006-0000-0300-000004000000}">
      <text>
        <r>
          <rPr>
            <b/>
            <sz val="9"/>
            <color indexed="81"/>
            <rFont val="Tahoma"/>
            <family val="2"/>
          </rPr>
          <t>Alon Shepon:</t>
        </r>
        <r>
          <rPr>
            <sz val="9"/>
            <color indexed="81"/>
            <rFont val="Tahoma"/>
            <family val="2"/>
          </rPr>
          <t xml:space="preserve">
Plettier result: 5.1%</t>
        </r>
      </text>
    </comment>
    <comment ref="P19" authorId="0" shapeId="0" xr:uid="{00000000-0006-0000-0300-000005000000}">
      <text>
        <r>
          <rPr>
            <b/>
            <sz val="9"/>
            <color indexed="81"/>
            <rFont val="Tahoma"/>
            <family val="2"/>
          </rPr>
          <t>Alon Shepon:</t>
        </r>
        <r>
          <rPr>
            <sz val="9"/>
            <color indexed="81"/>
            <rFont val="Tahoma"/>
            <family val="2"/>
          </rPr>
          <t xml:space="preserve">
Plettier result: 7%</t>
        </r>
      </text>
    </comment>
    <comment ref="Y19" authorId="0" shapeId="0" xr:uid="{00000000-0006-0000-0300-000006000000}">
      <text>
        <r>
          <rPr>
            <b/>
            <sz val="9"/>
            <color indexed="81"/>
            <rFont val="Tahoma"/>
            <family val="2"/>
          </rPr>
          <t>Alon Shepon:</t>
        </r>
        <r>
          <rPr>
            <sz val="9"/>
            <color indexed="81"/>
            <rFont val="Tahoma"/>
            <family val="2"/>
          </rPr>
          <t xml:space="preserve">
Plettier result: 7%</t>
        </r>
      </text>
    </comment>
    <comment ref="Y21" authorId="0" shapeId="0" xr:uid="{00000000-0006-0000-0300-000007000000}">
      <text>
        <r>
          <rPr>
            <b/>
            <sz val="9"/>
            <color indexed="81"/>
            <rFont val="Tahoma"/>
            <family val="2"/>
          </rPr>
          <t>Alon Shepon:</t>
        </r>
        <r>
          <rPr>
            <sz val="9"/>
            <color indexed="81"/>
            <rFont val="Tahoma"/>
            <family val="2"/>
          </rPr>
          <t xml:space="preserve">
Plettier result: 5.1%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Alon Shepon</author>
  </authors>
  <commentList>
    <comment ref="O15" authorId="0" shapeId="0" xr:uid="{00000000-0006-0000-0400-000001000000}">
      <text>
        <r>
          <rPr>
            <b/>
            <sz val="9"/>
            <color indexed="81"/>
            <rFont val="Tahoma"/>
            <family val="2"/>
          </rPr>
          <t>Alon Shepon:</t>
        </r>
        <r>
          <rPr>
            <sz val="9"/>
            <color indexed="81"/>
            <rFont val="Tahoma"/>
            <family val="2"/>
          </rPr>
          <t xml:space="preserve">
see "comments"  tab</t>
        </r>
      </text>
    </comment>
    <comment ref="AN20" authorId="0" shapeId="0" xr:uid="{00000000-0006-0000-0400-000002000000}">
      <text>
        <r>
          <rPr>
            <b/>
            <sz val="9"/>
            <color indexed="81"/>
            <rFont val="Tahoma"/>
            <charset val="1"/>
          </rPr>
          <t>Alon Shepon:</t>
        </r>
        <r>
          <rPr>
            <sz val="9"/>
            <color indexed="81"/>
            <rFont val="Tahoma"/>
            <charset val="1"/>
          </rPr>
          <t xml:space="preserve">
without soybean meal</t>
        </r>
      </text>
    </comment>
    <comment ref="AO20" authorId="0" shapeId="0" xr:uid="{00000000-0006-0000-0400-000003000000}">
      <text>
        <r>
          <rPr>
            <b/>
            <sz val="9"/>
            <color indexed="81"/>
            <rFont val="Tahoma"/>
            <family val="2"/>
          </rPr>
          <t>Alon Shepon:</t>
        </r>
        <r>
          <rPr>
            <sz val="9"/>
            <color indexed="81"/>
            <rFont val="Tahoma"/>
            <family val="2"/>
          </rPr>
          <t xml:space="preserve">
total byproducts from byproducts.xls  (taken from table 29 feed yearbook and multiplied by caloric density).</t>
        </r>
      </text>
    </comment>
    <comment ref="AY20" authorId="0" shapeId="0" xr:uid="{00000000-0006-0000-0400-000004000000}">
      <text>
        <r>
          <rPr>
            <b/>
            <sz val="9"/>
            <color indexed="81"/>
            <rFont val="Tahoma"/>
            <family val="2"/>
          </rPr>
          <t>Alon Shepon:</t>
        </r>
        <r>
          <rPr>
            <sz val="9"/>
            <color indexed="81"/>
            <rFont val="Tahoma"/>
            <family val="2"/>
          </rPr>
          <t xml:space="preserve">
total byproducts from byproducts.xls  (taken from table 29 feed yearbook and multiplied by caloric density).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tamara</author>
    <author>Alon Shepon</author>
    <author>User</author>
  </authors>
  <commentList>
    <comment ref="B6" authorId="0" shapeId="0" xr:uid="{00000000-0006-0000-0500-000001000000}">
      <text>
        <r>
          <rPr>
            <b/>
            <sz val="9"/>
            <color indexed="81"/>
            <rFont val="Tahoma"/>
            <family val="2"/>
          </rPr>
          <t>tamara:</t>
        </r>
        <r>
          <rPr>
            <sz val="9"/>
            <color indexed="81"/>
            <rFont val="Tahoma"/>
            <family val="2"/>
          </rPr>
          <t xml:space="preserve">
not DM!!!</t>
        </r>
      </text>
    </comment>
    <comment ref="S6" authorId="1" shapeId="0" xr:uid="{00000000-0006-0000-0500-000002000000}">
      <text>
        <r>
          <rPr>
            <b/>
            <sz val="9"/>
            <color indexed="81"/>
            <rFont val="Tahoma"/>
            <family val="2"/>
          </rPr>
          <t>Alon Shepon:</t>
        </r>
        <r>
          <rPr>
            <sz val="9"/>
            <color indexed="81"/>
            <rFont val="Tahoma"/>
            <family val="2"/>
          </rPr>
          <t xml:space="preserve">
equalls to production of sillage. See crops yeild tab</t>
        </r>
      </text>
    </comment>
    <comment ref="AA6" authorId="0" shapeId="0" xr:uid="{00000000-0006-0000-0500-000003000000}">
      <text>
        <r>
          <rPr>
            <b/>
            <sz val="9"/>
            <color indexed="81"/>
            <rFont val="Tahoma"/>
            <family val="2"/>
          </rPr>
          <t>tamara:</t>
        </r>
        <r>
          <rPr>
            <sz val="9"/>
            <color indexed="81"/>
            <rFont val="Tahoma"/>
            <family val="2"/>
          </rPr>
          <t xml:space="preserve">
results of paper Eshel et al (2014), Partitioning United States’ Feed Consumption Among Livestock Categories For Improved Environmental Cost Assessments, in  DM (unlike all the rest)
Updated on 26/5
/14</t>
        </r>
      </text>
    </comment>
    <comment ref="AB6" authorId="1" shapeId="0" xr:uid="{00000000-0006-0000-0500-000004000000}">
      <text>
        <r>
          <rPr>
            <b/>
            <sz val="9"/>
            <color indexed="81"/>
            <rFont val="Tahoma"/>
            <family val="2"/>
          </rPr>
          <t>Alon Shepon:</t>
        </r>
        <r>
          <rPr>
            <sz val="9"/>
            <color indexed="81"/>
            <rFont val="Tahoma"/>
            <family val="2"/>
          </rPr>
          <t xml:space="preserve">
results from paper 1: STD of edibles and others combined</t>
        </r>
      </text>
    </comment>
    <comment ref="W8" authorId="0" shapeId="0" xr:uid="{00000000-0006-0000-0500-000005000000}">
      <text>
        <r>
          <rPr>
            <b/>
            <sz val="9"/>
            <color indexed="81"/>
            <rFont val="Tahoma"/>
            <family val="2"/>
          </rPr>
          <t>tamara:</t>
        </r>
        <r>
          <rPr>
            <sz val="9"/>
            <color indexed="81"/>
            <rFont val="Tahoma"/>
            <family val="2"/>
          </rPr>
          <t xml:space="preserve">
reported on a 87% DM content in the census (like hay), see census appendix B-12</t>
        </r>
      </text>
    </comment>
    <comment ref="W9" authorId="1" shapeId="0" xr:uid="{00000000-0006-0000-0500-000006000000}">
      <text>
        <r>
          <rPr>
            <b/>
            <sz val="9"/>
            <color indexed="81"/>
            <rFont val="Tahoma"/>
            <family val="2"/>
          </rPr>
          <t>Alon Shepon:</t>
        </r>
        <r>
          <rPr>
            <sz val="9"/>
            <color indexed="81"/>
            <rFont val="Tahoma"/>
            <family val="2"/>
          </rPr>
          <t xml:space="preserve">
According to Appendix B B-12 in the agricensus 2007 a multipication of 0.87 is required to convert Dry hay into DRY matter basis.</t>
        </r>
      </text>
    </comment>
    <comment ref="E10" authorId="0" shapeId="0" xr:uid="{00000000-0006-0000-0500-000007000000}">
      <text>
        <r>
          <rPr>
            <b/>
            <sz val="9"/>
            <color indexed="81"/>
            <rFont val="Tahoma"/>
            <family val="2"/>
          </rPr>
          <t>tamara:</t>
        </r>
        <r>
          <rPr>
            <sz val="9"/>
            <color indexed="81"/>
            <rFont val="Tahoma"/>
            <family val="2"/>
          </rPr>
          <t xml:space="preserve">
10% of planted is not harvested</t>
        </r>
      </text>
    </comment>
    <comment ref="I10" authorId="0" shapeId="0" xr:uid="{00000000-0006-0000-0500-000008000000}">
      <text>
        <r>
          <rPr>
            <b/>
            <sz val="9"/>
            <color indexed="81"/>
            <rFont val="Tahoma"/>
            <family val="2"/>
          </rPr>
          <t>tamara:</t>
        </r>
        <r>
          <rPr>
            <sz val="9"/>
            <color indexed="81"/>
            <rFont val="Tahoma"/>
            <family val="2"/>
          </rPr>
          <t xml:space="preserve">
only ~ 40% of planted area is harvested, hence big difference between planted and harvested yields</t>
        </r>
      </text>
    </comment>
    <comment ref="O10" authorId="0" shapeId="0" xr:uid="{00000000-0006-0000-0500-000009000000}">
      <text>
        <r>
          <rPr>
            <b/>
            <sz val="9"/>
            <color indexed="81"/>
            <rFont val="Tahoma"/>
            <family val="2"/>
          </rPr>
          <t>tamara:</t>
        </r>
        <r>
          <rPr>
            <sz val="9"/>
            <color indexed="81"/>
            <rFont val="Tahoma"/>
            <family val="2"/>
          </rPr>
          <t xml:space="preserve">
only 84% of planted land is harvested, hence the yield difference</t>
        </r>
      </text>
    </comment>
    <comment ref="B12" authorId="0" shapeId="0" xr:uid="{00000000-0006-0000-0500-00000A000000}">
      <text>
        <r>
          <rPr>
            <b/>
            <sz val="9"/>
            <color indexed="81"/>
            <rFont val="Tahoma"/>
            <family val="2"/>
          </rPr>
          <t>tamara:</t>
        </r>
        <r>
          <rPr>
            <sz val="9"/>
            <color indexed="81"/>
            <rFont val="Tahoma"/>
            <family val="2"/>
          </rPr>
          <t xml:space="preserve">
adjusted for overlapping uses of ~4% of land (mulit cropping)
source : major land uses in the US pg 52</t>
        </r>
      </text>
    </comment>
    <comment ref="E12" authorId="0" shapeId="0" xr:uid="{00000000-0006-0000-0500-00000B000000}">
      <text>
        <r>
          <rPr>
            <b/>
            <sz val="9"/>
            <color indexed="81"/>
            <rFont val="Tahoma"/>
            <family val="2"/>
          </rPr>
          <t>tamara:</t>
        </r>
        <r>
          <rPr>
            <sz val="9"/>
            <color indexed="81"/>
            <rFont val="Tahoma"/>
            <family val="2"/>
          </rPr>
          <t xml:space="preserve">
gap in yileld + in 2001-2011 feed was ~75% of total domestic use, not 42.2 like the article. (From our calculations 2000-2006 should be 83%)</t>
        </r>
      </text>
    </comment>
    <comment ref="I12" authorId="0" shapeId="0" xr:uid="{00000000-0006-0000-0500-00000C000000}">
      <text>
        <r>
          <rPr>
            <b/>
            <sz val="9"/>
            <color indexed="81"/>
            <rFont val="Tahoma"/>
            <family val="2"/>
          </rPr>
          <t>tamara:</t>
        </r>
        <r>
          <rPr>
            <sz val="9"/>
            <color indexed="81"/>
            <rFont val="Tahoma"/>
            <family val="2"/>
          </rPr>
          <t xml:space="preserve">
difference originates from yield</t>
        </r>
      </text>
    </comment>
    <comment ref="Q12" authorId="1" shapeId="0" xr:uid="{00000000-0006-0000-0500-00000D000000}">
      <text>
        <r>
          <rPr>
            <b/>
            <sz val="9"/>
            <color indexed="81"/>
            <rFont val="Tahoma"/>
            <family val="2"/>
          </rPr>
          <t>Alon Shepon:</t>
        </r>
        <r>
          <rPr>
            <sz val="9"/>
            <color indexed="81"/>
            <rFont val="Tahoma"/>
            <family val="2"/>
          </rPr>
          <t xml:space="preserve">
adjusted for overlapping uses of ~4% of land (mulit cropping)
source : major land uses in the US pg 52</t>
        </r>
      </text>
    </comment>
    <comment ref="S12" authorId="1" shapeId="0" xr:uid="{00000000-0006-0000-0500-00000E000000}">
      <text>
        <r>
          <rPr>
            <b/>
            <sz val="9"/>
            <color indexed="81"/>
            <rFont val="Tahoma"/>
            <family val="2"/>
          </rPr>
          <t>Alon Shepon:</t>
        </r>
        <r>
          <rPr>
            <sz val="9"/>
            <color indexed="81"/>
            <rFont val="Tahoma"/>
            <family val="2"/>
          </rPr>
          <t xml:space="preserve">
actually equals to planted corn sillage see crops yield tabs</t>
        </r>
      </text>
    </comment>
    <comment ref="W12" authorId="0" shapeId="0" xr:uid="{00000000-0006-0000-0500-00000F000000}">
      <text>
        <r>
          <rPr>
            <b/>
            <sz val="9"/>
            <color indexed="81"/>
            <rFont val="Tahoma"/>
            <family val="2"/>
          </rPr>
          <t>tamara:</t>
        </r>
        <r>
          <rPr>
            <sz val="9"/>
            <color indexed="81"/>
            <rFont val="Tahoma"/>
            <family val="2"/>
          </rPr>
          <t xml:space="preserve">
harvested</t>
        </r>
      </text>
    </comment>
    <comment ref="Z12" authorId="1" shapeId="0" xr:uid="{00000000-0006-0000-0500-000010000000}">
      <text>
        <r>
          <rPr>
            <b/>
            <sz val="9"/>
            <color indexed="81"/>
            <rFont val="Tahoma"/>
            <family val="2"/>
          </rPr>
          <t>Alon Shepon:</t>
        </r>
        <r>
          <rPr>
            <sz val="9"/>
            <color indexed="81"/>
            <rFont val="Tahoma"/>
            <family val="2"/>
          </rPr>
          <t xml:space="preserve">
std doesn’t include sillage corn and sorghum which contribution to the overall std is very small (see blue value in the cell above which includes them). As corn and sorghum sillage std has variables of corn and sorghum grain, this will cause a non zero covariance when summing with concentrates, unnecessarly complicating the calculation.</t>
        </r>
      </text>
    </comment>
    <comment ref="B13" authorId="0" shapeId="0" xr:uid="{00000000-0006-0000-0500-000011000000}">
      <text>
        <r>
          <rPr>
            <b/>
            <sz val="9"/>
            <color indexed="81"/>
            <rFont val="Tahoma"/>
            <family val="2"/>
          </rPr>
          <t>tamara:</t>
        </r>
        <r>
          <rPr>
            <sz val="9"/>
            <color indexed="81"/>
            <rFont val="Tahoma"/>
            <family val="2"/>
          </rPr>
          <t xml:space="preserve">
old application rate is average for fertilized ac, and does not take into account land that is not fertilized</t>
        </r>
      </text>
    </comment>
    <comment ref="AA13" authorId="0" shapeId="0" xr:uid="{00000000-0006-0000-0500-000012000000}">
      <text>
        <r>
          <rPr>
            <b/>
            <sz val="9"/>
            <color indexed="81"/>
            <rFont val="Tahoma"/>
            <family val="2"/>
          </rPr>
          <t>tamara:</t>
        </r>
        <r>
          <rPr>
            <sz val="9"/>
            <color indexed="81"/>
            <rFont val="Tahoma"/>
            <family val="2"/>
          </rPr>
          <t xml:space="preserve">
assuming 10% legumes on averge, see IN_Fertilizer_Calculator_(2010) 2012-11-05) excel in our excel2 data directory. Its NRCS recommendations for fertilizing pastures at various conditions
This value is also consistent with the info here:
http://www.nrcs.usda.gov/Internet/FSE_DOCUMENTS/nrcs143_014900.pdf</t>
        </r>
      </text>
    </comment>
    <comment ref="AA14" authorId="0" shapeId="0" xr:uid="{00000000-0006-0000-0500-000013000000}">
      <text>
        <r>
          <rPr>
            <b/>
            <sz val="9"/>
            <color indexed="81"/>
            <rFont val="Tahoma"/>
            <family val="2"/>
          </rPr>
          <t>tamara:</t>
        </r>
        <r>
          <rPr>
            <sz val="9"/>
            <color indexed="81"/>
            <rFont val="Tahoma"/>
            <family val="2"/>
          </rPr>
          <t xml:space="preserve">
quickstats pastureland treated, all fertilizer types for 2002 and 2007. See http://quickstats.nass.usda.gov/results/997E1032-57A3-33E9-B810-E31C6C5A151B</t>
        </r>
      </text>
    </comment>
    <comment ref="AC15" authorId="0" shapeId="0" xr:uid="{00000000-0006-0000-0500-000014000000}">
      <text>
        <r>
          <rPr>
            <b/>
            <sz val="9"/>
            <color indexed="81"/>
            <rFont val="Tahoma"/>
            <family val="2"/>
          </rPr>
          <t>tamara: calculted by substracting all known uses (crops, Veg, fruit) from total Nr used in the US</t>
        </r>
        <r>
          <rPr>
            <sz val="9"/>
            <color indexed="81"/>
            <rFont val="Tahoma"/>
            <family val="2"/>
          </rPr>
          <t xml:space="preserve">
from NitrogenAll_quickstats, total tab, K47</t>
        </r>
      </text>
    </comment>
    <comment ref="M16" authorId="0" shapeId="0" xr:uid="{00000000-0006-0000-0500-000015000000}">
      <text>
        <r>
          <rPr>
            <b/>
            <sz val="9"/>
            <color indexed="81"/>
            <rFont val="Tahoma"/>
            <family val="2"/>
          </rPr>
          <t>tamara:</t>
        </r>
        <r>
          <rPr>
            <sz val="9"/>
            <color indexed="81"/>
            <rFont val="Tahoma"/>
            <family val="2"/>
          </rPr>
          <t xml:space="preserve">
on;y 0.008% of area irrigated</t>
        </r>
      </text>
    </comment>
    <comment ref="S16" authorId="0" shapeId="0" xr:uid="{00000000-0006-0000-0500-000016000000}">
      <text>
        <r>
          <rPr>
            <b/>
            <sz val="9"/>
            <color indexed="81"/>
            <rFont val="Tahoma"/>
            <family val="2"/>
          </rPr>
          <t>tamara:</t>
        </r>
        <r>
          <rPr>
            <sz val="9"/>
            <color indexed="81"/>
            <rFont val="Tahoma"/>
            <family val="2"/>
          </rPr>
          <t xml:space="preserve">
high irrigation per acer and 24% of land irrigated</t>
        </r>
      </text>
    </comment>
    <comment ref="U16" authorId="0" shapeId="0" xr:uid="{00000000-0006-0000-0500-000017000000}">
      <text>
        <r>
          <rPr>
            <b/>
            <sz val="9"/>
            <color indexed="81"/>
            <rFont val="Tahoma"/>
            <family val="2"/>
          </rPr>
          <t>tamara:</t>
        </r>
        <r>
          <rPr>
            <sz val="9"/>
            <color indexed="81"/>
            <rFont val="Tahoma"/>
            <family val="2"/>
          </rPr>
          <t xml:space="preserve">
missimg data on irrigation of sorghum silage, therefore using corn silage average</t>
        </r>
      </text>
    </comment>
    <comment ref="B17" authorId="0" shapeId="0" xr:uid="{00000000-0006-0000-0500-000018000000}">
      <text>
        <r>
          <rPr>
            <b/>
            <sz val="9"/>
            <color indexed="81"/>
            <rFont val="Tahoma"/>
            <family val="2"/>
          </rPr>
          <t>tamara:</t>
        </r>
        <r>
          <rPr>
            <sz val="9"/>
            <color indexed="81"/>
            <rFont val="Tahoma"/>
            <family val="2"/>
          </rPr>
          <t xml:space="preserve">
origibal calc did not take into account % for feed, but took the total</t>
        </r>
      </text>
    </comment>
    <comment ref="M17" authorId="0" shapeId="0" xr:uid="{00000000-0006-0000-0500-000019000000}">
      <text>
        <r>
          <rPr>
            <b/>
            <sz val="9"/>
            <color indexed="81"/>
            <rFont val="Tahoma"/>
            <family val="2"/>
          </rPr>
          <t>tamara:</t>
        </r>
        <r>
          <rPr>
            <sz val="9"/>
            <color indexed="81"/>
            <rFont val="Tahoma"/>
            <family val="2"/>
          </rPr>
          <t xml:space="preserve">
should be eqivilant to 0.58*0.6 of total water for soy 
(58% - crushed+feed)
60% - of crushed for feed</t>
        </r>
      </text>
    </comment>
    <comment ref="Z17" authorId="1" shapeId="0" xr:uid="{00000000-0006-0000-0500-00001A000000}">
      <text>
        <r>
          <rPr>
            <b/>
            <sz val="9"/>
            <color indexed="81"/>
            <rFont val="Tahoma"/>
            <family val="2"/>
          </rPr>
          <t>Alon Shepon:</t>
        </r>
        <r>
          <rPr>
            <sz val="9"/>
            <color indexed="81"/>
            <rFont val="Tahoma"/>
            <family val="2"/>
          </rPr>
          <t xml:space="preserve">
std doesn’t include sillage corn and sorghum which contribution to the overall std is very small (see blue value in the cell above which includes them). As corn and sorghum sillage std has variables of corn and sorghum grain, this will cause a non zero covariance when summing with concentrates, unnecessarly complicating the calculation.</t>
        </r>
      </text>
    </comment>
    <comment ref="AA18" authorId="0" shapeId="0" xr:uid="{00000000-0006-0000-0500-00001B000000}">
      <text>
        <r>
          <rPr>
            <b/>
            <sz val="9"/>
            <color indexed="81"/>
            <rFont val="Tahoma"/>
            <family val="2"/>
          </rPr>
          <t>tamara:</t>
        </r>
        <r>
          <rPr>
            <sz val="9"/>
            <color indexed="81"/>
            <rFont val="Tahoma"/>
            <family val="2"/>
          </rPr>
          <t xml:space="preserve">
average between wheat pasture ('FeedNutrientComposition' tab) and grass pasture and legume forage pasture (converted to lb)
taken from http://nrc88.nas.edu/nrh/
To get the last two feedstuffs press on 'dietry supply' and then press 'NEW' to choose them</t>
        </r>
      </text>
    </comment>
    <comment ref="A20" authorId="2" shapeId="0" xr:uid="{00000000-0006-0000-0500-00001C000000}">
      <text>
        <r>
          <rPr>
            <b/>
            <sz val="9"/>
            <color indexed="81"/>
            <rFont val="Tahoma"/>
            <family val="2"/>
          </rPr>
          <t>User: .
It is digestible protein (DP) calculation, based on the following data and equation:</t>
        </r>
        <r>
          <rPr>
            <sz val="9"/>
            <color indexed="81"/>
            <rFont val="Tahoma"/>
            <family val="2"/>
          </rPr>
          <t xml:space="preserve">
http://beefmagazine.com/nutrition/feed-composition-tables/feed-composition-value-cattle--0301
%DP = 0.9%CP-3
assumed 10% variability throughout</t>
        </r>
      </text>
    </comment>
    <comment ref="AA20" authorId="2" shapeId="0" xr:uid="{00000000-0006-0000-0500-00001D000000}">
      <text>
        <r>
          <rPr>
            <b/>
            <sz val="9"/>
            <color indexed="81"/>
            <rFont val="Tahoma"/>
            <family val="2"/>
          </rPr>
          <t>User:</t>
        </r>
        <r>
          <rPr>
            <sz val="9"/>
            <color indexed="81"/>
            <rFont val="Tahoma"/>
            <family val="2"/>
          </rPr>
          <t xml:space="preserve">
average between wheat pasture ('FeedNutrientComposition' tab) and grass pasture and legume forage pasture (converted to lb)
taken from http://nrc88.nas.edu/nrh/
To get the last two feedstuffs press on 'dietry supply' and then press 'NEW' to choose them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Alon Shepon</author>
  </authors>
  <commentList>
    <comment ref="A7" authorId="0" shapeId="0" xr:uid="{00000000-0006-0000-0600-000001000000}">
      <text>
        <r>
          <rPr>
            <b/>
            <sz val="9"/>
            <color indexed="81"/>
            <rFont val="Tahoma"/>
            <family val="2"/>
          </rPr>
          <t>Alon Shepon:</t>
        </r>
        <r>
          <rPr>
            <sz val="9"/>
            <color indexed="81"/>
            <rFont val="Tahoma"/>
            <family val="2"/>
          </rPr>
          <t xml:space="preserve">
See LCAUpscaleComparisonToOurResults excel for exact calculations in misc dir in paper2 c:\Users\ashepon\Dropbox\EshelProject\paper2\main\misc\</t>
        </r>
      </text>
    </comment>
    <comment ref="C7" authorId="0" shapeId="0" xr:uid="{00000000-0006-0000-0600-000002000000}">
      <text>
        <r>
          <rPr>
            <b/>
            <sz val="9"/>
            <color indexed="81"/>
            <rFont val="Tahoma"/>
            <family val="2"/>
          </rPr>
          <t>Alon Shepon:</t>
        </r>
        <r>
          <rPr>
            <sz val="9"/>
            <color indexed="81"/>
            <rFont val="Tahoma"/>
            <family val="2"/>
          </rPr>
          <t xml:space="preserve">
see values with references from below</t>
        </r>
      </text>
    </comment>
    <comment ref="E7" authorId="0" shapeId="0" xr:uid="{00000000-0006-0000-0600-000003000000}">
      <text>
        <r>
          <rPr>
            <b/>
            <sz val="9"/>
            <color indexed="81"/>
            <rFont val="Tahoma"/>
            <family val="2"/>
          </rPr>
          <t>Alon Shepon:</t>
        </r>
        <r>
          <rPr>
            <sz val="9"/>
            <color indexed="81"/>
            <rFont val="Tahoma"/>
            <family val="2"/>
          </rPr>
          <t xml:space="preserve">
references inventory values from usda averaged for 2000-2010</t>
        </r>
      </text>
    </comment>
    <comment ref="F7" authorId="0" shapeId="0" xr:uid="{00000000-0006-0000-0600-000004000000}">
      <text>
        <r>
          <rPr>
            <b/>
            <sz val="9"/>
            <color indexed="81"/>
            <rFont val="Tahoma"/>
            <family val="2"/>
          </rPr>
          <t>Alon Shepon:</t>
        </r>
        <r>
          <rPr>
            <sz val="9"/>
            <color indexed="81"/>
            <rFont val="Tahoma"/>
            <family val="2"/>
          </rPr>
          <t xml:space="preserve">
obtained by animal supply and disappearnce values - usda for 2000-2010.</t>
        </r>
      </text>
    </comment>
    <comment ref="H7" authorId="0" shapeId="0" xr:uid="{00000000-0006-0000-0600-000005000000}">
      <text>
        <r>
          <rPr>
            <b/>
            <sz val="9"/>
            <color indexed="81"/>
            <rFont val="Tahoma"/>
            <family val="2"/>
          </rPr>
          <t>Alon Shepon:</t>
        </r>
        <r>
          <rPr>
            <sz val="9"/>
            <color indexed="81"/>
            <rFont val="Tahoma"/>
            <family val="2"/>
          </rPr>
          <t xml:space="preserve">
obtained by dividing total calories by population*per capita retail boneless weight consumption. Former values are obtained from supply and disappearnce for each animal</t>
        </r>
      </text>
    </comment>
    <comment ref="C8" authorId="0" shapeId="0" xr:uid="{00000000-0006-0000-0600-000006000000}">
      <text>
        <r>
          <rPr>
            <b/>
            <sz val="9"/>
            <color indexed="81"/>
            <rFont val="Tahoma"/>
            <family val="2"/>
          </rPr>
          <t>Alon Shepon:</t>
        </r>
        <r>
          <rPr>
            <sz val="9"/>
            <color indexed="81"/>
            <rFont val="Tahoma"/>
            <family val="2"/>
          </rPr>
          <t xml:space="preserve">
USDA nutrient standard reference, http://ndb.nal.usda.gov/ndb/foods/list, item 01077</t>
        </r>
      </text>
    </comment>
    <comment ref="C12" authorId="0" shapeId="0" xr:uid="{00000000-0006-0000-0600-000007000000}">
      <text>
        <r>
          <rPr>
            <b/>
            <sz val="9"/>
            <color indexed="81"/>
            <rFont val="Tahoma"/>
            <family val="2"/>
          </rPr>
          <t>Alon Shepon:</t>
        </r>
        <r>
          <rPr>
            <sz val="9"/>
            <color indexed="81"/>
            <rFont val="Tahoma"/>
            <family val="2"/>
          </rPr>
          <t xml:space="preserve">
USDA nutrient standard reference, http://ndb.nal.usda.gov/ndb/foods/list, item 01123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Alon Shepon</author>
  </authors>
  <commentList>
    <comment ref="R23" authorId="0" shapeId="0" xr:uid="{00000000-0006-0000-0700-000001000000}">
      <text>
        <r>
          <rPr>
            <b/>
            <sz val="9"/>
            <color indexed="81"/>
            <rFont val="Tahoma"/>
            <family val="2"/>
          </rPr>
          <t>Alon Shepon:</t>
        </r>
        <r>
          <rPr>
            <sz val="9"/>
            <color indexed="81"/>
            <rFont val="Tahoma"/>
            <family val="2"/>
          </rPr>
          <t xml:space="preserve">
from "GHG Animals" sheet upper table, built from other excel and summarized in that sheet. Assuming 10% std</t>
        </r>
      </text>
    </comment>
    <comment ref="R24" authorId="0" shapeId="0" xr:uid="{00000000-0006-0000-0700-000002000000}">
      <text>
        <r>
          <rPr>
            <b/>
            <sz val="9"/>
            <color indexed="81"/>
            <rFont val="Tahoma"/>
            <family val="2"/>
          </rPr>
          <t>Alon Shepon:</t>
        </r>
        <r>
          <rPr>
            <sz val="9"/>
            <color indexed="81"/>
            <rFont val="Tahoma"/>
            <family val="2"/>
          </rPr>
          <t xml:space="preserve">
Smil: feeding the world, Table 5.1. Assuming data has 10% std.</t>
        </r>
      </text>
    </comment>
    <comment ref="F36" authorId="0" shapeId="0" xr:uid="{00000000-0006-0000-0700-000003000000}">
      <text>
        <r>
          <rPr>
            <b/>
            <sz val="9"/>
            <color indexed="81"/>
            <rFont val="Tahoma"/>
            <family val="2"/>
          </rPr>
          <t xml:space="preserve">Alon Shepon: </t>
        </r>
        <r>
          <rPr>
            <sz val="9"/>
            <color indexed="81"/>
            <rFont val="Tahoma"/>
            <family val="2"/>
          </rPr>
          <t xml:space="preserve">
Averaged for 2000-2010.: slaughtered head count in millions and multiplied it by mean body weight. See Eshel et al 2014</t>
        </r>
      </text>
    </comment>
    <comment ref="F37" authorId="0" shapeId="0" xr:uid="{00000000-0006-0000-0700-000004000000}">
      <text>
        <r>
          <rPr>
            <b/>
            <sz val="9"/>
            <color indexed="81"/>
            <rFont val="Tahoma"/>
            <family val="2"/>
          </rPr>
          <t>Alon Shepon:</t>
        </r>
        <r>
          <rPr>
            <sz val="9"/>
            <color indexed="81"/>
            <rFont val="Tahoma"/>
            <family val="2"/>
          </rPr>
          <t xml:space="preserve">
Averaged for 2000-2010. see paper1 excel slaughtered head count B142 and multiplied it by mean slaughter weight in B93 in "SlaughterWeights" tab in the same excel</t>
        </r>
      </text>
    </comment>
    <comment ref="F39" authorId="0" shapeId="0" xr:uid="{00000000-0006-0000-0700-000005000000}">
      <text>
        <r>
          <rPr>
            <b/>
            <sz val="9"/>
            <color indexed="81"/>
            <rFont val="Tahoma"/>
            <family val="2"/>
          </rPr>
          <t xml:space="preserve">Alon Shepon: </t>
        </r>
        <r>
          <rPr>
            <sz val="9"/>
            <color indexed="81"/>
            <rFont val="Tahoma"/>
            <family val="2"/>
          </rPr>
          <t xml:space="preserve">
Averaged for 2000-2010.: slaughtered head count in millions and multiplied it by mean body weight. See Eshel et al 2014</t>
        </r>
      </text>
    </comment>
    <comment ref="F40" authorId="0" shapeId="0" xr:uid="{00000000-0006-0000-0700-000006000000}">
      <text>
        <r>
          <rPr>
            <b/>
            <sz val="9"/>
            <color indexed="81"/>
            <rFont val="Tahoma"/>
            <family val="2"/>
          </rPr>
          <t>Alon Shepon:</t>
        </r>
        <r>
          <rPr>
            <sz val="9"/>
            <color indexed="81"/>
            <rFont val="Tahoma"/>
            <family val="2"/>
          </rPr>
          <t xml:space="preserve">
Averaged for 2000-2010. see paper1 excel slaughtered head count B142 and multiplied it by mean slaughter weight in B93 in "SlaughterWeights" tab in the same excel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Alon Shepon</author>
  </authors>
  <commentList>
    <comment ref="G3" authorId="0" shapeId="0" xr:uid="{00000000-0006-0000-0800-000001000000}">
      <text>
        <r>
          <rPr>
            <b/>
            <sz val="9"/>
            <color indexed="81"/>
            <rFont val="Tahoma"/>
            <family val="2"/>
          </rPr>
          <t>Alon Shepon:</t>
        </r>
        <r>
          <rPr>
            <sz val="9"/>
            <color indexed="81"/>
            <rFont val="Tahoma"/>
            <family val="2"/>
          </rPr>
          <t xml:space="preserve">
http://www.agromedia.ca/ADM_Articles/content/f1a1u1.pdf</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Alon Shepon</author>
  </authors>
  <commentList>
    <comment ref="L7" authorId="0" shapeId="0" xr:uid="{00000000-0006-0000-0900-000001000000}">
      <text>
        <r>
          <rPr>
            <b/>
            <sz val="9"/>
            <color indexed="81"/>
            <rFont val="Tahoma"/>
            <family val="2"/>
          </rPr>
          <t>Alon Shepon:</t>
        </r>
        <r>
          <rPr>
            <sz val="9"/>
            <color indexed="81"/>
            <rFont val="Tahoma"/>
            <family val="2"/>
          </rPr>
          <t xml:space="preserve">
Alon Shepon:
the numbers in green are additions from relevant yearbooks etc. See "crops yield" tab </t>
        </r>
      </text>
    </comment>
    <comment ref="P7" authorId="0" shapeId="0" xr:uid="{00000000-0006-0000-0900-000002000000}">
      <text>
        <r>
          <rPr>
            <b/>
            <sz val="9"/>
            <color indexed="81"/>
            <rFont val="Tahoma"/>
            <family val="2"/>
          </rPr>
          <t>Alon Shepon:</t>
        </r>
        <r>
          <rPr>
            <sz val="9"/>
            <color indexed="81"/>
            <rFont val="Tahoma"/>
            <family val="2"/>
          </rPr>
          <t xml:space="preserve">
Alon Shepon:
the numbers in green are additions from relevant yearbooks etc. See "crops yield" tab </t>
        </r>
      </text>
    </comment>
    <comment ref="H8" authorId="0" shapeId="0" xr:uid="{00000000-0006-0000-0900-000003000000}">
      <text>
        <r>
          <rPr>
            <b/>
            <sz val="9"/>
            <color indexed="81"/>
            <rFont val="Tahoma"/>
            <family val="2"/>
          </rPr>
          <t>Alon Shepon:</t>
        </r>
        <r>
          <rPr>
            <sz val="9"/>
            <color indexed="81"/>
            <rFont val="Tahoma"/>
            <family val="2"/>
          </rPr>
          <t xml:space="preserve">
Alon Shepon:
the numbers in green are additions from relevant yearbooks etc. See "crops yield" tab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tamara</author>
    <author>Alon Shepon</author>
  </authors>
  <commentList>
    <comment ref="C6" authorId="0" shapeId="0" xr:uid="{00000000-0006-0000-0A00-000001000000}">
      <text>
        <r>
          <rPr>
            <b/>
            <sz val="9"/>
            <color indexed="81"/>
            <rFont val="Tahoma"/>
            <family val="2"/>
          </rPr>
          <t>tamara:</t>
        </r>
        <r>
          <rPr>
            <sz val="9"/>
            <color indexed="81"/>
            <rFont val="Tahoma"/>
            <family val="2"/>
          </rPr>
          <t xml:space="preserve">
relevant yearbook or calculated from Census data for corn and sorghum (grians and silage)</t>
        </r>
      </text>
    </comment>
    <comment ref="D62" authorId="1" shapeId="0" xr:uid="{00000000-0006-0000-0A00-000002000000}">
      <text>
        <r>
          <rPr>
            <b/>
            <sz val="9"/>
            <color indexed="81"/>
            <rFont val="Tahoma"/>
            <family val="2"/>
          </rPr>
          <t>Alon Shepon:</t>
        </r>
        <r>
          <rPr>
            <sz val="9"/>
            <color indexed="81"/>
            <rFont val="Tahoma"/>
            <family val="2"/>
          </rPr>
          <t xml:space="preserve">
table 32 from AgriCensus 2007</t>
        </r>
      </text>
    </comment>
    <comment ref="H62" authorId="1" shapeId="0" xr:uid="{00000000-0006-0000-0A00-000003000000}">
      <text>
        <r>
          <rPr>
            <b/>
            <sz val="9"/>
            <color indexed="81"/>
            <rFont val="Tahoma"/>
            <family val="2"/>
          </rPr>
          <t>Alon Shepon:</t>
        </r>
        <r>
          <rPr>
            <sz val="9"/>
            <color indexed="81"/>
            <rFont val="Tahoma"/>
            <family val="2"/>
          </rPr>
          <t xml:space="preserve">
The census 2007 table 32 total aceraged surveyed is NOT the total PLANTED acerage appearing in C62. There we deduced the water application rate from that sample (see M65) and assumed it applies for all oats</t>
        </r>
      </text>
    </comment>
    <comment ref="M62" authorId="1" shapeId="0" xr:uid="{00000000-0006-0000-0A00-000004000000}">
      <text>
        <r>
          <rPr>
            <b/>
            <sz val="9"/>
            <color indexed="81"/>
            <rFont val="Tahoma"/>
            <family val="2"/>
          </rPr>
          <t>Alon Shepon:</t>
        </r>
        <r>
          <rPr>
            <sz val="9"/>
            <color indexed="81"/>
            <rFont val="Tahoma"/>
            <family val="2"/>
          </rPr>
          <t xml:space="preserve">
see agriCensus Table 32 
</t>
        </r>
      </text>
    </comment>
    <comment ref="C147" authorId="0" shapeId="0" xr:uid="{00000000-0006-0000-0A00-000005000000}">
      <text>
        <r>
          <rPr>
            <b/>
            <sz val="9"/>
            <color indexed="81"/>
            <rFont val="Tahoma"/>
            <family val="2"/>
          </rPr>
          <t>tamara:</t>
        </r>
        <r>
          <rPr>
            <sz val="9"/>
            <color indexed="81"/>
            <rFont val="Tahoma"/>
            <family val="2"/>
          </rPr>
          <t xml:space="preserve">
harvested, from census see dynamic link
</t>
        </r>
      </text>
    </comment>
    <comment ref="H147" authorId="0" shapeId="0" xr:uid="{00000000-0006-0000-0A00-000006000000}">
      <text>
        <r>
          <rPr>
            <b/>
            <sz val="9"/>
            <color indexed="81"/>
            <rFont val="Tahoma"/>
            <family val="2"/>
          </rPr>
          <t>tamara:</t>
        </r>
        <r>
          <rPr>
            <sz val="9"/>
            <color indexed="81"/>
            <rFont val="Tahoma"/>
            <family val="2"/>
          </rPr>
          <t xml:space="preserve">
for harvested not planted</t>
        </r>
      </text>
    </comment>
    <comment ref="C153" authorId="0" shapeId="0" xr:uid="{00000000-0006-0000-0A00-000007000000}">
      <text>
        <r>
          <rPr>
            <b/>
            <sz val="9"/>
            <color indexed="81"/>
            <rFont val="Tahoma"/>
            <family val="2"/>
          </rPr>
          <t>tamara:</t>
        </r>
        <r>
          <rPr>
            <sz val="9"/>
            <color indexed="81"/>
            <rFont val="Tahoma"/>
            <family val="2"/>
          </rPr>
          <t xml:space="preserve">
from major land usues in the us see dynamic link</t>
        </r>
      </text>
    </comment>
  </commentList>
</comments>
</file>

<file path=xl/sharedStrings.xml><?xml version="1.0" encoding="utf-8"?>
<sst xmlns="http://schemas.openxmlformats.org/spreadsheetml/2006/main" count="2002" uniqueCount="961">
  <si>
    <t>as a ref, see also tab 2 of http://www.se2009.eu/polopoly_fs/1.23297!menu/standard/file/foodproduction.pdf, with values in the 3.2-8 range</t>
    <phoneticPr fontId="107" type="noConversion"/>
  </si>
  <si>
    <t>as a ref, see also tab 3 of http://www.se2009.eu/polopoly_fs/1.23297!menu/standard/file/foodproduction.pdf, with values in the 1.5-6.1 range</t>
    <phoneticPr fontId="107" type="noConversion"/>
  </si>
  <si>
    <t>using Phetteplace et al. 2001 (ref. 6 beelow), tab 2, the "cow-calf through feedlot" scenario</t>
    <phoneticPr fontId="107" type="noConversion"/>
  </si>
  <si>
    <t>% boneless mass in live mass</t>
    <phoneticPr fontId="107" type="noConversion"/>
  </si>
  <si>
    <t>kg CO2e/(edible Mcal)</t>
    <phoneticPr fontId="107" type="noConversion"/>
  </si>
  <si>
    <t>calories</t>
  </si>
  <si>
    <r>
      <t>total calories 10</t>
    </r>
    <r>
      <rPr>
        <b/>
        <vertAlign val="superscript"/>
        <sz val="10"/>
        <color theme="1"/>
        <rFont val="Calibri"/>
        <family val="2"/>
        <scheme val="minor"/>
      </rPr>
      <t>6</t>
    </r>
    <r>
      <rPr>
        <b/>
        <sz val="10"/>
        <color theme="1"/>
        <rFont val="Calibri"/>
        <family val="2"/>
        <scheme val="minor"/>
      </rPr>
      <t xml:space="preserve"> Mcal</t>
    </r>
  </si>
  <si>
    <t>b</t>
  </si>
  <si>
    <t xml:space="preserve"> -adjustment to edibles only (concentrates)</t>
  </si>
  <si>
    <t xml:space="preserve"> -adjustment to edibles only (processed roughage)</t>
  </si>
  <si>
    <t xml:space="preserve"> -adjustment to edibles only (pasture)</t>
  </si>
  <si>
    <t>from Pelletier et al. 2010 (ref. 4 below), the average of the two values in tab. 6, p. 605</t>
    <phoneticPr fontId="107" type="noConversion"/>
  </si>
  <si>
    <t>eggs</t>
    <phoneticPr fontId="107" type="noConversion"/>
  </si>
  <si>
    <t>de Vries and de Boer, 2010: Comparing environmental impacts for livestock products: A review of LCAs, Livestock Science 128 1–11</t>
    <phoneticPr fontId="107" type="noConversion"/>
  </si>
  <si>
    <t>Rice Mill By-product</t>
  </si>
  <si>
    <t>Rye Grass Hay</t>
  </si>
  <si>
    <t>Rye Grass Silage</t>
  </si>
  <si>
    <t>Rye Straw</t>
  </si>
  <si>
    <t>Rye Grain</t>
  </si>
  <si>
    <t>Safflower Meal, Solv. Ext.</t>
  </si>
  <si>
    <t>Safflower Meal Dehulled, Solv. Ext.</t>
  </si>
  <si>
    <t>Safflower Hulls</t>
  </si>
  <si>
    <t>Sagebrush Fresh</t>
  </si>
  <si>
    <t>Sanfoin Hay</t>
  </si>
  <si>
    <t>Shrimp Waste Meal</t>
  </si>
  <si>
    <t>see a much more detailed of this in pastureNrangeByState.xls</t>
    <phoneticPr fontId="107" type="noConversion"/>
  </si>
  <si>
    <t>taken from Phetteplace et al. 2001 (ref. 6 below) table 2</t>
    <phoneticPr fontId="107" type="noConversion"/>
  </si>
  <si>
    <t>the main result here</t>
    <phoneticPr fontId="107" type="noConversion"/>
  </si>
  <si>
    <t>in summary,</t>
    <phoneticPr fontId="107" type="noConversion"/>
  </si>
  <si>
    <t>kg CO2e/(live kg)</t>
    <phoneticPr fontId="107" type="noConversion"/>
  </si>
  <si>
    <t>kg CO2e/(live kg), value 1</t>
    <phoneticPr fontId="107" type="noConversion"/>
  </si>
  <si>
    <t>kg CO2e/(live kg), value 2</t>
    <phoneticPr fontId="107" type="noConversion"/>
  </si>
  <si>
    <t>kg CO2e/(live kg), value 3</t>
    <phoneticPr fontId="107" type="noConversion"/>
  </si>
  <si>
    <t>kg CO2e/(edible kg)</t>
    <phoneticPr fontId="107" type="noConversion"/>
  </si>
  <si>
    <r>
      <t xml:space="preserve">basic facts or data-based assumptions </t>
    </r>
    <r>
      <rPr>
        <b/>
        <sz val="14"/>
        <color indexed="8"/>
        <rFont val="Zapf Dingbats"/>
      </rPr>
      <t>➔</t>
    </r>
    <phoneticPr fontId="107" type="noConversion"/>
  </si>
  <si>
    <t>from deVries and deBoer, 2010 (ref. 1 below) tab. 2 p. 5</t>
    <phoneticPr fontId="107" type="noConversion"/>
  </si>
  <si>
    <t>kg CO2e/(edible kg)</t>
    <phoneticPr fontId="107" type="noConversion"/>
  </si>
  <si>
    <t>kg edible meat of any eaten animal =</t>
    <phoneticPr fontId="107" type="noConversion"/>
  </si>
  <si>
    <t>pork</t>
    <phoneticPr fontId="107" type="noConversion"/>
  </si>
  <si>
    <t>kg CO2e/(edible kg)</t>
    <phoneticPr fontId="107" type="noConversion"/>
  </si>
  <si>
    <t>kg CO2e/(edible kg ), mean</t>
  </si>
  <si>
    <t>kg CO2e/(edible kg ), mean</t>
    <phoneticPr fontId="107" type="noConversion"/>
  </si>
  <si>
    <t>% boneless mass in live mass</t>
    <phoneticPr fontId="107" type="noConversion"/>
  </si>
  <si>
    <t xml:space="preserve">using deVries and deBoer, 2010 (ref. 1 below), sect. 3.3 and fig. 5, mean of upper and lower bounds </t>
    <phoneticPr fontId="107" type="noConversion"/>
  </si>
  <si>
    <t>GHG</t>
  </si>
  <si>
    <t>kg CO2e/(live kg)</t>
    <phoneticPr fontId="107" type="noConversion"/>
  </si>
  <si>
    <t>kg CO2e/(edible Mcal)</t>
    <phoneticPr fontId="107" type="noConversion"/>
  </si>
  <si>
    <t>kg CO2e/(edible Mcal)</t>
    <phoneticPr fontId="107" type="noConversion"/>
  </si>
  <si>
    <t>kg CO2e/(edible Mcal)</t>
    <phoneticPr fontId="107" type="noConversion"/>
  </si>
  <si>
    <t>from Pelletier et al 2010 (the beef paper, ref. 3 below) a comment below tab. 6 (p. 385). Also (same value) in de Vries and de Boer (re. 1below, tab 2)</t>
    <phoneticPr fontId="107" type="noConversion"/>
  </si>
  <si>
    <t>F3 is from Pelletier et al 2010 (the beef paper, ref. 3 below) a comment below tab. 6 (p. 385)</t>
    <phoneticPr fontId="107" type="noConversion"/>
  </si>
  <si>
    <t>from Pelletier et al. 2010 (ref. 3 below), the average of the two values in fig. 1 p. 385</t>
    <phoneticPr fontId="107" type="noConversion"/>
  </si>
  <si>
    <t xml:space="preserve">using deVries and deBoer, 2010 (ref. 1 below), sect. 3.3 and fig. 5, mean of upper and lower bounds </t>
    <phoneticPr fontId="107" type="noConversion"/>
  </si>
  <si>
    <r>
      <t xml:space="preserve">U.S. population 6/ (1,000 persons) </t>
    </r>
    <r>
      <rPr>
        <vertAlign val="superscript"/>
        <sz val="8"/>
        <rFont val="Arial"/>
        <family val="2"/>
      </rPr>
      <t>1</t>
    </r>
  </si>
  <si>
    <t>per capita</t>
  </si>
  <si>
    <t>L Mcal-1</t>
  </si>
  <si>
    <t>Resource Use:   unit resource needs per eaten Mcal</t>
  </si>
  <si>
    <t xml:space="preserve">Total all </t>
  </si>
  <si>
    <r>
      <t>average feed (10</t>
    </r>
    <r>
      <rPr>
        <b/>
        <vertAlign val="superscript"/>
        <sz val="10"/>
        <rFont val="Calibri"/>
        <family val="2"/>
        <scheme val="minor"/>
      </rPr>
      <t>6</t>
    </r>
    <r>
      <rPr>
        <b/>
        <sz val="10"/>
        <rFont val="Calibri"/>
        <family val="2"/>
        <scheme val="minor"/>
      </rPr>
      <t xml:space="preserve"> bushels)</t>
    </r>
  </si>
  <si>
    <r>
      <t>total feed mass  (10</t>
    </r>
    <r>
      <rPr>
        <b/>
        <vertAlign val="superscript"/>
        <sz val="10"/>
        <rFont val="Calibri"/>
        <family val="2"/>
        <scheme val="minor"/>
      </rPr>
      <t>6</t>
    </r>
    <r>
      <rPr>
        <b/>
        <sz val="10"/>
        <rFont val="Calibri"/>
        <family val="2"/>
        <scheme val="minor"/>
      </rPr>
      <t xml:space="preserve"> lb)</t>
    </r>
  </si>
  <si>
    <r>
      <t>total feed mass (10</t>
    </r>
    <r>
      <rPr>
        <b/>
        <vertAlign val="superscript"/>
        <sz val="10"/>
        <rFont val="Calibri"/>
        <family val="2"/>
        <scheme val="minor"/>
      </rPr>
      <t>6</t>
    </r>
    <r>
      <rPr>
        <b/>
        <sz val="10"/>
        <rFont val="Calibri"/>
        <family val="2"/>
        <scheme val="minor"/>
      </rPr>
      <t xml:space="preserve"> short tons)</t>
    </r>
  </si>
  <si>
    <r>
      <t xml:space="preserve">mean yield,  for feed and food </t>
    </r>
    <r>
      <rPr>
        <b/>
        <u/>
        <sz val="10"/>
        <rFont val="Calibri"/>
        <family val="2"/>
        <scheme val="minor"/>
      </rPr>
      <t>planted</t>
    </r>
    <r>
      <rPr>
        <b/>
        <sz val="10"/>
        <rFont val="Calibri"/>
        <family val="2"/>
        <scheme val="minor"/>
      </rPr>
      <t xml:space="preserve">,(bushel/ac) </t>
    </r>
  </si>
  <si>
    <r>
      <t xml:space="preserve">Pocessed roughage </t>
    </r>
    <r>
      <rPr>
        <vertAlign val="superscript"/>
        <sz val="10"/>
        <color theme="1"/>
        <rFont val="Calibri"/>
        <family val="2"/>
        <scheme val="minor"/>
      </rPr>
      <t>b</t>
    </r>
  </si>
  <si>
    <t>kg CO2e/kg</t>
    <phoneticPr fontId="107" type="noConversion"/>
  </si>
  <si>
    <t>using deVries and deBoer, 2010 (ref. 1 below), sect. 3.3 and fig. 5, numerical values given in p. 8 just below fig. 6</t>
    <phoneticPr fontId="107" type="noConversion"/>
  </si>
  <si>
    <t>from Table 8 of the USGS Estimated Use of Water in the United States in 2005, http://pubs.usgs.gov/circ/1344/</t>
  </si>
  <si>
    <t>mean DM content</t>
  </si>
  <si>
    <r>
      <t xml:space="preserve">mean, irrigation for </t>
    </r>
    <r>
      <rPr>
        <b/>
        <u/>
        <sz val="10"/>
        <rFont val="Calibri"/>
        <family val="2"/>
        <scheme val="minor"/>
      </rPr>
      <t xml:space="preserve">all </t>
    </r>
    <r>
      <rPr>
        <b/>
        <sz val="10"/>
        <rFont val="Calibri"/>
        <family val="2"/>
        <scheme val="minor"/>
      </rPr>
      <t>planted 
(m</t>
    </r>
    <r>
      <rPr>
        <vertAlign val="superscript"/>
        <sz val="8"/>
        <color indexed="8"/>
        <rFont val="Calibri"/>
        <family val="2"/>
        <scheme val="minor"/>
      </rPr>
      <t>3</t>
    </r>
    <r>
      <rPr>
        <sz val="8"/>
        <color indexed="8"/>
        <rFont val="Calibri"/>
        <family val="2"/>
        <scheme val="minor"/>
      </rPr>
      <t xml:space="preserve"> </t>
    </r>
    <r>
      <rPr>
        <b/>
        <sz val="10"/>
        <color indexed="8"/>
        <rFont val="Calibri"/>
        <family val="2"/>
        <scheme val="minor"/>
      </rPr>
      <t>/ac)</t>
    </r>
  </si>
  <si>
    <t>feed:eaten calorie caloric ratio</t>
  </si>
  <si>
    <t>total roughage</t>
  </si>
  <si>
    <t>total irrigated water</t>
  </si>
  <si>
    <t>tot irrigated water (10^6 m^3)</t>
  </si>
  <si>
    <t>percentage from total</t>
  </si>
  <si>
    <t>10^6 m3/yr</t>
  </si>
  <si>
    <t xml:space="preserve"> (agri census 2011 Table 8-54)</t>
  </si>
  <si>
    <t>from Pelletier 2008 (ref. 4 below), tab 2 p. 69, disregarding fertilization elimination</t>
    <phoneticPr fontId="107" type="noConversion"/>
  </si>
  <si>
    <t>milk produced in the USA in 10^6 pounds (agri census 2011 Table 8-6)</t>
  </si>
  <si>
    <t>milkfat</t>
  </si>
  <si>
    <t>Meadow Hay</t>
  </si>
  <si>
    <t>Total adjusted for domestic dissapearance</t>
  </si>
  <si>
    <t>milk</t>
  </si>
  <si>
    <t>mean (total)</t>
  </si>
  <si>
    <t>10^6 gallon/day</t>
    <phoneticPr fontId="107" type="noConversion"/>
  </si>
  <si>
    <t>kg CO2e/(edible Mcal)</t>
  </si>
  <si>
    <t>Triticale Silage</t>
  </si>
  <si>
    <t>Triticale Grain</t>
  </si>
  <si>
    <t>Sudangrass Fresh Immature</t>
  </si>
  <si>
    <t>Sudangrass Hay</t>
  </si>
  <si>
    <t>Sudangrass Silage</t>
  </si>
  <si>
    <t>Sunflower Meal, Solv. Ext.</t>
  </si>
  <si>
    <t>Sunflower Meal with Hulls</t>
  </si>
  <si>
    <t>Sunflower Seed Hulls</t>
  </si>
  <si>
    <t>Wheat Grain Hard</t>
  </si>
  <si>
    <t>Wheat Grain Soft</t>
  </si>
  <si>
    <t>Wheat Grain, Steam Flaked</t>
  </si>
  <si>
    <t>Wheat Grain Sprouted</t>
  </si>
  <si>
    <t>Wheat Mill Run</t>
  </si>
  <si>
    <t>Wheat Shorts</t>
  </si>
  <si>
    <t>Wheatgrass Crested Fresh Early Bloom</t>
  </si>
  <si>
    <t>Turnip Tops (Purple)</t>
  </si>
  <si>
    <t>Spelt Grain</t>
  </si>
  <si>
    <t>opertional water</t>
  </si>
  <si>
    <t>mean Mcal/lb DM</t>
  </si>
  <si>
    <r>
      <t xml:space="preserve">total  area treated (10 </t>
    </r>
    <r>
      <rPr>
        <b/>
        <vertAlign val="superscript"/>
        <sz val="10"/>
        <rFont val="Calibri"/>
        <family val="2"/>
        <scheme val="minor"/>
      </rPr>
      <t xml:space="preserve">6 </t>
    </r>
    <r>
      <rPr>
        <b/>
        <sz val="10"/>
        <rFont val="Calibri"/>
        <family val="2"/>
        <scheme val="minor"/>
      </rPr>
      <t>ac)</t>
    </r>
  </si>
  <si>
    <t xml:space="preserve"> </t>
  </si>
  <si>
    <t>STD (lb/ac*yr)</t>
  </si>
  <si>
    <t>fraction of water for Oats surveyed</t>
  </si>
  <si>
    <t>we assume a similar percentage of watering for Oats</t>
  </si>
  <si>
    <t>ACRES surveyed in Census 2007 table 32 (its not the total planted acerage)</t>
  </si>
  <si>
    <r>
      <t>feed calories (10</t>
    </r>
    <r>
      <rPr>
        <b/>
        <vertAlign val="superscript"/>
        <sz val="14"/>
        <rFont val="Arial"/>
        <family val="2"/>
      </rPr>
      <t>6</t>
    </r>
    <r>
      <rPr>
        <b/>
        <sz val="14"/>
        <rFont val="Arial"/>
        <family val="2"/>
      </rPr>
      <t xml:space="preserve"> Mcal/yr)</t>
    </r>
  </si>
  <si>
    <t>poultry</t>
  </si>
  <si>
    <t>total concentrates</t>
  </si>
  <si>
    <t>Grain Dust</t>
  </si>
  <si>
    <t>Grape Pomace Stemless</t>
  </si>
  <si>
    <r>
      <t>concentrates</t>
    </r>
    <r>
      <rPr>
        <vertAlign val="superscript"/>
        <sz val="10"/>
        <color theme="1"/>
        <rFont val="Calibri"/>
        <family val="2"/>
        <scheme val="minor"/>
      </rPr>
      <t>a</t>
    </r>
  </si>
  <si>
    <t>a</t>
  </si>
  <si>
    <t>Fat, Animal, Poultry, Vegetable</t>
  </si>
  <si>
    <t>Feather Meal Hydrolyzed</t>
  </si>
  <si>
    <t>Fescue KY 31 Fresh</t>
  </si>
  <si>
    <t>Fescue KY 31 Hay Early Bloom</t>
  </si>
  <si>
    <t>Fescue KY 31 Hay Mature</t>
  </si>
  <si>
    <t>Fescue (Red) Straw</t>
  </si>
  <si>
    <t>Fish Meal</t>
  </si>
  <si>
    <t>Flax Seed Hulls</t>
  </si>
  <si>
    <t>Garbage Municipal Cooked</t>
  </si>
  <si>
    <t>total agriculture</t>
  </si>
  <si>
    <t>total feed</t>
  </si>
  <si>
    <t>Lespedeza Fresh Early Bloom</t>
  </si>
  <si>
    <t>Lespedeza Hay</t>
  </si>
  <si>
    <t>Limestone Ground</t>
  </si>
  <si>
    <t>Limestone Dolomitic Ground</t>
  </si>
  <si>
    <t>Linseed Meal, Solv. Ext.</t>
  </si>
  <si>
    <t>Linseed Meal, Mech. Ext.</t>
  </si>
  <si>
    <t>Molasses Cane Dried</t>
  </si>
  <si>
    <t>Meat Meal, Swine/Poultry</t>
  </si>
  <si>
    <t>Molasses Beet</t>
  </si>
  <si>
    <t>Molasses Cane</t>
  </si>
  <si>
    <t>Molasses, Cond. Fermentation Solubles</t>
  </si>
  <si>
    <t>Molasses Citrus</t>
  </si>
  <si>
    <t>Molasses Wood, Hemicellulose</t>
  </si>
  <si>
    <t>Meat and Bone Meal, Swine/Poultry</t>
  </si>
  <si>
    <t>Milk, Dry, Skim</t>
  </si>
  <si>
    <t>USDA_2007_major land uses table 1 pg,4</t>
  </si>
  <si>
    <t>lb to g</t>
  </si>
  <si>
    <t>Oat Middlings</t>
  </si>
  <si>
    <t>Oat Mill By-product</t>
  </si>
  <si>
    <t>Oat Hulls</t>
  </si>
  <si>
    <t>Orange Pulp Dried</t>
  </si>
  <si>
    <t>Orchardgrass Fresh Early Bloom</t>
  </si>
  <si>
    <t>Orchardgrass Hay</t>
  </si>
  <si>
    <t>Pea Vine Hay</t>
  </si>
  <si>
    <t>c</t>
  </si>
  <si>
    <r>
      <t xml:space="preserve">pasture </t>
    </r>
    <r>
      <rPr>
        <vertAlign val="superscript"/>
        <sz val="10"/>
        <color theme="1"/>
        <rFont val="Calibri"/>
        <family val="2"/>
        <scheme val="minor"/>
      </rPr>
      <t>c</t>
    </r>
  </si>
  <si>
    <t>chapter 1</t>
  </si>
  <si>
    <t>chapter 2</t>
  </si>
  <si>
    <t>table 3</t>
  </si>
  <si>
    <t>percentage of feed water from total irrigated</t>
  </si>
  <si>
    <t>USA</t>
  </si>
  <si>
    <t>edible Mcal/(kg egg)</t>
  </si>
  <si>
    <r>
      <t>needed land  (10</t>
    </r>
    <r>
      <rPr>
        <b/>
        <vertAlign val="superscript"/>
        <sz val="10"/>
        <rFont val="Calibri"/>
        <family val="2"/>
        <scheme val="minor"/>
      </rPr>
      <t>6</t>
    </r>
    <r>
      <rPr>
        <b/>
        <sz val="10"/>
        <rFont val="Calibri"/>
        <family val="2"/>
        <scheme val="minor"/>
      </rPr>
      <t xml:space="preserve"> ac)</t>
    </r>
  </si>
  <si>
    <r>
      <t>total Nr (10</t>
    </r>
    <r>
      <rPr>
        <b/>
        <vertAlign val="superscript"/>
        <sz val="10"/>
        <rFont val="Calibri"/>
        <family val="2"/>
        <scheme val="minor"/>
      </rPr>
      <t xml:space="preserve">6 </t>
    </r>
    <r>
      <rPr>
        <b/>
        <sz val="10"/>
        <rFont val="Calibri"/>
        <family val="2"/>
        <scheme val="minor"/>
      </rPr>
      <t>lb/yr)</t>
    </r>
  </si>
  <si>
    <r>
      <t>water needed for feed 10</t>
    </r>
    <r>
      <rPr>
        <b/>
        <vertAlign val="superscript"/>
        <sz val="10"/>
        <rFont val="Calibri"/>
        <family val="2"/>
        <scheme val="minor"/>
      </rPr>
      <t>6</t>
    </r>
    <r>
      <rPr>
        <b/>
        <sz val="10"/>
        <rFont val="Calibri"/>
        <family val="2"/>
        <scheme val="minor"/>
      </rPr>
      <t xml:space="preserve"> m</t>
    </r>
    <r>
      <rPr>
        <vertAlign val="superscript"/>
        <sz val="10"/>
        <color theme="1"/>
        <rFont val="Calibri"/>
        <family val="2"/>
        <scheme val="minor"/>
      </rPr>
      <t xml:space="preserve">3 </t>
    </r>
    <r>
      <rPr>
        <sz val="10"/>
        <color theme="1"/>
        <rFont val="Calibri"/>
        <family val="2"/>
        <scheme val="minor"/>
      </rPr>
      <t>/yr</t>
    </r>
  </si>
  <si>
    <t>Rice Grain</t>
  </si>
  <si>
    <t>Rice Polishings</t>
  </si>
  <si>
    <t>Rice Bran</t>
  </si>
  <si>
    <t>Rice Hulls</t>
  </si>
  <si>
    <t>Bluegrass Straw</t>
  </si>
  <si>
    <t>Bluestem Fresh Mature</t>
  </si>
  <si>
    <t>Bone Meal Steamed, Swine/Poultry</t>
  </si>
  <si>
    <t>Bread By-product</t>
  </si>
  <si>
    <t>Brewers Grains Wet</t>
  </si>
  <si>
    <t>Brewers Grains Dried</t>
  </si>
  <si>
    <t>Brewers Yeast Dried</t>
  </si>
  <si>
    <t>Bromegrass Fresh Immature</t>
  </si>
  <si>
    <t>Bromegrass Hay</t>
  </si>
  <si>
    <t>Bromegrass Haylage</t>
  </si>
  <si>
    <t>Buttermilk Dried</t>
  </si>
  <si>
    <t>Cactus, Prickly Pear</t>
  </si>
  <si>
    <t>Sodium Tripolyphosphate</t>
  </si>
  <si>
    <r>
      <t>land (10</t>
    </r>
    <r>
      <rPr>
        <vertAlign val="superscript"/>
        <sz val="10"/>
        <rFont val="Arial"/>
        <family val="2"/>
      </rPr>
      <t>6</t>
    </r>
    <r>
      <rPr>
        <sz val="10"/>
        <rFont val="Arial"/>
        <family val="2"/>
      </rPr>
      <t xml:space="preserve"> ac/yr)</t>
    </r>
  </si>
  <si>
    <r>
      <t>water (10</t>
    </r>
    <r>
      <rPr>
        <vertAlign val="superscript"/>
        <sz val="10"/>
        <rFont val="Arial"/>
        <family val="2"/>
      </rPr>
      <t>6</t>
    </r>
    <r>
      <rPr>
        <sz val="10"/>
        <rFont val="Arial"/>
        <family val="2"/>
      </rPr>
      <t xml:space="preserve"> m</t>
    </r>
    <r>
      <rPr>
        <vertAlign val="superscript"/>
        <sz val="10"/>
        <rFont val="Arial"/>
        <family val="2"/>
      </rPr>
      <t>3</t>
    </r>
    <r>
      <rPr>
        <sz val="10"/>
        <rFont val="Arial"/>
        <family val="2"/>
      </rPr>
      <t xml:space="preserve"> /yr)</t>
    </r>
  </si>
  <si>
    <t>conversion units</t>
  </si>
  <si>
    <t>Soybeans Whole, Extruded</t>
  </si>
  <si>
    <t>Soybeans Whole, Roasted</t>
  </si>
  <si>
    <t>Mcal/kg</t>
  </si>
  <si>
    <t>Soybean Mill Feed</t>
  </si>
  <si>
    <t>Cattle Manure Dried</t>
  </si>
  <si>
    <t>Cheatgrass Fresh Immature</t>
  </si>
  <si>
    <t>Citrus Pulp Dried</t>
  </si>
  <si>
    <t>Timothy Hay Full Bloom</t>
  </si>
  <si>
    <t>Timothy Silage</t>
  </si>
  <si>
    <t>Tomato Pomace Dried</t>
  </si>
  <si>
    <t>Triticale Hay</t>
  </si>
  <si>
    <t>http://www.agcensus.usda.gov/Publications/2007/Online_Highlights/Farm_and_Ranch_Irrigation_Survey/index.asp</t>
  </si>
  <si>
    <r>
      <t>irrigation, average acre-feet applied</t>
    </r>
    <r>
      <rPr>
        <vertAlign val="superscript"/>
        <sz val="8"/>
        <color indexed="8"/>
        <rFont val="Arial"/>
        <family val="2"/>
      </rPr>
      <t>2</t>
    </r>
  </si>
  <si>
    <r>
      <t>total water 10</t>
    </r>
    <r>
      <rPr>
        <vertAlign val="superscript"/>
        <sz val="8"/>
        <color rgb="FF0070C0"/>
        <rFont val="Arial"/>
        <family val="2"/>
      </rPr>
      <t>6</t>
    </r>
    <r>
      <rPr>
        <sz val="8"/>
        <color rgb="FF0070C0"/>
        <rFont val="Arial"/>
        <family val="2"/>
      </rPr>
      <t xml:space="preserve">  m</t>
    </r>
    <r>
      <rPr>
        <vertAlign val="superscript"/>
        <sz val="8"/>
        <color rgb="FF0070C0"/>
        <rFont val="Arial"/>
        <family val="2"/>
      </rPr>
      <t>3</t>
    </r>
    <r>
      <rPr>
        <sz val="8"/>
        <color rgb="FF0070C0"/>
        <rFont val="Arial"/>
        <family val="2"/>
      </rPr>
      <t>/yr</t>
    </r>
  </si>
  <si>
    <t>Clover Ladino Hay</t>
  </si>
  <si>
    <t>Turnip Roots</t>
  </si>
  <si>
    <t>Urea 46%N</t>
  </si>
  <si>
    <t>Vetch Hay</t>
  </si>
  <si>
    <t>Wheat Fresh, Pasture</t>
  </si>
  <si>
    <t>Wheat Hay</t>
  </si>
  <si>
    <t>Wheat Silage</t>
  </si>
  <si>
    <t>Wheat Straw</t>
  </si>
  <si>
    <t>Wheat Straw Ammoniated</t>
  </si>
  <si>
    <t>Wheat Grain</t>
  </si>
  <si>
    <t>Corn Bran</t>
  </si>
  <si>
    <t>Corn Germ, Full-fat</t>
  </si>
  <si>
    <t>Corn Gluten Feed</t>
  </si>
  <si>
    <t>http://www.agcensus.usda.gov/Publications/2007/Online_Highlights/Farm_and_Ranch_Irrigation_Survey/index.php</t>
  </si>
  <si>
    <t>Sugar Cane Bagasse</t>
  </si>
  <si>
    <t>Tapioca Meal, Cassava By-product</t>
  </si>
  <si>
    <t>Timothy Fresh Pre-bloom</t>
  </si>
  <si>
    <t>std (annual)</t>
  </si>
  <si>
    <t>Production all purposes (Million bushels)</t>
  </si>
  <si>
    <t>irrigation rate is then total water divided by oats acres surveyed</t>
  </si>
  <si>
    <r>
      <t>Nitrogen (10</t>
    </r>
    <r>
      <rPr>
        <vertAlign val="superscript"/>
        <sz val="12"/>
        <rFont val="Arial"/>
        <family val="2"/>
      </rPr>
      <t>6</t>
    </r>
    <r>
      <rPr>
        <sz val="12"/>
        <rFont val="Arial"/>
        <family val="2"/>
      </rPr>
      <t xml:space="preserve"> lb/yr)</t>
    </r>
    <phoneticPr fontId="107" type="noConversion"/>
  </si>
  <si>
    <t>*</t>
  </si>
  <si>
    <t>fraction of each animal category in overall feestuff</t>
  </si>
  <si>
    <t>fraction of each feed type in the diet of each animal category</t>
  </si>
  <si>
    <t>processed roughage</t>
  </si>
  <si>
    <t xml:space="preserve">poultry </t>
  </si>
  <si>
    <t>pork</t>
  </si>
  <si>
    <t>eggs</t>
  </si>
  <si>
    <t>Corn Whole Plant Pelleted</t>
  </si>
  <si>
    <t>Corn Fodder</t>
  </si>
  <si>
    <t>Corn Stover Mature (Stalks)</t>
  </si>
  <si>
    <t>Corn Silage Milk Stage</t>
  </si>
  <si>
    <t>Glycerol (Glycerin)</t>
  </si>
  <si>
    <t>Grain Screenings</t>
  </si>
  <si>
    <t>based on paper 1 ( edibles feed/total need- Main L,N,P 21;23)</t>
  </si>
  <si>
    <t>(based on USDA data-products, see our Excel - edibles supply&amp;Diss)</t>
  </si>
  <si>
    <t>Meat, eggs, and nuts:  Average daily per capita calories from the U.S. food availability, adjusted for spoilage and other waste</t>
  </si>
  <si>
    <t xml:space="preserve">1 Mcal = </t>
  </si>
  <si>
    <t>MJ</t>
  </si>
  <si>
    <t>eNDF</t>
  </si>
  <si>
    <t>EE</t>
  </si>
  <si>
    <t>Mint Slug Silage</t>
  </si>
  <si>
    <t>Plant nutrient use for corn grains only (excludes corn for silage) for years 1994 to 2010.</t>
  </si>
  <si>
    <t>Corn and Cob Meal</t>
  </si>
  <si>
    <t>Corn Cobs</t>
  </si>
  <si>
    <t>ENERGY</t>
  </si>
  <si>
    <t>PROTEIN</t>
  </si>
  <si>
    <t>FIBER</t>
  </si>
  <si>
    <t>FEEDSTUFF</t>
  </si>
  <si>
    <t>DM</t>
  </si>
  <si>
    <t>TDN</t>
  </si>
  <si>
    <r>
      <t>NE</t>
    </r>
    <r>
      <rPr>
        <b/>
        <vertAlign val="subscript"/>
        <sz val="10"/>
        <color indexed="8"/>
        <rFont val="Times New Roman"/>
        <family val="1"/>
      </rPr>
      <t>m</t>
    </r>
  </si>
  <si>
    <r>
      <t>NE</t>
    </r>
    <r>
      <rPr>
        <b/>
        <vertAlign val="subscript"/>
        <sz val="10"/>
        <color indexed="8"/>
        <rFont val="Times New Roman"/>
        <family val="1"/>
      </rPr>
      <t>g</t>
    </r>
  </si>
  <si>
    <r>
      <t>NE</t>
    </r>
    <r>
      <rPr>
        <b/>
        <vertAlign val="subscript"/>
        <sz val="10"/>
        <color indexed="8"/>
        <rFont val="Times New Roman"/>
        <family val="1"/>
      </rPr>
      <t>l</t>
    </r>
  </si>
  <si>
    <t>CP</t>
  </si>
  <si>
    <t>UIP</t>
  </si>
  <si>
    <t>CF</t>
  </si>
  <si>
    <t>ADF</t>
  </si>
  <si>
    <t>Curacao Phosphate</t>
  </si>
  <si>
    <t>Defluorinated Phosphate</t>
  </si>
  <si>
    <t>Diammonium Phosphate</t>
  </si>
  <si>
    <t>std</t>
  </si>
  <si>
    <t>10^6 ac</t>
  </si>
  <si>
    <t>%</t>
  </si>
  <si>
    <t>from oil yearbook</t>
  </si>
  <si>
    <t>barley</t>
  </si>
  <si>
    <t>oats</t>
  </si>
  <si>
    <t xml:space="preserve">mean </t>
  </si>
  <si>
    <t>Monoammonium Phosphate</t>
  </si>
  <si>
    <t>Mono-dicalcium Phosphate</t>
  </si>
  <si>
    <t>Oat Hay</t>
  </si>
  <si>
    <t>Oat Silage</t>
  </si>
  <si>
    <t>Oat Straw</t>
  </si>
  <si>
    <t>Oat Grain</t>
  </si>
  <si>
    <t>Oat Grain, Steam Flaked</t>
  </si>
  <si>
    <t>Oat Groats</t>
  </si>
  <si>
    <t xml:space="preserve">fertilizer use: (http://www.ers.usda.gov/data-products/fertilizer-use-and-price.aspx)
</t>
  </si>
  <si>
    <t>Potato Vine Silage</t>
  </si>
  <si>
    <t>Potatoes Cull</t>
  </si>
  <si>
    <t>Barley Grain, Steam Rolled</t>
  </si>
  <si>
    <t>Barley Grain 2-row</t>
  </si>
  <si>
    <t>Barley Grain 6-row</t>
  </si>
  <si>
    <t>eggs million (dozens) consumed</t>
  </si>
  <si>
    <r>
      <t>m</t>
    </r>
    <r>
      <rPr>
        <vertAlign val="superscript"/>
        <sz val="11"/>
        <rFont val="Arial"/>
        <family val="2"/>
      </rPr>
      <t>2</t>
    </r>
    <r>
      <rPr>
        <sz val="11"/>
        <rFont val="Arial"/>
        <family val="2"/>
      </rPr>
      <t xml:space="preserve"> yr Mcal</t>
    </r>
    <r>
      <rPr>
        <vertAlign val="superscript"/>
        <sz val="11"/>
        <rFont val="Arial"/>
        <family val="2"/>
      </rPr>
      <t>-1</t>
    </r>
  </si>
  <si>
    <r>
      <t>g Nr Mcal</t>
    </r>
    <r>
      <rPr>
        <vertAlign val="superscript"/>
        <sz val="11"/>
        <rFont val="Arial"/>
        <family val="2"/>
      </rPr>
      <t>-1</t>
    </r>
  </si>
  <si>
    <r>
      <t>L Mcal</t>
    </r>
    <r>
      <rPr>
        <vertAlign val="superscript"/>
        <sz val="11"/>
        <rFont val="Arial"/>
        <family val="2"/>
      </rPr>
      <t>-1</t>
    </r>
  </si>
  <si>
    <r>
      <t>kg CO</t>
    </r>
    <r>
      <rPr>
        <vertAlign val="subscript"/>
        <sz val="11"/>
        <rFont val="Arial"/>
        <family val="2"/>
      </rPr>
      <t>2</t>
    </r>
    <r>
      <rPr>
        <sz val="11"/>
        <rFont val="Arial"/>
        <family val="2"/>
      </rPr>
      <t>eq Mcal</t>
    </r>
    <r>
      <rPr>
        <vertAlign val="superscript"/>
        <sz val="11"/>
        <rFont val="Arial"/>
        <family val="2"/>
      </rPr>
      <t>-1</t>
    </r>
  </si>
  <si>
    <r>
      <t>g Nr Mcal</t>
    </r>
    <r>
      <rPr>
        <vertAlign val="superscript"/>
        <sz val="12"/>
        <rFont val="Arial"/>
        <family val="2"/>
      </rPr>
      <t>-1</t>
    </r>
    <phoneticPr fontId="107" type="noConversion"/>
  </si>
  <si>
    <t>http://www.ers.usda.gov/data-products/food-availability-(per-capita)-data-system.aspx#26705</t>
  </si>
  <si>
    <t>from :USDA_calorie intake lossAdjusted</t>
  </si>
  <si>
    <r>
      <t>ac to m</t>
    </r>
    <r>
      <rPr>
        <i/>
        <vertAlign val="superscript"/>
        <sz val="8"/>
        <rFont val="Arial"/>
        <family val="2"/>
      </rPr>
      <t>2</t>
    </r>
  </si>
  <si>
    <t>Potato Waste Wet</t>
  </si>
  <si>
    <t>Potato Waste Dried</t>
  </si>
  <si>
    <t>Potato Waste Wet with Lime</t>
  </si>
  <si>
    <t>Potato Waste Filter Cake</t>
  </si>
  <si>
    <t>Poultry By-product Meal</t>
  </si>
  <si>
    <t>Poultry Manure Dried</t>
  </si>
  <si>
    <t>Prairie Hay</t>
  </si>
  <si>
    <t>Pumpkins, Cull</t>
  </si>
  <si>
    <t>Rice Straw</t>
  </si>
  <si>
    <t>Rice Straw Ammoniated</t>
  </si>
  <si>
    <t>Biuret</t>
  </si>
  <si>
    <t>Buckwheat Grain</t>
  </si>
  <si>
    <t>Sorhum Grain (Milo) Flaked</t>
  </si>
  <si>
    <t>Soybean Hay</t>
  </si>
  <si>
    <t>Soybean Straw</t>
  </si>
  <si>
    <t>Soybeans Whole</t>
  </si>
  <si>
    <t>Clover Ladino Fresh</t>
  </si>
  <si>
    <t>Timothy Hay Early Bloom</t>
  </si>
  <si>
    <t>Soybean Hulls</t>
  </si>
  <si>
    <t>Soybean Meal, Solv. Ext. 44% CP</t>
  </si>
  <si>
    <t>Soybean Meal, Solv. Ext. 49% CP</t>
  </si>
  <si>
    <t>Carrot Root Fresh</t>
  </si>
  <si>
    <t>Carrot Tops</t>
  </si>
  <si>
    <t>Carrot Pulp</t>
  </si>
  <si>
    <t>Production grain (Million bushels)</t>
  </si>
  <si>
    <t>Production silage (Million short tons)</t>
  </si>
  <si>
    <t>Yield per planted acre silage (tons per acre)</t>
  </si>
  <si>
    <t xml:space="preserve">Planted acreage silage (Million acres) </t>
  </si>
  <si>
    <t>corn grains</t>
  </si>
  <si>
    <t>sorghum grains</t>
  </si>
  <si>
    <t>corn silage</t>
  </si>
  <si>
    <t>1/ June-May.  Latest data may be preliminary or projected.
2/ Total may not add due to rounding.
Source: USDA, World Agricultural Outlook Board, World Agricultural Supply and Demand Estimates 
and supporting materials.</t>
  </si>
  <si>
    <t>Table 7--Oats: Supply and disappearance (million bushels)</t>
  </si>
  <si>
    <t>brown - original data from othere sources (census and survay)</t>
  </si>
  <si>
    <r>
      <t>Planted acreage (Million acres)</t>
    </r>
    <r>
      <rPr>
        <vertAlign val="superscript"/>
        <sz val="8"/>
        <color indexed="8"/>
        <rFont val="Arial"/>
        <family val="2"/>
      </rPr>
      <t>1</t>
    </r>
  </si>
  <si>
    <t>Corn Gluten Meal 60% CP</t>
  </si>
  <si>
    <t>Corn Cannery Waste</t>
  </si>
  <si>
    <t>Cottonseed, Whole</t>
  </si>
  <si>
    <t>Cottonseed, Whole, Delinted</t>
  </si>
  <si>
    <t>Cottonseed, Whole, Extruded</t>
  </si>
  <si>
    <t>Corn Gluten Meal 41% CP</t>
  </si>
  <si>
    <t>Nutritive value of food USDA 2002 from http://www.ars.usda.gov/SP2UserFiles/Place/12354500/Data/hg72/hg72_2002.pdf</t>
  </si>
  <si>
    <t>Yeast, Brewer's</t>
  </si>
  <si>
    <t>Dicalcium Phosphate</t>
  </si>
  <si>
    <t>% of domestic supply</t>
  </si>
  <si>
    <t>2000-2005</t>
  </si>
  <si>
    <t>Total grains</t>
  </si>
  <si>
    <t>cropland used for pasture</t>
  </si>
  <si>
    <t>Source URL: http://beefmagazine.com/nutrition/feed-composition-tables/feed-composition-value-cattle--0301</t>
  </si>
  <si>
    <t>Distillers Grain, Barley</t>
  </si>
  <si>
    <t>Distillers Grain, Corn, Dry</t>
  </si>
  <si>
    <t>Distillers Grain, Corn, Wet</t>
  </si>
  <si>
    <t>Distillers Grain, Corn with Solubles</t>
  </si>
  <si>
    <t>Distillers Corn Stillage</t>
  </si>
  <si>
    <t>Distillers Grain, Sorghum, Dry</t>
  </si>
  <si>
    <t>Distillers Grain, Sorghum, Wet</t>
  </si>
  <si>
    <t>Distillers Grain, Sorghum with Solubles</t>
  </si>
  <si>
    <t>Distillers Dried Solubles</t>
  </si>
  <si>
    <t>Corn Silage Mature Well Eared</t>
  </si>
  <si>
    <t>Corn Silage Sweet Corn</t>
  </si>
  <si>
    <t>Corn Grain Whole</t>
  </si>
  <si>
    <t>Corn Grain Rolled</t>
  </si>
  <si>
    <t>Hop Vine Silage</t>
  </si>
  <si>
    <t>Hops Spent</t>
  </si>
  <si>
    <t>Kelp Dried</t>
  </si>
  <si>
    <t>Kenaf Hay</t>
  </si>
  <si>
    <t>Kochia Fresh</t>
  </si>
  <si>
    <t>Kochia Hay</t>
  </si>
  <si>
    <t>Kudzu Hay</t>
  </si>
  <si>
    <t>NDF</t>
  </si>
  <si>
    <r>
      <t>irrigation, average m</t>
    </r>
    <r>
      <rPr>
        <vertAlign val="superscript"/>
        <sz val="8"/>
        <color rgb="FF0070C0"/>
        <rFont val="Arial"/>
        <family val="2"/>
      </rPr>
      <t>3</t>
    </r>
    <r>
      <rPr>
        <sz val="8"/>
        <color rgb="FF0070C0"/>
        <rFont val="Arial"/>
        <family val="2"/>
      </rPr>
      <t>/ac applied for irrigated land</t>
    </r>
  </si>
  <si>
    <r>
      <t>irrigation average for planted land  m</t>
    </r>
    <r>
      <rPr>
        <vertAlign val="superscript"/>
        <sz val="8"/>
        <color rgb="FF0070C0"/>
        <rFont val="Arial"/>
        <family val="2"/>
      </rPr>
      <t>3</t>
    </r>
    <r>
      <rPr>
        <sz val="8"/>
        <color rgb="FF0070C0"/>
        <rFont val="Arial"/>
        <family val="2"/>
      </rPr>
      <t>/ac</t>
    </r>
  </si>
  <si>
    <t>% of planted land irrigated</t>
  </si>
  <si>
    <t>alfalfa and alfalfa mixtures (dry hay, greenchop and silage)</t>
  </si>
  <si>
    <t xml:space="preserve">all other hay </t>
  </si>
  <si>
    <t>total hay</t>
  </si>
  <si>
    <t>yield ton/ac</t>
  </si>
  <si>
    <t>???</t>
  </si>
  <si>
    <t>Total domestic use 2/</t>
  </si>
  <si>
    <t>Exports</t>
  </si>
  <si>
    <t>Total disappearance 2/</t>
  </si>
  <si>
    <t>Ending stocks</t>
  </si>
  <si>
    <t>http://www.ers.usda.gov/data-products/wheat-data.aspx</t>
  </si>
  <si>
    <t xml:space="preserve">source : wheat yearbook , accessed 24.10.12 </t>
  </si>
  <si>
    <t>soybean</t>
  </si>
  <si>
    <t>wheat</t>
  </si>
  <si>
    <t>mean Nr (lb/ac*yr)</t>
  </si>
  <si>
    <t>land</t>
  </si>
  <si>
    <t>***</t>
  </si>
  <si>
    <t>http://usda.mannlib.cornell.edu/MannUsda/viewDocumentInfo.do?documentID=1290</t>
  </si>
  <si>
    <t>USDA oil yearbook, accessed 22.10.12</t>
  </si>
  <si>
    <r>
      <t>total hay haylage grass silage and greenchop</t>
    </r>
    <r>
      <rPr>
        <b/>
        <i/>
        <vertAlign val="superscript"/>
        <sz val="11"/>
        <color theme="1"/>
        <rFont val="Calibri"/>
        <family val="2"/>
        <scheme val="minor"/>
      </rPr>
      <t>5</t>
    </r>
  </si>
  <si>
    <r>
      <t>corn silage</t>
    </r>
    <r>
      <rPr>
        <b/>
        <i/>
        <vertAlign val="superscript"/>
        <sz val="11"/>
        <color theme="1"/>
        <rFont val="Calibri"/>
        <family val="2"/>
        <scheme val="minor"/>
      </rPr>
      <t>3</t>
    </r>
  </si>
  <si>
    <r>
      <t>sorgum silage</t>
    </r>
    <r>
      <rPr>
        <b/>
        <i/>
        <vertAlign val="superscript"/>
        <sz val="11"/>
        <color theme="1"/>
        <rFont val="Calibri"/>
        <family val="2"/>
        <scheme val="minor"/>
      </rPr>
      <t>4</t>
    </r>
  </si>
  <si>
    <t>10^3 acres</t>
  </si>
  <si>
    <t>http://quickstats.nass.usda.gov/results/E43C512B-E62A-3B8F-91AC-F8A05EF10657</t>
  </si>
  <si>
    <t>accessed 24.10.12</t>
  </si>
  <si>
    <t>Nitrogen
(nutrient)</t>
  </si>
  <si>
    <t xml:space="preserve">  10^3  tons</t>
  </si>
  <si>
    <t>mean Nr
(lb/ac*yr)</t>
  </si>
  <si>
    <t>Pea Vine Silage</t>
  </si>
  <si>
    <t>Pea Vine Straw</t>
  </si>
  <si>
    <t>Peas Cull</t>
  </si>
  <si>
    <t>Peanut Hulls</t>
  </si>
  <si>
    <t>Peanut Meal, Solv. Ext.</t>
  </si>
  <si>
    <r>
      <t xml:space="preserve">mean yield, </t>
    </r>
    <r>
      <rPr>
        <b/>
        <u/>
        <sz val="10"/>
        <rFont val="Calibri"/>
        <family val="2"/>
        <scheme val="minor"/>
      </rPr>
      <t>planted</t>
    </r>
    <r>
      <rPr>
        <b/>
        <sz val="10"/>
        <rFont val="Calibri"/>
        <family val="2"/>
        <scheme val="minor"/>
      </rPr>
      <t xml:space="preserve"> (short tons/ac) </t>
    </r>
  </si>
  <si>
    <r>
      <t>total feed DRY mass (10</t>
    </r>
    <r>
      <rPr>
        <b/>
        <vertAlign val="superscript"/>
        <sz val="10"/>
        <color theme="1"/>
        <rFont val="Calibri"/>
        <family val="2"/>
        <scheme val="minor"/>
      </rPr>
      <t xml:space="preserve">6 </t>
    </r>
    <r>
      <rPr>
        <b/>
        <sz val="10"/>
        <color theme="1"/>
        <rFont val="Calibri"/>
        <family val="2"/>
        <scheme val="minor"/>
      </rPr>
      <t>lb)</t>
    </r>
  </si>
  <si>
    <t>Pineapple Presscake</t>
  </si>
  <si>
    <t>Barley Grain Lt. Wt. (42-44 lb/bu)</t>
  </si>
  <si>
    <t>Barley Feed Pearl By-product</t>
  </si>
  <si>
    <t>Barley Bran</t>
  </si>
  <si>
    <t>Barley Grain Screenings</t>
  </si>
  <si>
    <t>Beans Navy Cull</t>
  </si>
  <si>
    <t>Beet Pulp Wet</t>
  </si>
  <si>
    <t xml:space="preserve">Planted acreage grain (Million acres) </t>
  </si>
  <si>
    <r>
      <t>land, m</t>
    </r>
    <r>
      <rPr>
        <b/>
        <vertAlign val="superscript"/>
        <sz val="12"/>
        <rFont val="Arial"/>
        <family val="2"/>
      </rPr>
      <t>2</t>
    </r>
    <r>
      <rPr>
        <b/>
        <sz val="12"/>
        <rFont val="Arial"/>
        <family val="2"/>
      </rPr>
      <t xml:space="preserve"> (yr Mcal)</t>
    </r>
    <r>
      <rPr>
        <b/>
        <vertAlign val="superscript"/>
        <sz val="12"/>
        <rFont val="Arial"/>
        <family val="2"/>
      </rPr>
      <t>-1</t>
    </r>
    <phoneticPr fontId="107" type="noConversion"/>
  </si>
  <si>
    <t>Harvested for all purpeses (Million acres)</t>
  </si>
  <si>
    <t>Beet Pulp Dried</t>
  </si>
  <si>
    <t>Beet Pulp Wet with Molasses</t>
  </si>
  <si>
    <t>Beet Pulp Dried with Molasses</t>
  </si>
  <si>
    <t>Beet Tops (Sugar)</t>
  </si>
  <si>
    <t>Beet Top Silage</t>
  </si>
  <si>
    <t>Bermudagrass Coastal Dehydrated</t>
  </si>
  <si>
    <t>Bermudagrass Coastal Hay</t>
  </si>
  <si>
    <t>Bermudagrass Hay</t>
  </si>
  <si>
    <t>Bermudagrass Silage</t>
  </si>
  <si>
    <t>Birdsfoot Trefoil Fresh</t>
  </si>
  <si>
    <t>Blood Meal, Swine/Poultry</t>
  </si>
  <si>
    <t>Bluegrass KY Fresh Early Bloom</t>
  </si>
  <si>
    <t>Sorghum Stover</t>
  </si>
  <si>
    <t>Sorghum Silage</t>
  </si>
  <si>
    <t>Sorghum Grain (Milo) Ground</t>
  </si>
  <si>
    <t>black - original data from grain yearbook</t>
  </si>
  <si>
    <t>Calcium Carbonate</t>
  </si>
  <si>
    <t>Canarygrass Hay</t>
  </si>
  <si>
    <t>Canola Meal, Solv. Ext.</t>
  </si>
  <si>
    <t xml:space="preserve">1/ A marketing loan program replaced the nonrecourse loan of previous years beginning with the 1991 crop.  Effective marketing loan value is $4.92 ($5.02 less </t>
  </si>
  <si>
    <t>2-percent origination fee)  for crop years 1991-1993.  2/ Forecast.</t>
  </si>
  <si>
    <t>Alfalfa Seed Screenings</t>
  </si>
  <si>
    <t>Alfalfa Silage</t>
  </si>
  <si>
    <t>Alfalfa Silage Wilted</t>
  </si>
  <si>
    <t>Alfalfa Leaf Meal</t>
  </si>
  <si>
    <t>3.40</t>
  </si>
  <si>
    <t>Barley Straw</t>
  </si>
  <si>
    <t>Barley Grain</t>
  </si>
  <si>
    <t>Barley Grain, Steam Flaked</t>
  </si>
  <si>
    <t xml:space="preserve">  N.A. =  Not applicable.</t>
  </si>
  <si>
    <t>2005/06</t>
  </si>
  <si>
    <t>146.00</t>
  </si>
  <si>
    <t>Sorghum</t>
  </si>
  <si>
    <t>6.21</t>
  </si>
  <si>
    <t>5.24</t>
  </si>
  <si>
    <t>340.00</t>
  </si>
  <si>
    <t>Barley</t>
  </si>
  <si>
    <t>3.27</t>
  </si>
  <si>
    <t>3.68</t>
  </si>
  <si>
    <t>216.69</t>
  </si>
  <si>
    <t>Oats</t>
  </si>
  <si>
    <t>2001/02</t>
  </si>
  <si>
    <t>2.78</t>
  </si>
  <si>
    <t>1/ Corn and sorghum, September-August; barley and oats, June-May. Latest data maybe preliminary or projected.
2/ U.S. season-average price based on monthly price received by farmers weighted by monthly marketings.  Prices</t>
  </si>
  <si>
    <t>from the wheat yearbook tables, http://www.ers.usda.gov/data/wheat/YBtable05.asp</t>
  </si>
  <si>
    <t>Clover Red Fresh</t>
  </si>
  <si>
    <t>Clover Red Hay</t>
  </si>
  <si>
    <t>Cotton Gin Trash (Burrs)</t>
  </si>
  <si>
    <t>Cottonseed Hulls</t>
  </si>
  <si>
    <t>Cottonseed Meal, Solv. Ext. 41% CP</t>
  </si>
  <si>
    <t>grassland pasture</t>
  </si>
  <si>
    <t>USDA_2007_major land uses in the US _table 2</t>
  </si>
  <si>
    <t>grazed forest</t>
  </si>
  <si>
    <t>total land</t>
  </si>
  <si>
    <r>
      <t>land</t>
    </r>
    <r>
      <rPr>
        <vertAlign val="superscript"/>
        <sz val="11"/>
        <color theme="1"/>
        <rFont val="Calibri"/>
        <family val="2"/>
        <scheme val="minor"/>
      </rPr>
      <t>1</t>
    </r>
  </si>
  <si>
    <r>
      <t>fertilizer</t>
    </r>
    <r>
      <rPr>
        <vertAlign val="superscript"/>
        <sz val="11"/>
        <color theme="1"/>
        <rFont val="Calibri"/>
        <family val="2"/>
        <scheme val="minor"/>
      </rPr>
      <t>2</t>
    </r>
  </si>
  <si>
    <t>USDA_ quickstats_pastureland_treated_fertiliezr</t>
  </si>
  <si>
    <t>Wheatgrass Crested Fresh Full Bloom</t>
  </si>
  <si>
    <t>Wheatgrass Crested Hay</t>
  </si>
  <si>
    <t>Whey Dried</t>
  </si>
  <si>
    <t>beef</t>
  </si>
  <si>
    <t>dairy</t>
  </si>
  <si>
    <t>Distillers Grain, Wet</t>
  </si>
  <si>
    <r>
      <t xml:space="preserve">Sources: </t>
    </r>
    <r>
      <rPr>
        <i/>
        <sz val="7"/>
        <rFont val="Helvetica"/>
        <family val="2"/>
      </rPr>
      <t>Crop Production</t>
    </r>
    <r>
      <rPr>
        <sz val="7"/>
        <rFont val="Helvetica"/>
        <family val="2"/>
      </rPr>
      <t xml:space="preserve"> and </t>
    </r>
    <r>
      <rPr>
        <i/>
        <sz val="7"/>
        <rFont val="Helvetica"/>
        <family val="2"/>
      </rPr>
      <t>Crop Values</t>
    </r>
    <r>
      <rPr>
        <sz val="7"/>
        <rFont val="Helvetica"/>
        <family val="2"/>
      </rPr>
      <t xml:space="preserve">, National Agricultural Statistics Service, and </t>
    </r>
    <r>
      <rPr>
        <i/>
        <sz val="7"/>
        <rFont val="Helvetica"/>
        <family val="2"/>
      </rPr>
      <t>Oilseeds Fact Sheet: Summary of 2002-2007 Program</t>
    </r>
    <r>
      <rPr>
        <sz val="7"/>
        <rFont val="Helvetica"/>
        <family val="2"/>
      </rPr>
      <t>, Farm Service Agency, USDA.</t>
    </r>
  </si>
  <si>
    <t>all wheat</t>
  </si>
  <si>
    <t>Year ending June 30</t>
  </si>
  <si>
    <t>Wheat Bran</t>
  </si>
  <si>
    <t>Wheat Middlings</t>
  </si>
  <si>
    <t>cron - table 2+ 9</t>
  </si>
  <si>
    <t xml:space="preserve"> planted ac reciving Nr</t>
  </si>
  <si>
    <r>
      <t xml:space="preserve">   Corn </t>
    </r>
    <r>
      <rPr>
        <b/>
        <vertAlign val="superscript"/>
        <sz val="8"/>
        <rFont val="Arial"/>
        <family val="2"/>
      </rPr>
      <t>1</t>
    </r>
  </si>
  <si>
    <t>Corn Grain, Steam Flaked</t>
  </si>
  <si>
    <t>Corn Grain, High Moisture</t>
  </si>
  <si>
    <t>Corn Grain, High Oil</t>
  </si>
  <si>
    <t>Corn Grain, Hi-Lysine</t>
  </si>
  <si>
    <t>Grass Hay</t>
  </si>
  <si>
    <t>Grass Silage</t>
  </si>
  <si>
    <t>Guar Meal</t>
  </si>
  <si>
    <t>Hominy Feed</t>
  </si>
  <si>
    <t>Hop Leaves</t>
  </si>
  <si>
    <t xml:space="preserve">1/ Source: USDA/NASS and AAPFCO/TFI.  Estimates of plant nutrient use for other crops are determined by subtracting the plant use of the four selected crops from total use  </t>
  </si>
  <si>
    <t>of each plant nutrient.</t>
  </si>
  <si>
    <t>Imports</t>
  </si>
  <si>
    <t>Total supply 2/</t>
  </si>
  <si>
    <t>Food, alcohol, and industrial use</t>
  </si>
  <si>
    <t>Seed use</t>
  </si>
  <si>
    <t>Feed and residual use</t>
  </si>
  <si>
    <t>1/ June-May. Latest data may be preliminary or projected.
2/ U.S. season-average price based on monthly prices weighted by monthly marketings. Prices do not include an allowance for loans outstanding and government purchases. For hard red winter, hard red spring, soft red winter, and white, simple average of monthly prices for selected States prior to 2002/03. Latest data are from World Agricultural Supply and Demand Estimates.
Source: USDA, National Agricultural Statistics Service, Crop Production, Agricultural Prices, and unpublished data; and USDA, World Agricultural Outlook Board, World Agricultural Supply and Demand Estimates.</t>
  </si>
  <si>
    <t>Date run: 9/21/2012</t>
  </si>
  <si>
    <t>barley ,sorghum and oats from quickstats -"application mesured in lb" &amp; "treated mesured in pct of area planted"</t>
  </si>
  <si>
    <t>pasture</t>
  </si>
  <si>
    <t xml:space="preserve"> %</t>
  </si>
  <si>
    <t xml:space="preserve">Planted acreage all purpeses (Million acres) </t>
  </si>
  <si>
    <t>Yield per planted acre all purpeses (Bushels per acre)</t>
  </si>
  <si>
    <t>Yield per harvested acre grains (Bushels per acre)</t>
  </si>
  <si>
    <t>Yield per planted acre grains (Bushels per acre)</t>
  </si>
  <si>
    <t>Crawfish Waste Meal</t>
  </si>
  <si>
    <t>http://www.ers.usda.gov/data-products/feed-grains-database/feed-grains-yearbook-tables.aspx</t>
  </si>
  <si>
    <t>2012/13 excluded from calculations</t>
  </si>
  <si>
    <t>feed</t>
  </si>
  <si>
    <t>lb/bushel</t>
  </si>
  <si>
    <t>fertelizer</t>
  </si>
  <si>
    <t>water</t>
  </si>
  <si>
    <t>Date run: 10/15/2012</t>
  </si>
  <si>
    <t>feed grain yearbook, accessed 24.10.12</t>
  </si>
  <si>
    <t>ASH</t>
  </si>
  <si>
    <t>Ca</t>
  </si>
  <si>
    <t>P</t>
  </si>
  <si>
    <t>K</t>
  </si>
  <si>
    <t>Cl</t>
  </si>
  <si>
    <t>S</t>
  </si>
  <si>
    <t>Zn</t>
  </si>
  <si>
    <t>ppm</t>
  </si>
  <si>
    <t>(Mcal/cwt.)</t>
  </si>
  <si>
    <t>sorghum silage</t>
  </si>
  <si>
    <t>Corn (grains and silage)</t>
  </si>
  <si>
    <t>Sorghum (grain and silage)</t>
  </si>
  <si>
    <t>concentrates</t>
  </si>
  <si>
    <t>10^3 tons (dry)</t>
  </si>
  <si>
    <t>mean (10^3)</t>
  </si>
  <si>
    <r>
      <t>total hay haylage grass silage and greenchop</t>
    </r>
    <r>
      <rPr>
        <b/>
        <i/>
        <vertAlign val="superscript"/>
        <sz val="11"/>
        <color theme="1"/>
        <rFont val="Calibri"/>
        <family val="2"/>
        <scheme val="minor"/>
      </rPr>
      <t>1</t>
    </r>
  </si>
  <si>
    <t>text colours:</t>
  </si>
  <si>
    <t>Avocado Seed Meal</t>
  </si>
  <si>
    <t>Bahiagrass Hay</t>
  </si>
  <si>
    <t>Bakery Product Dried</t>
  </si>
  <si>
    <t>Barley Hay</t>
  </si>
  <si>
    <t>Barley Silage</t>
  </si>
  <si>
    <t>Barley Silage Mature</t>
  </si>
  <si>
    <t>Peanut Skins</t>
  </si>
  <si>
    <t>Pearl Millet Grain</t>
  </si>
  <si>
    <t>Pineapple Greenchop</t>
  </si>
  <si>
    <t>Pineapple Bran</t>
  </si>
  <si>
    <t>Alfalfa Hay Early Bloom</t>
  </si>
  <si>
    <t>Alfalfa Hay Midbloom</t>
  </si>
  <si>
    <t>Alfalfa Hay Full Bloom</t>
  </si>
  <si>
    <t>Alfalfa Hay Mature</t>
  </si>
  <si>
    <t>1,000 bushels</t>
  </si>
  <si>
    <r>
      <t>dairy, 10</t>
    </r>
    <r>
      <rPr>
        <vertAlign val="superscript"/>
        <sz val="12"/>
        <rFont val="Arial"/>
        <family val="2"/>
      </rPr>
      <t>6</t>
    </r>
    <r>
      <rPr>
        <sz val="12"/>
        <rFont val="Arial"/>
        <family val="2"/>
      </rPr>
      <t xml:space="preserve"> kg Nr yr</t>
    </r>
    <r>
      <rPr>
        <vertAlign val="superscript"/>
        <sz val="12"/>
        <rFont val="Arial"/>
        <family val="2"/>
      </rPr>
      <t>-1</t>
    </r>
    <r>
      <rPr>
        <sz val="12"/>
        <rFont val="Arial"/>
        <family val="2"/>
      </rPr>
      <t xml:space="preserve"> nationally</t>
    </r>
    <phoneticPr fontId="107" type="noConversion"/>
  </si>
  <si>
    <t>(dollars per bushel)</t>
  </si>
  <si>
    <t>2000/01</t>
  </si>
  <si>
    <t>2.62</t>
  </si>
  <si>
    <t>2002/03</t>
  </si>
  <si>
    <t>3.56</t>
  </si>
  <si>
    <t>2003/04</t>
  </si>
  <si>
    <t>2004/05</t>
  </si>
  <si>
    <t>do not include an allowance for loans outstanding and government purchases.  Latest data are from  World Agricultural 
Supply and Demand Estimates.</t>
  </si>
  <si>
    <t>1/ June-May.  Latest data may be preliminary or projected.
2/ Total may not add due to rounding.
Source: USDA, World Agricultural Outlook Board, World Agricultural Supply and Demand Estimates and supporting materials.</t>
  </si>
  <si>
    <t>Clover Sweet Hay</t>
  </si>
  <si>
    <t>Coconut Meal, Mech. Ext.</t>
  </si>
  <si>
    <t>Coffee Grounds</t>
  </si>
  <si>
    <t>Corn Screenings</t>
  </si>
  <si>
    <t>Cottonseed Meal, Mech. Ext. 41% CP</t>
  </si>
  <si>
    <t>Crab Waste Meal</t>
  </si>
  <si>
    <t>Crambe Meal, Solv. Ext.</t>
  </si>
  <si>
    <t>Crambe Meal, Mech. Ext.</t>
  </si>
  <si>
    <t>Cranberry Pulp Meal</t>
  </si>
  <si>
    <t>received</t>
  </si>
  <si>
    <t>residual</t>
  </si>
  <si>
    <t>by farmers</t>
  </si>
  <si>
    <t>-------------------- Million bushels --------------------</t>
  </si>
  <si>
    <t>$/bu.</t>
  </si>
  <si>
    <t>wheat - table 2 + 27</t>
  </si>
  <si>
    <t>2000</t>
  </si>
  <si>
    <t>2010 2/</t>
  </si>
  <si>
    <t>11.10-12.10</t>
  </si>
  <si>
    <t>1/ Total supply includes imports.  2/ Forecast.</t>
  </si>
  <si>
    <t>references:</t>
  </si>
  <si>
    <t>roughage</t>
  </si>
  <si>
    <r>
      <t xml:space="preserve">irrigated </t>
    </r>
    <r>
      <rPr>
        <u/>
        <sz val="8"/>
        <color indexed="8"/>
        <rFont val="Arial"/>
        <family val="2"/>
      </rPr>
      <t>harvested</t>
    </r>
    <r>
      <rPr>
        <sz val="8"/>
        <color indexed="8"/>
        <rFont val="Arial"/>
        <family val="2"/>
      </rPr>
      <t xml:space="preserve"> acres</t>
    </r>
    <r>
      <rPr>
        <vertAlign val="superscript"/>
        <sz val="8"/>
        <color indexed="8"/>
        <rFont val="Arial"/>
        <family val="2"/>
      </rPr>
      <t>2</t>
    </r>
    <r>
      <rPr>
        <sz val="8"/>
        <color indexed="8"/>
        <rFont val="Arial"/>
        <family val="2"/>
      </rPr>
      <t xml:space="preserve">
(Million acres)</t>
    </r>
  </si>
  <si>
    <t>September 1</t>
  </si>
  <si>
    <t>stocks</t>
  </si>
  <si>
    <t>Total 1/</t>
  </si>
  <si>
    <t>Crush</t>
  </si>
  <si>
    <r>
      <t xml:space="preserve">Soybeans </t>
    </r>
    <r>
      <rPr>
        <b/>
        <vertAlign val="superscript"/>
        <sz val="8"/>
        <rFont val="Arial"/>
        <family val="2"/>
      </rPr>
      <t>1</t>
    </r>
  </si>
  <si>
    <r>
      <t xml:space="preserve">  Wheat </t>
    </r>
    <r>
      <rPr>
        <b/>
        <vertAlign val="superscript"/>
        <sz val="8"/>
        <rFont val="Arial"/>
        <family val="2"/>
      </rPr>
      <t>1</t>
    </r>
  </si>
  <si>
    <t>Elephant (Napier) Grass Hay, Chopped</t>
  </si>
  <si>
    <t>soy - table 2 + 21 + USDA quickstats (for 2001)</t>
  </si>
  <si>
    <r>
      <t xml:space="preserve">sorghum </t>
    </r>
    <r>
      <rPr>
        <b/>
        <vertAlign val="superscript"/>
        <sz val="8"/>
        <rFont val="Arial"/>
        <family val="2"/>
      </rPr>
      <t>2</t>
    </r>
  </si>
  <si>
    <r>
      <t xml:space="preserve">barley </t>
    </r>
    <r>
      <rPr>
        <b/>
        <vertAlign val="superscript"/>
        <sz val="8"/>
        <rFont val="Arial"/>
        <family val="2"/>
      </rPr>
      <t>2</t>
    </r>
  </si>
  <si>
    <r>
      <t xml:space="preserve">oats </t>
    </r>
    <r>
      <rPr>
        <b/>
        <vertAlign val="superscript"/>
        <sz val="8"/>
        <rFont val="Arial"/>
        <family val="2"/>
      </rPr>
      <t>2</t>
    </r>
  </si>
  <si>
    <t>pasture land fertilized (all fertilizer types)</t>
  </si>
  <si>
    <t>procssed roughage land</t>
  </si>
  <si>
    <t>total</t>
  </si>
  <si>
    <t>Beginning</t>
  </si>
  <si>
    <t>Seed, feed</t>
  </si>
  <si>
    <t>Ending</t>
  </si>
  <si>
    <t>Average</t>
  </si>
  <si>
    <t>7.24</t>
  </si>
  <si>
    <t>56.02</t>
  </si>
  <si>
    <t>48.83</t>
  </si>
  <si>
    <t>2,268.25</t>
  </si>
  <si>
    <t>46.5</t>
  </si>
  <si>
    <t>7.50-8.70</t>
  </si>
  <si>
    <t>Table 4--Corn: Supply and disappearance (million bushels)</t>
  </si>
  <si>
    <t>annual summery</t>
  </si>
  <si>
    <t>Mkt year and qtr 1/</t>
  </si>
  <si>
    <t>Supply</t>
  </si>
  <si>
    <t>Disappearance</t>
  </si>
  <si>
    <t>Mkt year</t>
  </si>
  <si>
    <t>Date run: 3/20/2012</t>
  </si>
  <si>
    <t>Table 1--Wheat: Planted acreage, harvested acreage, production, yield, and farm price</t>
  </si>
  <si>
    <t>Class and mkt year 1/</t>
  </si>
  <si>
    <t>Planted acreage</t>
  </si>
  <si>
    <t>Harvested acreage</t>
  </si>
  <si>
    <t>Yield</t>
  </si>
  <si>
    <t>Weighted-average farm price 2/</t>
  </si>
  <si>
    <t>(million acres)</t>
  </si>
  <si>
    <t>(million bushels)</t>
  </si>
  <si>
    <t>(bushels per planted  acre)</t>
  </si>
  <si>
    <t>(bushels per harvested  acre)</t>
  </si>
  <si>
    <t>blue - calculated</t>
  </si>
  <si>
    <t>total</t>
    <phoneticPr fontId="107" type="noConversion"/>
  </si>
  <si>
    <r>
      <t>million m</t>
    </r>
    <r>
      <rPr>
        <b/>
        <vertAlign val="superscript"/>
        <sz val="11"/>
        <rFont val="Arial"/>
        <family val="2"/>
      </rPr>
      <t>2</t>
    </r>
    <r>
      <rPr>
        <b/>
        <sz val="11"/>
        <rFont val="Arial"/>
        <family val="2"/>
      </rPr>
      <t>/yr nationally</t>
    </r>
    <phoneticPr fontId="107" type="noConversion"/>
  </si>
  <si>
    <t>% of total</t>
  </si>
  <si>
    <t>crushed+feed</t>
  </si>
  <si>
    <t>%of total</t>
  </si>
  <si>
    <t>lb</t>
  </si>
  <si>
    <t>tons</t>
  </si>
  <si>
    <t>% feed</t>
  </si>
  <si>
    <t>needed land</t>
  </si>
  <si>
    <t>annual summery million bushel</t>
  </si>
  <si>
    <t>harvested/ planted</t>
  </si>
  <si>
    <t>feed grain yearbook, accessed 22.10.12</t>
  </si>
  <si>
    <r>
      <t xml:space="preserve">million kg Nr/yr nationally </t>
    </r>
    <r>
      <rPr>
        <vertAlign val="superscript"/>
        <sz val="11"/>
        <rFont val="Arial"/>
        <family val="2"/>
      </rPr>
      <t>1</t>
    </r>
    <phoneticPr fontId="107" type="noConversion"/>
  </si>
  <si>
    <r>
      <t>million m</t>
    </r>
    <r>
      <rPr>
        <vertAlign val="superscript"/>
        <sz val="11"/>
        <rFont val="Arial"/>
        <family val="2"/>
      </rPr>
      <t>3</t>
    </r>
    <r>
      <rPr>
        <sz val="11"/>
        <rFont val="Arial"/>
        <family val="2"/>
      </rPr>
      <t>/yr nationally</t>
    </r>
    <phoneticPr fontId="107" type="noConversion"/>
  </si>
  <si>
    <t>1/ September-August.  Latest data may be preliminary or projected.
2/ Total may not add due to rounding.
Source: USDA, World Agricultural Outlook Board, World Agricultural Supply and Demand Estimates and supporting materials.</t>
  </si>
  <si>
    <t>Table 1--Corn, sorghum, barley, and oats: Planted acreage, harvested acreage, production, yield, and farm price</t>
  </si>
  <si>
    <t>Commodity and mkt yr 1/</t>
  </si>
  <si>
    <t>Harvested for grain (Million acres)</t>
  </si>
  <si>
    <t>Corn</t>
  </si>
  <si>
    <t>Alfalfa Cubes</t>
  </si>
  <si>
    <t>Alfalfa Dehydrated 17% CP</t>
  </si>
  <si>
    <t>Alfalfa Fresh</t>
  </si>
  <si>
    <t>Birdsfoot Trefoil Hay</t>
  </si>
  <si>
    <t>Alfalfa Stems</t>
  </si>
  <si>
    <t>Almond Hulls</t>
  </si>
  <si>
    <t>Ammonium Chloride</t>
  </si>
  <si>
    <t>Ammonium Sulfate</t>
  </si>
  <si>
    <t>Apples</t>
  </si>
  <si>
    <t>Apple Pomace Wet</t>
  </si>
  <si>
    <t>Apple Pomace Dried</t>
  </si>
  <si>
    <t>Artichoke Tops (Jerusalem)</t>
  </si>
  <si>
    <t>Source: USDA, National Agricultural Statistics Service, Crop Production and Agricultural Prices; and USDA, 
World Agricultural Outlook Board, World Agricultural Supply and Demand Estimates.</t>
  </si>
  <si>
    <t>Data run: 7/12/2012</t>
  </si>
  <si>
    <t>Table 6--Barley: Supply and disappearance (million bushels)</t>
  </si>
  <si>
    <t>Q1 Jun-Aug</t>
  </si>
  <si>
    <t>Q2 Sep-Nov</t>
  </si>
  <si>
    <t>1/ June-May. Latest data may be preliminary or projected.
2/ Includes flour and selected other products expressed in grain-equivalent bushels.
3/ Totals may not add due to rounding.
Source: USDA, World Agricultural Outlook Board, World Agricultural Supply and Demand Estimates and supporting materials.</t>
  </si>
  <si>
    <t>3.42</t>
  </si>
  <si>
    <t>4.26</t>
  </si>
  <si>
    <t>6.48</t>
  </si>
  <si>
    <t>6.78</t>
  </si>
  <si>
    <t>4.87</t>
  </si>
  <si>
    <t>5.70</t>
  </si>
  <si>
    <t>kgCO2/Mcal</t>
    <phoneticPr fontId="107" type="noConversion"/>
  </si>
  <si>
    <t>Table 5--All wheat: Supply and disappearance (million bushels)</t>
  </si>
  <si>
    <t>edible Mcal/(kg milk)</t>
    <phoneticPr fontId="107" type="noConversion"/>
  </si>
  <si>
    <t>MJ/(edible kg)</t>
    <phoneticPr fontId="107" type="noConversion"/>
  </si>
  <si>
    <t>Mcal/(edible kg)</t>
    <phoneticPr fontId="107" type="noConversion"/>
  </si>
  <si>
    <t>stdev</t>
    <phoneticPr fontId="107" type="noConversion"/>
  </si>
  <si>
    <t>stdev</t>
    <phoneticPr fontId="107" type="noConversion"/>
  </si>
  <si>
    <t>mean</t>
    <phoneticPr fontId="107" type="noConversion"/>
  </si>
  <si>
    <t>kg CO2e / (edible Mcal)</t>
    <phoneticPr fontId="107" type="noConversion"/>
  </si>
  <si>
    <t>USDA 2011, agri stats table 1-35, corn for silage</t>
  </si>
  <si>
    <t>USDA 2011, agri stats table 1-62, sorghum for silage</t>
  </si>
  <si>
    <t>usda_2007_agricensus table 1 _forage-land used</t>
  </si>
  <si>
    <t>harvested for silage (Million acres)</t>
  </si>
  <si>
    <t>and</t>
  </si>
  <si>
    <t>Total</t>
  </si>
  <si>
    <t>Domestic use</t>
  </si>
  <si>
    <t>Beginning stocks</t>
  </si>
  <si>
    <t>Production</t>
  </si>
  <si>
    <r>
      <t>million kg CO</t>
    </r>
    <r>
      <rPr>
        <vertAlign val="subscript"/>
        <sz val="11"/>
        <rFont val="Arial"/>
        <family val="2"/>
      </rPr>
      <t>2</t>
    </r>
    <r>
      <rPr>
        <sz val="11"/>
        <rFont val="Arial"/>
        <family val="2"/>
      </rPr>
      <t>eq yr</t>
    </r>
    <r>
      <rPr>
        <vertAlign val="superscript"/>
        <sz val="11"/>
        <rFont val="Arial"/>
        <family val="2"/>
      </rPr>
      <t xml:space="preserve">-1 </t>
    </r>
    <r>
      <rPr>
        <sz val="11"/>
        <rFont val="Arial"/>
        <family val="2"/>
      </rPr>
      <t>nationally</t>
    </r>
    <phoneticPr fontId="107" type="noConversion"/>
  </si>
  <si>
    <r>
      <t>dairy, 10</t>
    </r>
    <r>
      <rPr>
        <vertAlign val="superscript"/>
        <sz val="12"/>
        <rFont val="Arial"/>
        <family val="2"/>
      </rPr>
      <t>6</t>
    </r>
    <r>
      <rPr>
        <sz val="12"/>
        <rFont val="Arial"/>
        <family val="2"/>
      </rPr>
      <t xml:space="preserve"> m</t>
    </r>
    <r>
      <rPr>
        <vertAlign val="superscript"/>
        <sz val="12"/>
        <rFont val="Arial"/>
        <family val="2"/>
      </rPr>
      <t>2</t>
    </r>
    <r>
      <rPr>
        <sz val="12"/>
        <rFont val="Arial"/>
        <family val="2"/>
      </rPr>
      <t xml:space="preserve"> yr</t>
    </r>
    <r>
      <rPr>
        <vertAlign val="superscript"/>
        <sz val="12"/>
        <rFont val="Arial"/>
        <family val="2"/>
      </rPr>
      <t>-1</t>
    </r>
    <r>
      <rPr>
        <sz val="12"/>
        <rFont val="Arial"/>
        <family val="2"/>
      </rPr>
      <t xml:space="preserve"> nationally</t>
    </r>
    <phoneticPr fontId="107" type="noConversion"/>
  </si>
  <si>
    <t>Appendix table 3--Soybeans:  Supply, disappearance, and price, U.S., 1980/81-2010/11</t>
  </si>
  <si>
    <t xml:space="preserve">  Year</t>
  </si>
  <si>
    <t>Price</t>
  </si>
  <si>
    <t>beginning</t>
  </si>
  <si>
    <r>
      <t>dairy, 10</t>
    </r>
    <r>
      <rPr>
        <vertAlign val="superscript"/>
        <sz val="12"/>
        <rFont val="Arial"/>
        <family val="2"/>
      </rPr>
      <t>6</t>
    </r>
    <r>
      <rPr>
        <sz val="12"/>
        <rFont val="Arial"/>
        <family val="2"/>
      </rPr>
      <t xml:space="preserve"> m</t>
    </r>
    <r>
      <rPr>
        <vertAlign val="superscript"/>
        <sz val="12"/>
        <rFont val="Arial"/>
        <family val="2"/>
      </rPr>
      <t>3</t>
    </r>
    <r>
      <rPr>
        <sz val="12"/>
        <rFont val="Arial"/>
        <family val="2"/>
      </rPr>
      <t xml:space="preserve"> water yr</t>
    </r>
    <r>
      <rPr>
        <vertAlign val="superscript"/>
        <sz val="12"/>
        <rFont val="Arial"/>
        <family val="2"/>
      </rPr>
      <t>-1</t>
    </r>
    <r>
      <rPr>
        <sz val="12"/>
        <rFont val="Arial"/>
        <family val="2"/>
      </rPr>
      <t xml:space="preserve"> nationally</t>
    </r>
    <phoneticPr fontId="107" type="noConversion"/>
  </si>
  <si>
    <r>
      <t>beef, 10</t>
    </r>
    <r>
      <rPr>
        <vertAlign val="superscript"/>
        <sz val="12"/>
        <rFont val="Arial"/>
        <family val="2"/>
      </rPr>
      <t>6</t>
    </r>
    <r>
      <rPr>
        <sz val="12"/>
        <rFont val="Arial"/>
        <family val="2"/>
      </rPr>
      <t xml:space="preserve"> m</t>
    </r>
    <r>
      <rPr>
        <vertAlign val="superscript"/>
        <sz val="12"/>
        <rFont val="Arial"/>
        <family val="2"/>
      </rPr>
      <t>3</t>
    </r>
    <r>
      <rPr>
        <sz val="12"/>
        <rFont val="Arial"/>
        <family val="2"/>
      </rPr>
      <t xml:space="preserve"> water yr</t>
    </r>
    <r>
      <rPr>
        <vertAlign val="superscript"/>
        <sz val="12"/>
        <rFont val="Arial"/>
        <family val="2"/>
      </rPr>
      <t>-1</t>
    </r>
    <r>
      <rPr>
        <sz val="12"/>
        <rFont val="Arial"/>
        <family val="2"/>
      </rPr>
      <t xml:space="preserve"> nationally</t>
    </r>
    <phoneticPr fontId="107" type="noConversion"/>
  </si>
  <si>
    <r>
      <t>beef, 10</t>
    </r>
    <r>
      <rPr>
        <vertAlign val="superscript"/>
        <sz val="12"/>
        <rFont val="Arial"/>
        <family val="2"/>
      </rPr>
      <t>6</t>
    </r>
    <r>
      <rPr>
        <sz val="12"/>
        <rFont val="Arial"/>
        <family val="2"/>
      </rPr>
      <t xml:space="preserve"> kg Nr yr</t>
    </r>
    <r>
      <rPr>
        <vertAlign val="superscript"/>
        <sz val="12"/>
        <rFont val="Arial"/>
        <family val="2"/>
      </rPr>
      <t>-1</t>
    </r>
    <r>
      <rPr>
        <sz val="12"/>
        <rFont val="Arial"/>
        <family val="2"/>
      </rPr>
      <t xml:space="preserve"> nationally</t>
    </r>
    <phoneticPr fontId="107" type="noConversion"/>
  </si>
  <si>
    <t>2.75</t>
  </si>
  <si>
    <t>1.09</t>
  </si>
  <si>
    <t>65.28</t>
  </si>
  <si>
    <r>
      <t xml:space="preserve">Sources:  </t>
    </r>
    <r>
      <rPr>
        <i/>
        <sz val="7"/>
        <rFont val="Helvetica"/>
        <family val="2"/>
      </rPr>
      <t>Crop Production</t>
    </r>
    <r>
      <rPr>
        <sz val="7"/>
        <rFont val="Helvetica"/>
        <family val="2"/>
      </rPr>
      <t xml:space="preserve">, </t>
    </r>
    <r>
      <rPr>
        <i/>
        <sz val="7"/>
        <rFont val="Helvetica"/>
        <family val="2"/>
      </rPr>
      <t>Grain Stocks</t>
    </r>
    <r>
      <rPr>
        <sz val="7"/>
        <rFont val="Helvetica"/>
        <family val="2"/>
      </rPr>
      <t xml:space="preserve"> and </t>
    </r>
    <r>
      <rPr>
        <i/>
        <sz val="7"/>
        <rFont val="Helvetica"/>
        <family val="2"/>
      </rPr>
      <t>Agricultural Prices</t>
    </r>
    <r>
      <rPr>
        <sz val="7"/>
        <rFont val="Helvetica"/>
        <family val="2"/>
      </rPr>
      <t>, National Agricultural Statistics Service, USDA and U.S. Trade Internet System,  Foreign Agricultural Service, USDA and</t>
    </r>
  </si>
  <si>
    <r>
      <t>Oilseed Crushings</t>
    </r>
    <r>
      <rPr>
        <sz val="8"/>
        <rFont val="Helvetica"/>
        <family val="2"/>
      </rPr>
      <t>, U.S. Census Bureau.</t>
    </r>
  </si>
  <si>
    <t>Appendix table 2--Soybeans:  Acreage planted, harvested, yield, production, value, and loan rate, U.S., 1960-2010</t>
  </si>
  <si>
    <t>Year</t>
  </si>
  <si>
    <t>Planted</t>
  </si>
  <si>
    <t>Harvested</t>
  </si>
  <si>
    <t>Value</t>
  </si>
  <si>
    <t>Loan</t>
  </si>
  <si>
    <t>per acre planted</t>
  </si>
  <si>
    <t>per acre harvested</t>
  </si>
  <si>
    <t>rate 1/</t>
  </si>
  <si>
    <t>apples</t>
  </si>
  <si>
    <t>from the plantsCost file: per edible Mcal</t>
  </si>
  <si>
    <t>g Nr/Mcal</t>
  </si>
  <si>
    <t xml:space="preserve">plants' resource needs, </t>
  </si>
  <si>
    <t>Nr</t>
  </si>
  <si>
    <t>performance of individual animal categories relative to various (imperfectly characterized) plant categories</t>
  </si>
  <si>
    <t>potatoes</t>
  </si>
  <si>
    <t>rice</t>
  </si>
  <si>
    <t>use relative to apples</t>
  </si>
  <si>
    <t>use relative to potatoes</t>
  </si>
  <si>
    <t>use relative to wheat</t>
  </si>
  <si>
    <t>use relative to rice</t>
  </si>
  <si>
    <t>min</t>
  </si>
  <si>
    <t>max</t>
  </si>
  <si>
    <t>STD</t>
  </si>
  <si>
    <r>
      <t>(m</t>
    </r>
    <r>
      <rPr>
        <vertAlign val="superscript"/>
        <sz val="11"/>
        <color indexed="8"/>
        <rFont val="Arial"/>
        <family val="2"/>
      </rPr>
      <t>2</t>
    </r>
    <r>
      <rPr>
        <sz val="11"/>
        <color indexed="8"/>
        <rFont val="Arial"/>
        <family val="2"/>
      </rPr>
      <t xml:space="preserve"> yr)/Mcal</t>
    </r>
  </si>
  <si>
    <r>
      <t>m</t>
    </r>
    <r>
      <rPr>
        <vertAlign val="superscript"/>
        <sz val="11"/>
        <color indexed="8"/>
        <rFont val="Arial"/>
        <family val="2"/>
      </rPr>
      <t>3</t>
    </r>
    <r>
      <rPr>
        <sz val="11"/>
        <color indexed="8"/>
        <rFont val="Arial"/>
        <family val="2"/>
      </rPr>
      <t>/Mcal</t>
    </r>
  </si>
  <si>
    <t>Table 5--Sorghum: Supply and disappearance (million bushels)</t>
  </si>
  <si>
    <t>Q3 Dec-Feb</t>
  </si>
  <si>
    <t>Q4 Mar-May</t>
  </si>
  <si>
    <t>MY Jun-May</t>
  </si>
  <si>
    <t>% of production</t>
  </si>
  <si>
    <t>----------------1,000 acres---------------------</t>
  </si>
  <si>
    <t>Bushels</t>
  </si>
  <si>
    <t>Imports 2/</t>
  </si>
  <si>
    <t>Total supply 3/</t>
  </si>
  <si>
    <t>Food use</t>
  </si>
  <si>
    <t>Total domestic use 3/</t>
  </si>
  <si>
    <t>Exports 2/</t>
  </si>
  <si>
    <t>Total disappearance 3/</t>
  </si>
  <si>
    <t>kg CO2e/(kg eggs), value 1</t>
    <phoneticPr fontId="107" type="noConversion"/>
  </si>
  <si>
    <t>2006/07</t>
  </si>
  <si>
    <t>Q1 Sep-Nov</t>
  </si>
  <si>
    <t>Q2 Dec-Feb</t>
  </si>
  <si>
    <t>Q3 Mar-May</t>
  </si>
  <si>
    <t>Q4 Jun-Aug</t>
  </si>
  <si>
    <t>2009/10</t>
  </si>
  <si>
    <t>MY Sep-Aug</t>
  </si>
  <si>
    <t>2010/11</t>
  </si>
  <si>
    <t>2011/12</t>
  </si>
  <si>
    <t>2007/08</t>
  </si>
  <si>
    <t>mean</t>
  </si>
  <si>
    <t>2008/09</t>
  </si>
  <si>
    <t>2012/13</t>
  </si>
  <si>
    <t>relevant yearbook (grains/oil/wheat) as shown in chart</t>
  </si>
  <si>
    <t>annual summary</t>
  </si>
  <si>
    <t xml:space="preserve"> 2008 Farm and Ranch Irrigation Survey, in the 2007 Ag Cencus , table 28 </t>
  </si>
  <si>
    <t>WET</t>
  </si>
  <si>
    <t>DRY basis</t>
  </si>
  <si>
    <r>
      <t>conversion factor from ac-ft to m^</t>
    </r>
    <r>
      <rPr>
        <vertAlign val="superscript"/>
        <sz val="11"/>
        <color theme="1"/>
        <rFont val="Calibri"/>
        <family val="2"/>
        <scheme val="minor"/>
      </rPr>
      <t>3</t>
    </r>
  </si>
  <si>
    <t>USDA 2011, agri stats table 6-7, hay area and production by type</t>
  </si>
  <si>
    <t>USDA 2011, agri stats table 6-10, 18 state total</t>
  </si>
  <si>
    <r>
      <t>beef, 10</t>
    </r>
    <r>
      <rPr>
        <vertAlign val="superscript"/>
        <sz val="12"/>
        <rFont val="Arial"/>
        <family val="2"/>
      </rPr>
      <t>6</t>
    </r>
    <r>
      <rPr>
        <sz val="12"/>
        <rFont val="Arial"/>
        <family val="2"/>
      </rPr>
      <t xml:space="preserve"> m</t>
    </r>
    <r>
      <rPr>
        <vertAlign val="superscript"/>
        <sz val="12"/>
        <rFont val="Arial"/>
        <family val="2"/>
      </rPr>
      <t>2</t>
    </r>
    <r>
      <rPr>
        <sz val="12"/>
        <rFont val="Arial"/>
        <family val="2"/>
      </rPr>
      <t xml:space="preserve"> yr</t>
    </r>
    <r>
      <rPr>
        <vertAlign val="superscript"/>
        <sz val="12"/>
        <rFont val="Arial"/>
        <family val="2"/>
      </rPr>
      <t>-1</t>
    </r>
    <r>
      <rPr>
        <sz val="12"/>
        <rFont val="Arial"/>
        <family val="2"/>
      </rPr>
      <t xml:space="preserve"> nationally</t>
    </r>
    <phoneticPr fontId="107" type="noConversion"/>
  </si>
  <si>
    <t>WET basis</t>
  </si>
  <si>
    <t>total US water use, 2005</t>
  </si>
  <si>
    <t>gallons per yr nationwide, from http://pubs.usgs.gov/circ/1344/</t>
  </si>
  <si>
    <t>US gallons per m3</t>
  </si>
  <si>
    <t>m3 per yr nationwide</t>
  </si>
  <si>
    <t>US 2005 total population, from http://www.prb.org/pdf05/05worlddatasheet_eng.pdf</t>
  </si>
  <si>
    <t>m3 per person per yr</t>
  </si>
  <si>
    <t>Pelletier, Pirog and Rasmussen, 2010: Comparative life cycle environmental impacts of three beef production strategies in the Upper Midwestern United States, Agricultural Systems 103  380–389</t>
  </si>
  <si>
    <t>Nr application</t>
  </si>
  <si>
    <t>(lb/ac*yr)</t>
  </si>
  <si>
    <t>Crush percentage</t>
  </si>
  <si>
    <t>seed feed and residual percentage</t>
  </si>
  <si>
    <t>Pelletier, Lammers,Stender and Pirog, 2010: LCA of high- and low-proﬁtability commodity and deep-bedded niche swine production systems in the Upper Midwestern US, Agricultural Systems 103 (2010) 599–608</t>
  </si>
  <si>
    <t xml:space="preserve">Pelletier, 2008: Environmental performance in the US broiler poultry sector: Life cycle energy use and greenhouse gas, ozone depleting, acidifying and eutrophying emissions, Agricultural Systems 98 (2008) 67–73 </t>
  </si>
  <si>
    <t>Phetteplace, Johnson and Seild, 2001: GHG emissions from simulated beef and dairy livestock systems in the US  Nutrient Cycling, Agroecosystems 60: 99-102</t>
  </si>
  <si>
    <t xml:space="preserve"> Perreault &amp; Leeson, 1992: Age-related carcass composition changes in male broiler chickens,, Can. J. Anim. Sci. 72: 919-929.</t>
  </si>
  <si>
    <t>Greg et al 2012 for fat and protien corrected milk (fat 4% protein 3.3%)</t>
  </si>
  <si>
    <r>
      <t>corrected mean annual consumption for total US population  (10</t>
    </r>
    <r>
      <rPr>
        <b/>
        <vertAlign val="superscript"/>
        <sz val="10"/>
        <color rgb="FF0070C0"/>
        <rFont val="Arial"/>
        <family val="2"/>
      </rPr>
      <t xml:space="preserve">6 </t>
    </r>
    <r>
      <rPr>
        <b/>
        <sz val="10"/>
        <color rgb="FF0070C0"/>
        <rFont val="Arial"/>
        <family val="2"/>
      </rPr>
      <t>Mcal/yr)</t>
    </r>
  </si>
  <si>
    <t>corrected per capita daily consumption (kcal/yday)</t>
  </si>
  <si>
    <t>million gallons per day</t>
  </si>
  <si>
    <t>annual m3 national water use</t>
  </si>
  <si>
    <t>table 12 for 2008</t>
  </si>
  <si>
    <t>total national CO2 emissions</t>
  </si>
  <si>
    <t>million metric tons</t>
  </si>
  <si>
    <t>Estimated Use of Water in the United States  in 2005</t>
  </si>
  <si>
    <t>http://pubs.usgs.gov/circ/1344/</t>
  </si>
  <si>
    <t>emissions per capita (tons/per person)</t>
  </si>
  <si>
    <t>percentage of livestock's feed use from national water use</t>
  </si>
  <si>
    <t xml:space="preserve">percentage of livestock's feed use from USGS irrigation </t>
  </si>
  <si>
    <t>percentage of livestock's feed use from agriculture irrigation</t>
  </si>
  <si>
    <t>percentage of livestock's feed from total</t>
  </si>
  <si>
    <t>livestock's feed</t>
  </si>
  <si>
    <t xml:space="preserve">Emissions of Greenhouse gases in the united states, 2009 </t>
  </si>
  <si>
    <t>http://www.eia.gov/environment/emissions/ghg_report/pdf/0573(2009).pdf</t>
  </si>
  <si>
    <t>10^6 m^3/yr</t>
  </si>
  <si>
    <r>
      <t>agriculture irrigation without horticulture</t>
    </r>
    <r>
      <rPr>
        <vertAlign val="superscript"/>
        <sz val="11"/>
        <color theme="1"/>
        <rFont val="Calibri"/>
        <family val="2"/>
        <scheme val="minor"/>
      </rPr>
      <t xml:space="preserve">2 </t>
    </r>
    <r>
      <rPr>
        <sz val="11"/>
        <color theme="1"/>
        <rFont val="Calibri"/>
        <family val="2"/>
        <scheme val="minor"/>
      </rPr>
      <t>(acre feet)</t>
    </r>
  </si>
  <si>
    <r>
      <t>horticulture (1000 gallons)</t>
    </r>
    <r>
      <rPr>
        <vertAlign val="superscript"/>
        <sz val="11"/>
        <color theme="1"/>
        <rFont val="Calibri"/>
        <family val="2"/>
        <scheme val="minor"/>
      </rPr>
      <t>3</t>
    </r>
    <r>
      <rPr>
        <sz val="11"/>
        <color theme="1"/>
        <rFont val="Calibri"/>
        <family val="2"/>
        <scheme val="minor"/>
      </rPr>
      <t xml:space="preserve"> </t>
    </r>
  </si>
  <si>
    <r>
      <t>irrigated water USGS terminology (including golf etc) in million gallons per day</t>
    </r>
    <r>
      <rPr>
        <vertAlign val="superscript"/>
        <sz val="11"/>
        <color theme="1"/>
        <rFont val="Calibri"/>
        <family val="2"/>
        <scheme val="minor"/>
      </rPr>
      <t>4</t>
    </r>
  </si>
  <si>
    <r>
      <t>national water use (gallons per day)</t>
    </r>
    <r>
      <rPr>
        <vertAlign val="superscript"/>
        <sz val="11"/>
        <color theme="1"/>
        <rFont val="Calibri"/>
        <family val="2"/>
        <scheme val="minor"/>
      </rPr>
      <t>4</t>
    </r>
  </si>
  <si>
    <t>ref 4 pg 27 table 2A</t>
  </si>
  <si>
    <r>
      <t>total emission for 2009</t>
    </r>
    <r>
      <rPr>
        <vertAlign val="superscript"/>
        <sz val="11"/>
        <color theme="1"/>
        <rFont val="Calibri"/>
        <family val="2"/>
        <scheme val="minor"/>
      </rPr>
      <t>5</t>
    </r>
  </si>
  <si>
    <r>
      <t xml:space="preserve">beef's </t>
    </r>
    <r>
      <rPr>
        <b/>
        <sz val="12"/>
        <color theme="1"/>
        <rFont val="Calibri"/>
        <family val="2"/>
        <scheme val="minor"/>
      </rPr>
      <t>use relative to</t>
    </r>
    <r>
      <rPr>
        <b/>
        <sz val="12"/>
        <color indexed="8"/>
        <rFont val="Calibri"/>
        <family val="2"/>
      </rPr>
      <t xml:space="preserve"> mean of 3 staple plant items</t>
    </r>
  </si>
  <si>
    <r>
      <t xml:space="preserve">mean of non-beef edibles' </t>
    </r>
    <r>
      <rPr>
        <b/>
        <sz val="12"/>
        <color theme="1"/>
        <rFont val="Calibri"/>
        <family val="2"/>
        <scheme val="minor"/>
      </rPr>
      <t>use relative to</t>
    </r>
    <r>
      <rPr>
        <b/>
        <sz val="12"/>
        <color indexed="8"/>
        <rFont val="Calibri"/>
        <family val="2"/>
      </rPr>
      <t xml:space="preserve"> mean of 3 staple plant items</t>
    </r>
  </si>
  <si>
    <t>nicely consistent with "mean Canadian beef" reported in table 1 of http://www.se2009.eu/polopoly_fs/1.23297!menu/standard/file/foodproduction.pdf</t>
  </si>
  <si>
    <t>inversion efficiency relative to beef's</t>
  </si>
  <si>
    <t>slaughtered cattle dairy accounted for in lbs (10^6)/yr</t>
  </si>
  <si>
    <t>total slaughtered cattle in lbs (10^6)/yr</t>
  </si>
  <si>
    <t>Beef calories (including veal and edible tallow)</t>
  </si>
  <si>
    <t>Poultry calories</t>
  </si>
  <si>
    <t>Pork calories (including lard)</t>
  </si>
  <si>
    <t>Eggs calories</t>
  </si>
  <si>
    <t>Dairy calories (including dairy fat &amp; butter)</t>
  </si>
  <si>
    <r>
      <t>per total population (10</t>
    </r>
    <r>
      <rPr>
        <vertAlign val="superscript"/>
        <sz val="10"/>
        <color rgb="FF0070C0"/>
        <rFont val="Arial"/>
        <family val="2"/>
      </rPr>
      <t>6</t>
    </r>
    <r>
      <rPr>
        <sz val="10"/>
        <color rgb="FF0070C0"/>
        <rFont val="Arial"/>
        <family val="2"/>
      </rPr>
      <t>)</t>
    </r>
  </si>
  <si>
    <t>Total adjusted for domestic disappearance</t>
  </si>
  <si>
    <t>adjustment for US consumption : % domestic disappearance out of production</t>
  </si>
  <si>
    <t>live weight (million of pounds</t>
  </si>
  <si>
    <t>carcass weight per capita</t>
  </si>
  <si>
    <t>from carcass weight to boneless</t>
  </si>
  <si>
    <t>total national calories (10^6 Mcal/yr)</t>
  </si>
  <si>
    <t>carcass weight (million of pounds)</t>
  </si>
  <si>
    <t>Pelleteir's bonless fractions (from live weight)</t>
  </si>
  <si>
    <t>protein</t>
  </si>
  <si>
    <r>
      <t>total protein 10</t>
    </r>
    <r>
      <rPr>
        <b/>
        <vertAlign val="superscript"/>
        <sz val="10"/>
        <color theme="1"/>
        <rFont val="Calibri"/>
        <family val="2"/>
        <scheme val="minor"/>
      </rPr>
      <t>6</t>
    </r>
    <r>
      <rPr>
        <b/>
        <sz val="10"/>
        <color theme="1"/>
        <rFont val="Calibri"/>
        <family val="2"/>
        <scheme val="minor"/>
      </rPr>
      <t xml:space="preserve"> lbs</t>
    </r>
  </si>
  <si>
    <r>
      <t>feed proteins (10</t>
    </r>
    <r>
      <rPr>
        <b/>
        <vertAlign val="superscript"/>
        <sz val="14"/>
        <rFont val="Arial"/>
        <family val="2"/>
      </rPr>
      <t>6</t>
    </r>
    <r>
      <rPr>
        <b/>
        <sz val="14"/>
        <rFont val="Arial"/>
        <family val="2"/>
      </rPr>
      <t xml:space="preserve"> lbs/yr)</t>
    </r>
  </si>
  <si>
    <r>
      <t>m</t>
    </r>
    <r>
      <rPr>
        <vertAlign val="superscript"/>
        <sz val="11"/>
        <rFont val="Arial"/>
        <family val="2"/>
      </rPr>
      <t>2</t>
    </r>
    <r>
      <rPr>
        <sz val="11"/>
        <rFont val="Arial"/>
        <family val="2"/>
      </rPr>
      <t xml:space="preserve"> yr protein-kg</t>
    </r>
    <r>
      <rPr>
        <vertAlign val="superscript"/>
        <sz val="11"/>
        <rFont val="Arial"/>
        <family val="2"/>
      </rPr>
      <t>-1</t>
    </r>
  </si>
  <si>
    <r>
      <t>L protein-kg</t>
    </r>
    <r>
      <rPr>
        <vertAlign val="superscript"/>
        <sz val="11"/>
        <rFont val="Arial"/>
        <family val="2"/>
      </rPr>
      <t>-1</t>
    </r>
  </si>
  <si>
    <r>
      <t>kg CO</t>
    </r>
    <r>
      <rPr>
        <vertAlign val="subscript"/>
        <sz val="11"/>
        <rFont val="Arial"/>
        <family val="2"/>
      </rPr>
      <t>2</t>
    </r>
    <r>
      <rPr>
        <sz val="11"/>
        <rFont val="Arial"/>
        <family val="2"/>
      </rPr>
      <t>eq protein-kg</t>
    </r>
    <r>
      <rPr>
        <vertAlign val="superscript"/>
        <sz val="11"/>
        <rFont val="Arial"/>
        <family val="2"/>
      </rPr>
      <t>-1</t>
    </r>
  </si>
  <si>
    <t>Beef protein (including veal and edible tallow)</t>
  </si>
  <si>
    <t>Poultry protein</t>
  </si>
  <si>
    <t>Pork protein(including lard)</t>
  </si>
  <si>
    <t>Eggs protein</t>
  </si>
  <si>
    <t>Dairy protein (including dairy fat &amp; butter)</t>
  </si>
  <si>
    <t>Resource Use:   unit resource needs per eaten protein</t>
  </si>
  <si>
    <r>
      <t>g Nr protein-kg</t>
    </r>
    <r>
      <rPr>
        <vertAlign val="superscript"/>
        <sz val="11"/>
        <rFont val="Arial"/>
        <family val="2"/>
      </rPr>
      <t>-1</t>
    </r>
  </si>
  <si>
    <t>eaten protein/feed protein ratio</t>
  </si>
  <si>
    <t>protein 10^6 kg/yr</t>
  </si>
  <si>
    <t>Smil</t>
  </si>
  <si>
    <t>Smil (only crops)</t>
  </si>
  <si>
    <t>180-310</t>
  </si>
  <si>
    <t>13-15</t>
  </si>
  <si>
    <t>80-100</t>
  </si>
  <si>
    <t>19-25</t>
  </si>
  <si>
    <t>19-28</t>
  </si>
  <si>
    <r>
      <t>Protein content</t>
    </r>
    <r>
      <rPr>
        <b/>
        <sz val="10"/>
        <rFont val="Arial"/>
        <family val="2"/>
      </rPr>
      <t xml:space="preserve"> (% of edible weight)</t>
    </r>
  </si>
  <si>
    <t>Kcal/kg</t>
  </si>
  <si>
    <t>protein content (% EW)</t>
  </si>
  <si>
    <t>referenced Mcal/edible kg</t>
  </si>
  <si>
    <t>summary Mcal/edible kg</t>
  </si>
  <si>
    <t>USDA nutrient standard reference, http://ndb.nal.usda.gov/ndb/foods/list, item 01077</t>
  </si>
  <si>
    <t>USDA nutrient standard reference, http://ndb.nal.usda.gov/ndb/foods/list, item 01123</t>
  </si>
  <si>
    <t>dairy concentrates</t>
  </si>
  <si>
    <t>dairy PR</t>
  </si>
  <si>
    <t>dairy Pasture</t>
  </si>
  <si>
    <t>ours</t>
  </si>
  <si>
    <t>Smils</t>
  </si>
  <si>
    <t>Mcal/ kg protein ratio</t>
  </si>
  <si>
    <t>Mcal/kg protein ratio</t>
  </si>
  <si>
    <r>
      <t>land, m</t>
    </r>
    <r>
      <rPr>
        <b/>
        <vertAlign val="superscript"/>
        <sz val="12"/>
        <rFont val="Arial"/>
        <family val="2"/>
      </rPr>
      <t>2</t>
    </r>
    <r>
      <rPr>
        <b/>
        <sz val="12"/>
        <rFont val="Arial"/>
        <family val="2"/>
      </rPr>
      <t xml:space="preserve"> (yr kg protein)</t>
    </r>
    <r>
      <rPr>
        <b/>
        <vertAlign val="superscript"/>
        <sz val="12"/>
        <rFont val="Arial"/>
        <family val="2"/>
      </rPr>
      <t>-1</t>
    </r>
  </si>
  <si>
    <t>L kg protein-1</t>
  </si>
  <si>
    <r>
      <t>g Nr kg protein</t>
    </r>
    <r>
      <rPr>
        <vertAlign val="superscript"/>
        <sz val="12"/>
        <rFont val="Arial"/>
        <family val="2"/>
      </rPr>
      <t>-1</t>
    </r>
  </si>
  <si>
    <t>kg protein per capita per year</t>
  </si>
  <si>
    <t>from the plantsCost file: per edible kg protein</t>
  </si>
  <si>
    <t>g Nr/kg proteinl</t>
  </si>
  <si>
    <t>kgCO2/kg protein</t>
  </si>
  <si>
    <r>
      <t>(m</t>
    </r>
    <r>
      <rPr>
        <vertAlign val="superscript"/>
        <sz val="11"/>
        <color indexed="8"/>
        <rFont val="Arial"/>
        <family val="2"/>
      </rPr>
      <t>2</t>
    </r>
    <r>
      <rPr>
        <sz val="11"/>
        <color indexed="8"/>
        <rFont val="Arial"/>
        <family val="2"/>
      </rPr>
      <t xml:space="preserve"> yr)/kg protein</t>
    </r>
  </si>
  <si>
    <r>
      <t>ac to m</t>
    </r>
    <r>
      <rPr>
        <i/>
        <vertAlign val="superscript"/>
        <sz val="10"/>
        <rFont val="Arial"/>
        <family val="2"/>
      </rPr>
      <t>2</t>
    </r>
  </si>
  <si>
    <t>Table of content</t>
  </si>
  <si>
    <t>Feedstuff (based on USDA data)</t>
  </si>
  <si>
    <t>Total Feed supply and Partitioning of resources, and resources per calorie and per protein</t>
  </si>
  <si>
    <t>PartioningResources'!</t>
  </si>
  <si>
    <t>ResourceFeedMain'!</t>
  </si>
  <si>
    <t>Partitioning of resources among livestock categories</t>
  </si>
  <si>
    <t>PartitioningPerProtein</t>
  </si>
  <si>
    <t>PartioningPerCal'</t>
  </si>
  <si>
    <t>GHG of various livestock including kcal per live weight values</t>
  </si>
  <si>
    <t>GHG of livestock (including kcal per live weight quotas)</t>
  </si>
  <si>
    <t>GHG Animals</t>
  </si>
  <si>
    <t>Resource utilization per kg protein of the major livestock categories</t>
  </si>
  <si>
    <t>Resource utilization per calorie of the major livestock categories</t>
  </si>
  <si>
    <t>National animal calorie and protein consumption</t>
  </si>
  <si>
    <t>National calorie and protein consumption</t>
  </si>
  <si>
    <t>Feed's Nutrient composition</t>
  </si>
  <si>
    <t>Feed's nutrient composition</t>
  </si>
  <si>
    <t>FeedNutrientComposition'</t>
  </si>
  <si>
    <t>Nitrogen input</t>
  </si>
  <si>
    <t>Feed supply by feed type and associated resources utilization</t>
  </si>
  <si>
    <t>ConcentratsNr</t>
  </si>
  <si>
    <t>Nutrient fertilization of concentrates</t>
  </si>
  <si>
    <t>Water usage</t>
  </si>
  <si>
    <t>water irrigation of the various feed types</t>
  </si>
  <si>
    <t>crop yields</t>
  </si>
  <si>
    <t>Major crop yields</t>
  </si>
  <si>
    <t>corn</t>
  </si>
  <si>
    <t>soy</t>
  </si>
  <si>
    <t>Wheat</t>
  </si>
  <si>
    <t>Soy</t>
  </si>
  <si>
    <t>Soy's yield</t>
  </si>
  <si>
    <t>soy table2'!</t>
  </si>
  <si>
    <t>Processed roughage</t>
  </si>
  <si>
    <t>ProcessedRoughage!</t>
  </si>
  <si>
    <t>Pasture</t>
  </si>
  <si>
    <t>Comments</t>
  </si>
  <si>
    <t>various comments and values</t>
  </si>
  <si>
    <t>comments</t>
  </si>
  <si>
    <t>Mcal/lb</t>
  </si>
  <si>
    <t>con.:eaten calorie</t>
  </si>
  <si>
    <t>PR:eaten calorie</t>
  </si>
  <si>
    <t>pasture:eaten calorie</t>
  </si>
  <si>
    <t>Animal Partitioning'!</t>
  </si>
  <si>
    <t>the final results of the partitioning of categories from Eshel et al 2014 after feed allocation</t>
  </si>
  <si>
    <t>USA Calories/Protein Intake</t>
  </si>
  <si>
    <t>total USA land area (10^6 acre)</t>
  </si>
  <si>
    <t>precetage of agriculture land from total land in the US</t>
  </si>
  <si>
    <t>Percentage of Livestock's share of agricultural land</t>
  </si>
  <si>
    <t>Percentage of Livestock's share from total USA land</t>
  </si>
  <si>
    <r>
      <t>total agriculture land</t>
    </r>
    <r>
      <rPr>
        <b/>
        <vertAlign val="superscript"/>
        <sz val="11"/>
        <color theme="1"/>
        <rFont val="Calibri"/>
        <family val="2"/>
        <scheme val="minor"/>
      </rPr>
      <t>1</t>
    </r>
  </si>
  <si>
    <t>mean % in DM</t>
  </si>
  <si>
    <t>Additional information</t>
  </si>
  <si>
    <t>percentage of animal protein intake</t>
  </si>
  <si>
    <t>std Mcal/edible kg</t>
  </si>
  <si>
    <t>Smil'd values feeding the world, Chapter 5 table 5.1, pg 157</t>
  </si>
  <si>
    <t>10%-15%</t>
  </si>
  <si>
    <t>5% - 8%</t>
  </si>
  <si>
    <t>20% -30%</t>
  </si>
  <si>
    <t>30%-40%</t>
  </si>
  <si>
    <t>from Johnson et al (unpublished ms, ref. 8 below), using table 3, the CONVENTIONAL scenario, disregarding C sequestration</t>
  </si>
  <si>
    <t>Conc. mean</t>
  </si>
  <si>
    <t>PR mean</t>
  </si>
  <si>
    <t>Pasture mean</t>
  </si>
  <si>
    <t>feed kcal/food protein ratio (kcal/gr protein)</t>
  </si>
  <si>
    <t>PR std</t>
  </si>
  <si>
    <t>Pasture std</t>
  </si>
  <si>
    <r>
      <t>10</t>
    </r>
    <r>
      <rPr>
        <vertAlign val="superscript"/>
        <sz val="11"/>
        <color indexed="8"/>
        <rFont val="Arial"/>
        <family val="2"/>
      </rPr>
      <t>6</t>
    </r>
    <r>
      <rPr>
        <sz val="11"/>
        <color indexed="8"/>
        <rFont val="Arial"/>
        <family val="2"/>
      </rPr>
      <t xml:space="preserve"> Mcal/yr</t>
    </r>
  </si>
  <si>
    <t>byproducts</t>
  </si>
  <si>
    <r>
      <t>10</t>
    </r>
    <r>
      <rPr>
        <vertAlign val="superscript"/>
        <sz val="11"/>
        <color indexed="8"/>
        <rFont val="Arial"/>
        <family val="2"/>
      </rPr>
      <t>6</t>
    </r>
    <r>
      <rPr>
        <sz val="11"/>
        <color indexed="8"/>
        <rFont val="Arial"/>
        <family val="2"/>
      </rPr>
      <t xml:space="preserve"> lbs/yr</t>
    </r>
  </si>
  <si>
    <t>total (adjusted to domestic consumption)</t>
  </si>
  <si>
    <t>Comparison of the environmental footprint of the egg industry in the United States in 1960 and 2010, Pelletier et al, http://dx.doi.org/10.3382/ps.2013-03390  See table 12</t>
  </si>
  <si>
    <r>
      <t xml:space="preserve">beef's </t>
    </r>
    <r>
      <rPr>
        <b/>
        <sz val="12"/>
        <color theme="1"/>
        <rFont val="Calibri"/>
        <family val="2"/>
        <scheme val="minor"/>
      </rPr>
      <t>use relative to</t>
    </r>
    <r>
      <rPr>
        <b/>
        <sz val="12"/>
        <color indexed="8"/>
        <rFont val="Calibri"/>
        <family val="2"/>
      </rPr>
      <t xml:space="preserve"> mean of non-beef edibles</t>
    </r>
  </si>
  <si>
    <r>
      <t xml:space="preserve">mean of edibles' </t>
    </r>
    <r>
      <rPr>
        <b/>
        <sz val="12"/>
        <color theme="1"/>
        <rFont val="Calibri"/>
        <family val="2"/>
        <scheme val="minor"/>
      </rPr>
      <t>use relative to</t>
    </r>
    <r>
      <rPr>
        <b/>
        <sz val="12"/>
        <color indexed="8"/>
        <rFont val="Calibri"/>
        <family val="2"/>
      </rPr>
      <t xml:space="preserve"> mean of 3 staple plant items</t>
    </r>
  </si>
  <si>
    <t>slaughtered hens in lbs (10^6)/yr</t>
  </si>
  <si>
    <t>total slaughtered poultry in lbs (10^6)/yr</t>
  </si>
  <si>
    <t>percentage of culled dairy (by mass)</t>
  </si>
  <si>
    <t>percentage of culled hens (by mass)</t>
  </si>
  <si>
    <t>T. Greg et al., Regional analysis of greenhouse gas emissions from USA dairy farms: A cradle to farm-gate assessment of the American dairy industry circa 2008, International Dairy Journal (2012) (available at http://dx.doi.org/10.1016/j.idairyj.2012.09.010).</t>
  </si>
  <si>
    <t xml:space="preserve">Johnson, Phetteplace, Seidl, Schneider and McCarl, unpublished ms, MANAGEMENT VARIATIONS FOR US BEEF PRODUCTION SYSTEMS: EFFECTS ON GHG EMISSIONS AND PROFITABILITY
</t>
  </si>
  <si>
    <t>Mcal/edible lbs (national calories eaten/population retail disappearance weight)</t>
  </si>
  <si>
    <r>
      <t>m</t>
    </r>
    <r>
      <rPr>
        <vertAlign val="superscript"/>
        <sz val="11"/>
        <color indexed="8"/>
        <rFont val="Arial"/>
        <family val="2"/>
      </rPr>
      <t>3</t>
    </r>
    <r>
      <rPr>
        <sz val="11"/>
        <color indexed="8"/>
        <rFont val="Arial"/>
        <family val="2"/>
      </rPr>
      <t>/kg protein</t>
    </r>
  </si>
  <si>
    <t>year</t>
  </si>
  <si>
    <t>per capita (kcal)</t>
  </si>
  <si>
    <r>
      <t>per total population (kcalX10</t>
    </r>
    <r>
      <rPr>
        <vertAlign val="superscript"/>
        <sz val="10"/>
        <color rgb="FF0070C0"/>
        <rFont val="Arial"/>
        <family val="2"/>
      </rPr>
      <t>6</t>
    </r>
    <r>
      <rPr>
        <sz val="10"/>
        <color rgb="FF0070C0"/>
        <rFont val="Arial"/>
        <family val="2"/>
      </rPr>
      <t>)</t>
    </r>
  </si>
  <si>
    <t>mean (kcal |10^6 kcal)</t>
  </si>
  <si>
    <t>mean (Mcal |10^6 Mcal)</t>
  </si>
  <si>
    <t>Main results of Eshel et al 2014 Partitioning United States’ feed consumption among livestock categories for improved environmental cost assessments</t>
  </si>
  <si>
    <t>yield bu/ac</t>
  </si>
  <si>
    <t>Total adjusted for domestic disappearance plus byproducts</t>
  </si>
  <si>
    <r>
      <t>concentrates+byproducts</t>
    </r>
    <r>
      <rPr>
        <vertAlign val="superscript"/>
        <sz val="10"/>
        <color theme="1"/>
        <rFont val="Calibri"/>
        <family val="2"/>
        <scheme val="minor"/>
      </rPr>
      <t>a</t>
    </r>
  </si>
  <si>
    <t xml:space="preserve">Smil's feeding the world (%), table 5.1 chapter 5 pg 157 </t>
  </si>
  <si>
    <t>feed calorie:consumed calorie</t>
  </si>
  <si>
    <t>byproducts (no soybean)</t>
  </si>
  <si>
    <t>per person feed water</t>
  </si>
  <si>
    <t>per person (square meter)</t>
  </si>
  <si>
    <t>million square km</t>
  </si>
  <si>
    <t>total concentrates and processed roughage (10^6 acre)</t>
  </si>
  <si>
    <t>total feed land</t>
  </si>
  <si>
    <r>
      <t>transportation for 2009</t>
    </r>
    <r>
      <rPr>
        <vertAlign val="superscript"/>
        <sz val="11"/>
        <color theme="1"/>
        <rFont val="Calibri"/>
        <family val="2"/>
        <scheme val="minor"/>
      </rPr>
      <t>5</t>
    </r>
  </si>
  <si>
    <t>total cropland</t>
  </si>
  <si>
    <t>total land for agricultural purposes (10^6 acre)</t>
  </si>
  <si>
    <t>Percentage of Livestock's crop and processed roughage from total cropland</t>
  </si>
  <si>
    <t>percentage of livestock's feed from 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</si>
</sst>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6" formatCode="&quot;$&quot;#,##0_);[Red]\(&quot;$&quot;#,##0\)"/>
    <numFmt numFmtId="43" formatCode="_(* #,##0.00_);_(* \(#,##0.00\);_(* &quot;-&quot;??_);_(@_)"/>
    <numFmt numFmtId="164" formatCode="[$-1010409]#,##0;\-#,##0"/>
    <numFmt numFmtId="165" formatCode="0.0"/>
    <numFmt numFmtId="166" formatCode="#,##0_______)"/>
    <numFmt numFmtId="167" formatCode="#,##0.00_______)"/>
    <numFmt numFmtId="168" formatCode="_(* #,##0_);_(* \(#,##0\);_(* &quot;-&quot;??_);_(@_)"/>
    <numFmt numFmtId="169" formatCode="#,##0_________)"/>
    <numFmt numFmtId="170" formatCode="#,##0.0___________)"/>
    <numFmt numFmtId="171" formatCode="#,##0.00_____________)"/>
    <numFmt numFmtId="172" formatCode="#,##0.0"/>
    <numFmt numFmtId="173" formatCode="[$-10409]#,##0;\-#,##0"/>
    <numFmt numFmtId="174" formatCode="[$-10409]#,##0.00;\-#,##0.00"/>
    <numFmt numFmtId="175" formatCode="#,##0.0_________)"/>
    <numFmt numFmtId="176" formatCode="#,##0.000000000000000"/>
    <numFmt numFmtId="177" formatCode="[$-10409]#,##0.000;\-#,##0.000"/>
    <numFmt numFmtId="178" formatCode="0.000"/>
    <numFmt numFmtId="179" formatCode="0.0000%"/>
    <numFmt numFmtId="180" formatCode="#,##0.00_________)"/>
    <numFmt numFmtId="181" formatCode="#,##0.000_________)"/>
    <numFmt numFmtId="182" formatCode="0.0%"/>
    <numFmt numFmtId="183" formatCode="0.0000_);\(0.0000\)"/>
    <numFmt numFmtId="184" formatCode="0.000_);\(0.000\)"/>
    <numFmt numFmtId="185" formatCode="[$-10409]#,###"/>
    <numFmt numFmtId="186" formatCode="_(* #,##0.0_);_(* \(#,##0.0\);_(* &quot;-&quot;??_);_(@_)"/>
    <numFmt numFmtId="187" formatCode="#,##0.0_);\(#,##0.0\)"/>
    <numFmt numFmtId="188" formatCode="[$-10409]#,##0.0;\-#,##0.0"/>
    <numFmt numFmtId="189" formatCode="0.00000"/>
    <numFmt numFmtId="190" formatCode="_(* #,##0.000_);_(* \(#,##0.000\);_(* &quot;-&quot;??_);_(@_)"/>
    <numFmt numFmtId="191" formatCode="0.0000"/>
    <numFmt numFmtId="192" formatCode="0.0000000"/>
    <numFmt numFmtId="193" formatCode="0.000000000"/>
  </numFmts>
  <fonts count="203">
    <font>
      <sz val="11"/>
      <color theme="1"/>
      <name val="Calibri"/>
      <family val="2"/>
      <scheme val="minor"/>
    </font>
    <font>
      <sz val="12"/>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4"/>
      <name val="Arial"/>
      <family val="2"/>
    </font>
    <font>
      <u/>
      <sz val="10"/>
      <color indexed="12"/>
      <name val="Arial"/>
      <family val="2"/>
    </font>
    <font>
      <sz val="8"/>
      <name val="Arial"/>
      <family val="2"/>
    </font>
    <font>
      <b/>
      <sz val="10"/>
      <name val="Arial"/>
      <family val="2"/>
    </font>
    <font>
      <b/>
      <sz val="8"/>
      <name val="Arial"/>
      <family val="2"/>
    </font>
    <font>
      <sz val="8"/>
      <color indexed="8"/>
      <name val="Arial"/>
      <family val="2"/>
    </font>
    <font>
      <i/>
      <sz val="6"/>
      <color indexed="8"/>
      <name val="Arial"/>
      <family val="2"/>
    </font>
    <font>
      <b/>
      <sz val="8"/>
      <color indexed="8"/>
      <name val="Arial"/>
      <family val="2"/>
    </font>
    <font>
      <sz val="9"/>
      <color indexed="81"/>
      <name val="Tahoma"/>
      <family val="2"/>
    </font>
    <font>
      <b/>
      <sz val="9"/>
      <color indexed="81"/>
      <name val="Tahoma"/>
      <family val="2"/>
    </font>
    <font>
      <sz val="8"/>
      <color indexed="10"/>
      <name val="Arial"/>
      <family val="2"/>
    </font>
    <font>
      <sz val="10"/>
      <color indexed="10"/>
      <name val="Arial"/>
      <family val="2"/>
    </font>
    <font>
      <sz val="8"/>
      <color theme="4"/>
      <name val="Arial"/>
      <family val="2"/>
    </font>
    <font>
      <b/>
      <sz val="8"/>
      <color theme="4"/>
      <name val="Arial"/>
      <family val="2"/>
    </font>
    <font>
      <sz val="10"/>
      <name val="Arial"/>
      <family val="2"/>
    </font>
    <font>
      <i/>
      <sz val="8"/>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12"/>
      <name val="Helvetica"/>
    </font>
    <font>
      <sz val="11"/>
      <name val="Helvetica"/>
    </font>
    <font>
      <sz val="11"/>
      <color indexed="8"/>
      <name val="Arial"/>
      <family val="2"/>
    </font>
    <font>
      <sz val="8"/>
      <name val="Helvetica"/>
      <family val="2"/>
    </font>
    <font>
      <sz val="7"/>
      <name val="Helvetica"/>
      <family val="2"/>
    </font>
    <font>
      <i/>
      <sz val="7"/>
      <name val="Helvetica"/>
      <family val="2"/>
    </font>
    <font>
      <i/>
      <sz val="8"/>
      <name val="Helvetica"/>
      <family val="2"/>
    </font>
    <font>
      <sz val="8"/>
      <color theme="4"/>
      <name val="Helvetica"/>
      <family val="2"/>
    </font>
    <font>
      <u/>
      <sz val="11"/>
      <color theme="10"/>
      <name val="Calibri"/>
      <family val="2"/>
      <scheme val="minor"/>
    </font>
    <font>
      <i/>
      <sz val="8"/>
      <name val="Arial"/>
      <family val="2"/>
    </font>
    <font>
      <sz val="8"/>
      <name val="Helv"/>
    </font>
    <font>
      <sz val="8"/>
      <color indexed="8"/>
      <name val="Arial"/>
      <family val="2"/>
    </font>
    <font>
      <sz val="8"/>
      <color theme="1" tint="0.499984740745262"/>
      <name val="Arial"/>
      <family val="2"/>
    </font>
    <font>
      <sz val="8"/>
      <color theme="1"/>
      <name val="Calibri"/>
      <family val="2"/>
      <scheme val="minor"/>
    </font>
    <font>
      <sz val="9"/>
      <name val="Arial"/>
      <family val="2"/>
    </font>
    <font>
      <sz val="10"/>
      <color rgb="FF0070C0"/>
      <name val="Arial"/>
      <family val="2"/>
    </font>
    <font>
      <sz val="11"/>
      <color rgb="FF0070C0"/>
      <name val="Calibri"/>
      <family val="2"/>
      <scheme val="minor"/>
    </font>
    <font>
      <b/>
      <sz val="8"/>
      <color rgb="FF0070C0"/>
      <name val="Arial"/>
      <family val="2"/>
    </font>
    <font>
      <sz val="8"/>
      <color rgb="FF0070C0"/>
      <name val="Arial"/>
      <family val="2"/>
    </font>
    <font>
      <sz val="10"/>
      <color theme="1"/>
      <name val="Calibri"/>
      <family val="2"/>
      <scheme val="minor"/>
    </font>
    <font>
      <b/>
      <sz val="10"/>
      <color theme="1"/>
      <name val="Calibri"/>
      <family val="2"/>
      <scheme val="minor"/>
    </font>
    <font>
      <sz val="11"/>
      <color indexed="10"/>
      <name val="Arial"/>
      <family val="2"/>
    </font>
    <font>
      <i/>
      <sz val="5.95"/>
      <color indexed="8"/>
      <name val="Arial"/>
      <family val="2"/>
    </font>
    <font>
      <sz val="9"/>
      <color theme="1"/>
      <name val="Calibri"/>
      <family val="2"/>
      <scheme val="minor"/>
    </font>
    <font>
      <vertAlign val="superscript"/>
      <sz val="8"/>
      <color indexed="8"/>
      <name val="Arial"/>
      <family val="2"/>
    </font>
    <font>
      <vertAlign val="superscript"/>
      <sz val="10"/>
      <color theme="1"/>
      <name val="Calibri"/>
      <family val="2"/>
      <scheme val="minor"/>
    </font>
    <font>
      <sz val="10"/>
      <name val="Calibri"/>
      <family val="2"/>
      <scheme val="minor"/>
    </font>
    <font>
      <sz val="10"/>
      <color rgb="FFFF0000"/>
      <name val="Calibri"/>
      <family val="2"/>
      <scheme val="minor"/>
    </font>
    <font>
      <b/>
      <sz val="10"/>
      <name val="Calibri"/>
      <family val="2"/>
      <scheme val="minor"/>
    </font>
    <font>
      <b/>
      <sz val="8"/>
      <color theme="5" tint="-0.249977111117893"/>
      <name val="Arial"/>
      <family val="2"/>
    </font>
    <font>
      <b/>
      <sz val="11"/>
      <color rgb="FF0070C0"/>
      <name val="Calibri"/>
      <family val="2"/>
      <scheme val="minor"/>
    </font>
    <font>
      <sz val="6"/>
      <color rgb="FF0070C0"/>
      <name val="Arial"/>
      <family val="2"/>
    </font>
    <font>
      <b/>
      <i/>
      <sz val="11"/>
      <color theme="1"/>
      <name val="Calibri"/>
      <family val="2"/>
      <scheme val="minor"/>
    </font>
    <font>
      <b/>
      <i/>
      <vertAlign val="superscript"/>
      <sz val="11"/>
      <color theme="1"/>
      <name val="Calibri"/>
      <family val="2"/>
      <scheme val="minor"/>
    </font>
    <font>
      <sz val="11"/>
      <color theme="7"/>
      <name val="Calibri"/>
      <family val="2"/>
      <scheme val="minor"/>
    </font>
    <font>
      <b/>
      <sz val="14"/>
      <color theme="7"/>
      <name val="Arial"/>
      <family val="2"/>
    </font>
    <font>
      <b/>
      <sz val="11"/>
      <color indexed="8"/>
      <name val="Arial"/>
      <family val="2"/>
    </font>
    <font>
      <b/>
      <sz val="11"/>
      <name val="Calibri"/>
      <family val="2"/>
      <scheme val="minor"/>
    </font>
    <font>
      <sz val="8"/>
      <color theme="5" tint="-0.249977111117893"/>
      <name val="Arial"/>
      <family val="2"/>
    </font>
    <font>
      <sz val="11"/>
      <name val="Calibri"/>
      <family val="2"/>
      <scheme val="minor"/>
    </font>
    <font>
      <vertAlign val="superscript"/>
      <sz val="8"/>
      <color rgb="FF0070C0"/>
      <name val="Arial"/>
      <family val="2"/>
    </font>
    <font>
      <b/>
      <u/>
      <sz val="11"/>
      <color theme="1"/>
      <name val="Calibri"/>
      <family val="2"/>
      <scheme val="minor"/>
    </font>
    <font>
      <u/>
      <sz val="8"/>
      <color indexed="8"/>
      <name val="Arial"/>
      <family val="2"/>
    </font>
    <font>
      <sz val="9"/>
      <name val="Helvetica"/>
      <family val="2"/>
    </font>
    <font>
      <b/>
      <sz val="11"/>
      <color rgb="FFFF0000"/>
      <name val="Calibri"/>
      <family val="2"/>
      <scheme val="minor"/>
    </font>
    <font>
      <vertAlign val="superscript"/>
      <sz val="11"/>
      <color theme="1"/>
      <name val="Calibri"/>
      <family val="2"/>
      <scheme val="minor"/>
    </font>
    <font>
      <b/>
      <vertAlign val="superscript"/>
      <sz val="8"/>
      <name val="Arial"/>
      <family val="2"/>
    </font>
    <font>
      <sz val="10"/>
      <color indexed="8"/>
      <name val="Times New Roman"/>
      <family val="1"/>
    </font>
    <font>
      <b/>
      <sz val="10"/>
      <color indexed="8"/>
      <name val="Times New Roman"/>
      <family val="1"/>
    </font>
    <font>
      <b/>
      <vertAlign val="subscript"/>
      <sz val="10"/>
      <color indexed="8"/>
      <name val="Times New Roman"/>
      <family val="1"/>
    </font>
    <font>
      <b/>
      <vertAlign val="superscript"/>
      <sz val="10"/>
      <color theme="1"/>
      <name val="Calibri"/>
      <family val="2"/>
      <scheme val="minor"/>
    </font>
    <font>
      <b/>
      <sz val="18"/>
      <color indexed="62"/>
      <name val="Times New Roman"/>
      <family val="2"/>
    </font>
    <font>
      <b/>
      <sz val="15"/>
      <color indexed="62"/>
      <name val="Arial"/>
      <family val="2"/>
    </font>
    <font>
      <b/>
      <sz val="13"/>
      <color indexed="62"/>
      <name val="Arial"/>
      <family val="2"/>
    </font>
    <font>
      <b/>
      <sz val="11"/>
      <color indexed="62"/>
      <name val="Arial"/>
      <family val="2"/>
    </font>
    <font>
      <sz val="11"/>
      <color indexed="17"/>
      <name val="Arial"/>
      <family val="2"/>
    </font>
    <font>
      <sz val="11"/>
      <color indexed="20"/>
      <name val="Arial"/>
      <family val="2"/>
    </font>
    <font>
      <sz val="11"/>
      <color indexed="60"/>
      <name val="Arial"/>
      <family val="2"/>
    </font>
    <font>
      <sz val="11"/>
      <color indexed="62"/>
      <name val="Arial"/>
      <family val="2"/>
    </font>
    <font>
      <b/>
      <sz val="11"/>
      <color indexed="63"/>
      <name val="Arial"/>
      <family val="2"/>
    </font>
    <font>
      <b/>
      <sz val="11"/>
      <color indexed="52"/>
      <name val="Arial"/>
      <family val="2"/>
    </font>
    <font>
      <sz val="11"/>
      <color indexed="52"/>
      <name val="Arial"/>
      <family val="2"/>
    </font>
    <font>
      <b/>
      <sz val="11"/>
      <color indexed="15"/>
      <name val="Arial"/>
      <family val="2"/>
    </font>
    <font>
      <sz val="11"/>
      <color indexed="53"/>
      <name val="Arial"/>
      <family val="2"/>
    </font>
    <font>
      <i/>
      <sz val="11"/>
      <color indexed="12"/>
      <name val="Arial"/>
      <family val="2"/>
    </font>
    <font>
      <b/>
      <sz val="11"/>
      <color indexed="9"/>
      <name val="Arial"/>
      <family val="2"/>
    </font>
    <font>
      <sz val="11"/>
      <color indexed="15"/>
      <name val="Arial"/>
      <family val="2"/>
    </font>
    <font>
      <sz val="11"/>
      <color indexed="9"/>
      <name val="Arial"/>
      <family val="2"/>
    </font>
    <font>
      <sz val="8"/>
      <name val="Verdana"/>
      <family val="2"/>
    </font>
    <font>
      <sz val="8"/>
      <name val="Helvetica"/>
      <family val="2"/>
    </font>
    <font>
      <vertAlign val="superscript"/>
      <sz val="10"/>
      <name val="Arial"/>
      <family val="2"/>
    </font>
    <font>
      <vertAlign val="superscript"/>
      <sz val="8"/>
      <name val="Arial"/>
      <family val="2"/>
    </font>
    <font>
      <b/>
      <sz val="8"/>
      <color indexed="51"/>
      <name val="Arial"/>
      <family val="2"/>
    </font>
    <font>
      <sz val="8"/>
      <name val="Apple Symbols"/>
    </font>
    <font>
      <b/>
      <sz val="10"/>
      <color rgb="FF0070C0"/>
      <name val="Arial"/>
      <family val="2"/>
    </font>
    <font>
      <u/>
      <sz val="11"/>
      <color indexed="12"/>
      <name val="Calibri"/>
      <family val="2"/>
    </font>
    <font>
      <b/>
      <vertAlign val="superscript"/>
      <sz val="10"/>
      <name val="Calibri"/>
      <family val="2"/>
      <scheme val="minor"/>
    </font>
    <font>
      <b/>
      <u/>
      <sz val="10"/>
      <name val="Calibri"/>
      <family val="2"/>
      <scheme val="minor"/>
    </font>
    <font>
      <vertAlign val="superscript"/>
      <sz val="8"/>
      <color indexed="8"/>
      <name val="Calibri"/>
      <family val="2"/>
      <scheme val="minor"/>
    </font>
    <font>
      <sz val="8"/>
      <color indexed="8"/>
      <name val="Calibri"/>
      <family val="2"/>
      <scheme val="minor"/>
    </font>
    <font>
      <b/>
      <sz val="10"/>
      <color indexed="8"/>
      <name val="Calibri"/>
      <family val="2"/>
      <scheme val="minor"/>
    </font>
    <font>
      <i/>
      <vertAlign val="superscript"/>
      <sz val="8"/>
      <name val="Arial"/>
      <family val="2"/>
    </font>
    <font>
      <sz val="11"/>
      <color rgb="FF000000"/>
      <name val="Calibri"/>
      <family val="2"/>
      <scheme val="minor"/>
    </font>
    <font>
      <sz val="8"/>
      <color theme="5" tint="-0.499984740745262"/>
      <name val="Arial"/>
      <family val="2"/>
    </font>
    <font>
      <b/>
      <sz val="9"/>
      <name val="Arial"/>
      <family val="2"/>
    </font>
    <font>
      <sz val="8"/>
      <color theme="6" tint="-0.249977111117893"/>
      <name val="Arial"/>
      <family val="2"/>
    </font>
    <font>
      <b/>
      <sz val="11"/>
      <color theme="4"/>
      <name val="Calibri"/>
      <family val="2"/>
      <scheme val="minor"/>
    </font>
    <font>
      <b/>
      <sz val="8"/>
      <color indexed="8"/>
      <name val="Arial"/>
      <family val="2"/>
    </font>
    <font>
      <sz val="8"/>
      <color theme="6" tint="-0.499984740745262"/>
      <name val="Arial"/>
      <family val="2"/>
    </font>
    <font>
      <sz val="9"/>
      <color indexed="8"/>
      <name val="Arial"/>
      <family val="2"/>
    </font>
    <font>
      <sz val="10"/>
      <color theme="3"/>
      <name val="Calibri"/>
      <family val="2"/>
      <scheme val="minor"/>
    </font>
    <font>
      <b/>
      <sz val="8"/>
      <color theme="3" tint="0.39997558519241921"/>
      <name val="Arial"/>
      <family val="2"/>
    </font>
    <font>
      <sz val="8"/>
      <color rgb="FF0070C0"/>
      <name val="Helvetica"/>
      <family val="2"/>
    </font>
    <font>
      <b/>
      <sz val="10"/>
      <color indexed="8"/>
      <name val="Arial"/>
      <family val="2"/>
    </font>
    <font>
      <sz val="10"/>
      <color indexed="8"/>
      <name val="Arial"/>
      <family val="2"/>
    </font>
    <font>
      <vertAlign val="superscript"/>
      <sz val="10"/>
      <color rgb="FF0070C0"/>
      <name val="Arial"/>
      <family val="2"/>
    </font>
    <font>
      <b/>
      <vertAlign val="superscript"/>
      <sz val="10"/>
      <color rgb="FF0070C0"/>
      <name val="Arial"/>
      <family val="2"/>
    </font>
    <font>
      <u/>
      <sz val="11"/>
      <color theme="11"/>
      <name val="Calibri"/>
      <family val="2"/>
      <scheme val="minor"/>
    </font>
    <font>
      <sz val="11"/>
      <name val="Arial"/>
      <family val="2"/>
    </font>
    <font>
      <vertAlign val="superscript"/>
      <sz val="11"/>
      <name val="Arial"/>
      <family val="2"/>
    </font>
    <font>
      <vertAlign val="subscript"/>
      <sz val="11"/>
      <name val="Arial"/>
      <family val="2"/>
    </font>
    <font>
      <b/>
      <sz val="12"/>
      <name val="Arial"/>
      <family val="2"/>
    </font>
    <font>
      <b/>
      <vertAlign val="superscript"/>
      <sz val="12"/>
      <name val="Arial"/>
      <family val="2"/>
    </font>
    <font>
      <sz val="12"/>
      <name val="Arial"/>
      <family val="2"/>
    </font>
    <font>
      <vertAlign val="superscript"/>
      <sz val="12"/>
      <name val="Arial"/>
      <family val="2"/>
    </font>
    <font>
      <b/>
      <i/>
      <sz val="12"/>
      <name val="Times New Roman"/>
      <family val="1"/>
    </font>
    <font>
      <b/>
      <sz val="11"/>
      <name val="Arial"/>
      <family val="2"/>
    </font>
    <font>
      <b/>
      <vertAlign val="superscript"/>
      <sz val="11"/>
      <name val="Arial"/>
      <family val="2"/>
    </font>
    <font>
      <sz val="12"/>
      <color indexed="8"/>
      <name val="Calibri"/>
      <family val="2"/>
    </font>
    <font>
      <b/>
      <sz val="12"/>
      <color indexed="8"/>
      <name val="Calibri"/>
      <family val="2"/>
    </font>
    <font>
      <b/>
      <sz val="14"/>
      <color indexed="8"/>
      <name val="Calibri"/>
      <family val="2"/>
    </font>
    <font>
      <b/>
      <vertAlign val="superscript"/>
      <sz val="14"/>
      <name val="Arial"/>
      <family val="2"/>
    </font>
    <font>
      <sz val="11"/>
      <name val="Calibri"/>
      <family val="2"/>
    </font>
    <font>
      <sz val="8"/>
      <name val="Calibri"/>
      <family val="2"/>
    </font>
    <font>
      <b/>
      <sz val="14"/>
      <color indexed="8"/>
      <name val="Zapf Dingbats"/>
    </font>
    <font>
      <b/>
      <sz val="11"/>
      <name val="Calibri"/>
      <family val="2"/>
    </font>
    <font>
      <b/>
      <sz val="12"/>
      <color theme="1"/>
      <name val="Calibri"/>
      <family val="2"/>
      <scheme val="minor"/>
    </font>
    <font>
      <b/>
      <sz val="11"/>
      <color indexed="8"/>
      <name val="Calibri"/>
      <family val="2"/>
    </font>
    <font>
      <b/>
      <sz val="12"/>
      <color indexed="8"/>
      <name val="Arial"/>
      <family val="2"/>
    </font>
    <font>
      <sz val="12"/>
      <color indexed="8"/>
      <name val="Arial"/>
      <family val="2"/>
    </font>
    <font>
      <b/>
      <sz val="10"/>
      <color indexed="8"/>
      <name val="Calibri"/>
      <family val="2"/>
    </font>
    <font>
      <b/>
      <sz val="16"/>
      <color rgb="FFFF0000"/>
      <name val="Calibri"/>
      <family val="2"/>
      <scheme val="minor"/>
    </font>
    <font>
      <sz val="12"/>
      <color indexed="8"/>
      <name val="Arial"/>
      <family val="2"/>
    </font>
    <font>
      <sz val="12"/>
      <color indexed="10"/>
      <name val="Arial"/>
      <family val="2"/>
    </font>
    <font>
      <b/>
      <sz val="12"/>
      <color indexed="8"/>
      <name val="Arial"/>
      <family val="2"/>
    </font>
    <font>
      <b/>
      <sz val="11"/>
      <color indexed="8"/>
      <name val="Calibri"/>
      <family val="2"/>
      <scheme val="minor"/>
    </font>
    <font>
      <sz val="11"/>
      <color indexed="8"/>
      <name val="Calibri"/>
      <family val="2"/>
      <scheme val="minor"/>
    </font>
    <font>
      <sz val="11"/>
      <color indexed="8"/>
      <name val="Arial"/>
      <family val="2"/>
    </font>
    <font>
      <b/>
      <sz val="11"/>
      <color indexed="8"/>
      <name val="Arial"/>
      <family val="2"/>
    </font>
    <font>
      <b/>
      <sz val="12"/>
      <color indexed="8"/>
      <name val="Arial"/>
      <family val="2"/>
    </font>
    <font>
      <b/>
      <sz val="10"/>
      <color indexed="8"/>
      <name val="Arial"/>
      <family val="2"/>
    </font>
    <font>
      <sz val="14"/>
      <color theme="1"/>
      <name val="Calibri"/>
      <family val="2"/>
      <scheme val="minor"/>
    </font>
    <font>
      <b/>
      <sz val="14"/>
      <color theme="1"/>
      <name val="Calibri"/>
      <family val="2"/>
      <scheme val="minor"/>
    </font>
    <font>
      <sz val="11"/>
      <color indexed="8"/>
      <name val="Arial"/>
      <family val="2"/>
    </font>
    <font>
      <sz val="12"/>
      <color indexed="8"/>
      <name val="Arial"/>
      <family val="2"/>
    </font>
    <font>
      <vertAlign val="superscript"/>
      <sz val="11"/>
      <color indexed="8"/>
      <name val="Arial"/>
      <family val="2"/>
    </font>
    <font>
      <b/>
      <sz val="11"/>
      <color rgb="FF0070C0"/>
      <name val="Arial"/>
      <family val="2"/>
    </font>
    <font>
      <u/>
      <sz val="11"/>
      <color indexed="12"/>
      <name val="Calibri"/>
      <family val="2"/>
      <scheme val="minor"/>
    </font>
    <font>
      <sz val="11"/>
      <color theme="1"/>
      <name val="Calibri"/>
      <family val="2"/>
    </font>
    <font>
      <sz val="10"/>
      <color theme="1"/>
      <name val="Arial"/>
      <family val="2"/>
    </font>
    <font>
      <sz val="11"/>
      <color theme="1"/>
      <name val="Arial"/>
      <family val="2"/>
    </font>
    <font>
      <sz val="10"/>
      <color indexed="8"/>
      <name val="Calibri"/>
      <family val="2"/>
      <scheme val="minor"/>
    </font>
    <font>
      <sz val="8"/>
      <color theme="0"/>
      <name val="Arial"/>
      <family val="2"/>
    </font>
    <font>
      <i/>
      <sz val="10"/>
      <name val="Arial"/>
      <family val="2"/>
    </font>
    <font>
      <i/>
      <vertAlign val="superscript"/>
      <sz val="10"/>
      <name val="Arial"/>
      <family val="2"/>
    </font>
    <font>
      <b/>
      <sz val="12"/>
      <name val="Helvetica"/>
    </font>
    <font>
      <b/>
      <u/>
      <sz val="12"/>
      <name val="Helvetica"/>
    </font>
    <font>
      <sz val="12"/>
      <color rgb="FFC00000"/>
      <name val="Helvetica"/>
    </font>
    <font>
      <b/>
      <u/>
      <sz val="12"/>
      <color rgb="FF00B0F0"/>
      <name val="Helvetica"/>
    </font>
    <font>
      <b/>
      <u/>
      <sz val="12"/>
      <color rgb="FF00B050"/>
      <name val="Helvetica"/>
    </font>
    <font>
      <b/>
      <u/>
      <sz val="12"/>
      <color theme="1"/>
      <name val="Helvetica"/>
    </font>
    <font>
      <b/>
      <u/>
      <sz val="12"/>
      <color rgb="FFFFC000"/>
      <name val="Helvetica"/>
    </font>
    <font>
      <b/>
      <u/>
      <sz val="12"/>
      <color rgb="FF990099"/>
      <name val="Helvetica"/>
    </font>
    <font>
      <sz val="11"/>
      <color theme="1"/>
      <name val="Helvetica"/>
    </font>
    <font>
      <b/>
      <u/>
      <sz val="11"/>
      <color rgb="FF00B0F0"/>
      <name val="Helvetica"/>
    </font>
    <font>
      <b/>
      <u/>
      <sz val="11"/>
      <color theme="3"/>
      <name val="Helvetica"/>
    </font>
    <font>
      <b/>
      <vertAlign val="superscript"/>
      <sz val="11"/>
      <color theme="1"/>
      <name val="Calibri"/>
      <family val="2"/>
      <scheme val="minor"/>
    </font>
    <font>
      <sz val="16"/>
      <color theme="1"/>
      <name val="Calibri"/>
      <family val="2"/>
      <scheme val="minor"/>
    </font>
    <font>
      <sz val="11"/>
      <color theme="3" tint="-0.249977111117893"/>
      <name val="Calibri"/>
      <family val="2"/>
      <scheme val="minor"/>
    </font>
    <font>
      <b/>
      <sz val="11"/>
      <color theme="1"/>
      <name val="Arial"/>
      <family val="2"/>
    </font>
    <font>
      <sz val="9"/>
      <color indexed="81"/>
      <name val="Tahoma"/>
      <charset val="1"/>
    </font>
    <font>
      <b/>
      <sz val="9"/>
      <color indexed="81"/>
      <name val="Tahoma"/>
      <charset val="1"/>
    </font>
    <font>
      <b/>
      <sz val="9"/>
      <color rgb="FF000000"/>
      <name val="Tahoma"/>
      <family val="2"/>
    </font>
    <font>
      <sz val="9"/>
      <color rgb="FF000000"/>
      <name val="Tahoma"/>
      <family val="2"/>
    </font>
  </fonts>
  <fills count="51">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59999389629810485"/>
        <bgColor indexed="64"/>
      </patternFill>
    </fill>
    <fill>
      <patternFill patternType="solid">
        <fgColor theme="4" tint="0.39997558519241921"/>
        <bgColor indexed="64"/>
      </patternFill>
    </fill>
    <fill>
      <patternFill patternType="solid">
        <fgColor rgb="FFFFFF99"/>
        <bgColor indexed="64"/>
      </patternFill>
    </fill>
    <fill>
      <patternFill patternType="solid">
        <fgColor theme="4" tint="0.79998168889431442"/>
        <bgColor indexed="64"/>
      </patternFill>
    </fill>
    <fill>
      <patternFill patternType="solid">
        <fgColor rgb="FF92D050"/>
        <bgColor indexed="64"/>
      </patternFill>
    </fill>
    <fill>
      <patternFill patternType="solid">
        <fgColor indexed="13"/>
      </patternFill>
    </fill>
    <fill>
      <patternFill patternType="solid">
        <fgColor indexed="14"/>
      </patternFill>
    </fill>
    <fill>
      <patternFill patternType="solid">
        <fgColor indexed="8"/>
      </patternFill>
    </fill>
    <fill>
      <patternFill patternType="solid">
        <fgColor indexed="54"/>
      </patternFill>
    </fill>
    <fill>
      <patternFill patternType="solid">
        <fgColor indexed="15"/>
      </patternFill>
    </fill>
    <fill>
      <patternFill patternType="solid">
        <fgColor rgb="FF00B0F0"/>
        <bgColor indexed="64"/>
      </patternFill>
    </fill>
    <fill>
      <patternFill patternType="solid">
        <fgColor rgb="FFFFC000"/>
        <bgColor indexed="64"/>
      </patternFill>
    </fill>
    <fill>
      <patternFill patternType="solid">
        <fgColor rgb="FFFF66FF"/>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indexed="13"/>
        <bgColor indexed="64"/>
      </patternFill>
    </fill>
    <fill>
      <patternFill patternType="solid">
        <fgColor indexed="14"/>
        <bgColor indexed="64"/>
      </patternFill>
    </fill>
    <fill>
      <patternFill patternType="solid">
        <fgColor indexed="40"/>
        <bgColor indexed="64"/>
      </patternFill>
    </fill>
    <fill>
      <patternFill patternType="solid">
        <fgColor indexed="22"/>
        <bgColor indexed="64"/>
      </patternFill>
    </fill>
    <fill>
      <patternFill patternType="solid">
        <fgColor indexed="53"/>
        <bgColor indexed="64"/>
      </patternFill>
    </fill>
    <fill>
      <patternFill patternType="solid">
        <fgColor indexed="5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
      <patternFill patternType="solid">
        <fgColor theme="7" tint="0.59999389629810485"/>
        <bgColor indexed="64"/>
      </patternFill>
    </fill>
  </fills>
  <borders count="267">
    <border>
      <left/>
      <right/>
      <top/>
      <bottom/>
      <diagonal/>
    </border>
    <border>
      <left/>
      <right/>
      <top style="thin">
        <color indexed="8"/>
      </top>
      <bottom style="thin">
        <color indexed="8"/>
      </bottom>
      <diagonal/>
    </border>
    <border>
      <left/>
      <right/>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auto="1"/>
      </left>
      <right/>
      <top/>
      <bottom/>
      <diagonal/>
    </border>
    <border>
      <left/>
      <right style="thin">
        <color auto="1"/>
      </right>
      <top/>
      <bottom/>
      <diagonal/>
    </border>
    <border>
      <left style="thin">
        <color indexed="8"/>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indexed="8"/>
      </top>
      <bottom/>
      <diagonal/>
    </border>
    <border>
      <left style="thin">
        <color indexed="8"/>
      </left>
      <right style="thin">
        <color indexed="8"/>
      </right>
      <top style="thin">
        <color auto="1"/>
      </top>
      <bottom/>
      <diagonal/>
    </border>
    <border>
      <left/>
      <right/>
      <top style="thin">
        <color auto="1"/>
      </top>
      <bottom style="thin">
        <color auto="1"/>
      </bottom>
      <diagonal/>
    </border>
    <border>
      <left/>
      <right style="thin">
        <color indexed="8"/>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8"/>
      </top>
      <bottom/>
      <diagonal/>
    </border>
    <border>
      <left/>
      <right/>
      <top/>
      <bottom style="medium">
        <color indexed="8"/>
      </bottom>
      <diagonal/>
    </border>
    <border>
      <left/>
      <right/>
      <top/>
      <bottom style="thin">
        <color auto="1"/>
      </bottom>
      <diagonal/>
    </border>
    <border>
      <left/>
      <right style="thin">
        <color auto="1"/>
      </right>
      <top/>
      <bottom style="thin">
        <color auto="1"/>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style="medium">
        <color indexed="8"/>
      </top>
      <bottom style="medium">
        <color indexed="8"/>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medium">
        <color auto="1"/>
      </top>
      <bottom/>
      <diagonal/>
    </border>
    <border>
      <left/>
      <right style="medium">
        <color auto="1"/>
      </right>
      <top style="medium">
        <color auto="1"/>
      </top>
      <bottom/>
      <diagonal/>
    </border>
    <border>
      <left/>
      <right style="medium">
        <color indexed="8"/>
      </right>
      <top style="medium">
        <color indexed="8"/>
      </top>
      <bottom/>
      <diagonal/>
    </border>
    <border>
      <left/>
      <right style="medium">
        <color indexed="8"/>
      </right>
      <top/>
      <bottom/>
      <diagonal/>
    </border>
    <border>
      <left/>
      <right style="medium">
        <color indexed="8"/>
      </right>
      <top style="thin">
        <color auto="1"/>
      </top>
      <bottom/>
      <diagonal/>
    </border>
    <border>
      <left style="medium">
        <color auto="1"/>
      </left>
      <right style="medium">
        <color auto="1"/>
      </right>
      <top style="medium">
        <color auto="1"/>
      </top>
      <bottom style="medium">
        <color indexed="8"/>
      </bottom>
      <diagonal/>
    </border>
    <border>
      <left style="medium">
        <color auto="1"/>
      </left>
      <right style="medium">
        <color auto="1"/>
      </right>
      <top style="medium">
        <color indexed="8"/>
      </top>
      <bottom style="medium">
        <color indexed="8"/>
      </bottom>
      <diagonal/>
    </border>
    <border>
      <left style="medium">
        <color auto="1"/>
      </left>
      <right style="medium">
        <color auto="1"/>
      </right>
      <top style="medium">
        <color indexed="8"/>
      </top>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medium">
        <color auto="1"/>
      </top>
      <bottom/>
      <diagonal/>
    </border>
    <border>
      <left style="thin">
        <color indexed="8"/>
      </left>
      <right/>
      <top/>
      <bottom style="thin">
        <color auto="1"/>
      </bottom>
      <diagonal/>
    </border>
    <border>
      <left/>
      <right style="thin">
        <color indexed="8"/>
      </right>
      <top/>
      <bottom style="thin">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indexed="8"/>
      </left>
      <right/>
      <top style="medium">
        <color auto="1"/>
      </top>
      <bottom/>
      <diagonal/>
    </border>
    <border>
      <left/>
      <right style="thin">
        <color indexed="8"/>
      </right>
      <top style="medium">
        <color auto="1"/>
      </top>
      <bottom/>
      <diagonal/>
    </border>
    <border>
      <left style="medium">
        <color auto="1"/>
      </left>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style="double">
        <color auto="1"/>
      </right>
      <top/>
      <bottom/>
      <diagonal/>
    </border>
    <border>
      <left/>
      <right style="double">
        <color auto="1"/>
      </right>
      <top style="thin">
        <color auto="1"/>
      </top>
      <bottom style="thin">
        <color auto="1"/>
      </bottom>
      <diagonal/>
    </border>
    <border>
      <left/>
      <right style="double">
        <color auto="1"/>
      </right>
      <top/>
      <bottom style="thin">
        <color auto="1"/>
      </bottom>
      <diagonal/>
    </border>
    <border>
      <left/>
      <right style="double">
        <color auto="1"/>
      </right>
      <top style="thin">
        <color auto="1"/>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medium">
        <color auto="1"/>
      </top>
      <bottom/>
      <diagonal/>
    </border>
    <border>
      <left style="medium">
        <color auto="1"/>
      </left>
      <right/>
      <top style="thin">
        <color indexed="8"/>
      </top>
      <bottom/>
      <diagonal/>
    </border>
    <border>
      <left/>
      <right/>
      <top style="double">
        <color auto="1"/>
      </top>
      <bottom/>
      <diagonal/>
    </border>
    <border>
      <left/>
      <right style="thin">
        <color auto="1"/>
      </right>
      <top style="double">
        <color auto="1"/>
      </top>
      <bottom/>
      <diagonal/>
    </border>
    <border>
      <left style="double">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right/>
      <top/>
      <bottom style="thick">
        <color rgb="FFCCCCCC"/>
      </bottom>
      <diagonal/>
    </border>
    <border>
      <left/>
      <right/>
      <top style="thick">
        <color rgb="FFCCCCCC"/>
      </top>
      <bottom/>
      <diagonal/>
    </border>
    <border>
      <left/>
      <right/>
      <top style="thick">
        <color rgb="FFCCCCCC"/>
      </top>
      <bottom style="thick">
        <color rgb="FFCCCCCC"/>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12"/>
      </left>
      <right style="thin">
        <color indexed="12"/>
      </right>
      <top style="thin">
        <color indexed="12"/>
      </top>
      <bottom style="thin">
        <color indexed="12"/>
      </bottom>
      <diagonal/>
    </border>
    <border>
      <left/>
      <right/>
      <top/>
      <bottom style="thick">
        <color indexed="49"/>
      </bottom>
      <diagonal/>
    </border>
    <border>
      <left/>
      <right/>
      <top/>
      <bottom style="thick">
        <color indexed="13"/>
      </bottom>
      <diagonal/>
    </border>
    <border>
      <left/>
      <right/>
      <top/>
      <bottom style="medium">
        <color indexed="13"/>
      </bottom>
      <diagonal/>
    </border>
    <border>
      <left/>
      <right/>
      <top style="thin">
        <color indexed="49"/>
      </top>
      <bottom style="double">
        <color indexed="49"/>
      </bottom>
      <diagonal/>
    </border>
    <border>
      <left style="thin">
        <color auto="1"/>
      </left>
      <right/>
      <top style="medium">
        <color auto="1"/>
      </top>
      <bottom style="thin">
        <color auto="1"/>
      </bottom>
      <diagonal/>
    </border>
    <border>
      <left style="thin">
        <color auto="1"/>
      </left>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style="thin">
        <color auto="1"/>
      </right>
      <top/>
      <bottom style="medium">
        <color auto="1"/>
      </bottom>
      <diagonal/>
    </border>
    <border>
      <left/>
      <right/>
      <top style="medium">
        <color auto="1"/>
      </top>
      <bottom style="medium">
        <color auto="1"/>
      </bottom>
      <diagonal/>
    </border>
    <border>
      <left/>
      <right style="thin">
        <color auto="1"/>
      </right>
      <top style="medium">
        <color auto="1"/>
      </top>
      <bottom/>
      <diagonal/>
    </border>
    <border>
      <left style="thin">
        <color auto="1"/>
      </left>
      <right/>
      <top/>
      <bottom style="medium">
        <color auto="1"/>
      </bottom>
      <diagonal/>
    </border>
    <border>
      <left/>
      <right/>
      <top style="thin">
        <color auto="1"/>
      </top>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bottom/>
      <diagonal/>
    </border>
    <border>
      <left style="medium">
        <color auto="1"/>
      </left>
      <right/>
      <top style="medium">
        <color auto="1"/>
      </top>
      <bottom style="medium">
        <color auto="1"/>
      </bottom>
      <diagonal/>
    </border>
    <border>
      <left/>
      <right/>
      <top/>
      <bottom style="medium">
        <color indexed="30"/>
      </bottom>
      <diagonal/>
    </border>
    <border>
      <left/>
      <right/>
      <top/>
      <bottom style="medium">
        <color indexed="13"/>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style="thin">
        <color auto="1"/>
      </bottom>
      <diagonal/>
    </border>
    <border>
      <left/>
      <right style="medium">
        <color rgb="FFFF0000"/>
      </right>
      <top/>
      <bottom style="thin">
        <color auto="1"/>
      </bottom>
      <diagonal/>
    </border>
    <border>
      <left style="medium">
        <color rgb="FFFF0000"/>
      </left>
      <right/>
      <top style="thin">
        <color auto="1"/>
      </top>
      <bottom style="thin">
        <color auto="1"/>
      </bottom>
      <diagonal/>
    </border>
    <border>
      <left/>
      <right style="medium">
        <color rgb="FFFF0000"/>
      </right>
      <top style="thin">
        <color auto="1"/>
      </top>
      <bottom style="thin">
        <color auto="1"/>
      </bottom>
      <diagonal/>
    </border>
    <border>
      <left style="medium">
        <color rgb="FFFF0000"/>
      </left>
      <right/>
      <top style="thin">
        <color auto="1"/>
      </top>
      <bottom/>
      <diagonal/>
    </border>
    <border>
      <left/>
      <right style="medium">
        <color rgb="FFFF0000"/>
      </right>
      <top style="thin">
        <color auto="1"/>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medium">
        <color auto="1"/>
      </left>
      <right style="thin">
        <color auto="1"/>
      </right>
      <top style="thin">
        <color auto="1"/>
      </top>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diagonal/>
    </border>
    <border>
      <left/>
      <right style="thin">
        <color auto="1"/>
      </right>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style="medium">
        <color auto="1"/>
      </top>
      <bottom style="thin">
        <color auto="1"/>
      </bottom>
      <diagonal/>
    </border>
    <border>
      <left style="thin">
        <color auto="1"/>
      </left>
      <right style="medium">
        <color auto="1"/>
      </right>
      <top style="medium">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rgb="FFFF0000"/>
      </left>
      <right/>
      <top style="medium">
        <color rgb="FFFF0000"/>
      </top>
      <bottom style="thin">
        <color auto="1"/>
      </bottom>
      <diagonal/>
    </border>
    <border>
      <left/>
      <right style="medium">
        <color rgb="FFFF0000"/>
      </right>
      <top style="medium">
        <color rgb="FFFF0000"/>
      </top>
      <bottom style="thin">
        <color auto="1"/>
      </bottom>
      <diagonal/>
    </border>
    <border>
      <left/>
      <right/>
      <top/>
      <bottom style="thin">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thin">
        <color auto="1"/>
      </left>
      <right/>
      <top style="thin">
        <color auto="1"/>
      </top>
      <bottom/>
      <diagonal/>
    </border>
    <border>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auto="1"/>
      </bottom>
      <diagonal/>
    </border>
    <border>
      <left/>
      <right/>
      <top style="thin">
        <color indexed="64"/>
      </top>
      <bottom style="thin">
        <color auto="1"/>
      </bottom>
      <diagonal/>
    </border>
    <border>
      <left/>
      <right style="thin">
        <color indexed="64"/>
      </right>
      <top style="thin">
        <color indexed="64"/>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style="thin">
        <color auto="1"/>
      </top>
      <bottom/>
      <diagonal/>
    </border>
    <border>
      <left/>
      <right/>
      <top style="thin">
        <color auto="1"/>
      </top>
      <bottom style="thin">
        <color auto="1"/>
      </bottom>
      <diagonal/>
    </border>
    <border>
      <left/>
      <right style="thin">
        <color indexed="64"/>
      </right>
      <top style="thin">
        <color auto="1"/>
      </top>
      <bottom style="thin">
        <color auto="1"/>
      </bottom>
      <diagonal/>
    </border>
  </borders>
  <cellStyleXfs count="118">
    <xf numFmtId="0" fontId="0" fillId="0" borderId="0"/>
    <xf numFmtId="43" fontId="2" fillId="0" borderId="0" applyFon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5" fillId="0" borderId="0"/>
    <xf numFmtId="0" fontId="5" fillId="0" borderId="0">
      <alignment wrapText="1"/>
    </xf>
    <xf numFmtId="0" fontId="38" fillId="3" borderId="0" applyNumberFormat="0" applyBorder="0" applyAlignment="0" applyProtection="0"/>
    <xf numFmtId="0" fontId="20" fillId="0" borderId="0">
      <alignment wrapText="1"/>
    </xf>
    <xf numFmtId="0" fontId="38" fillId="4" borderId="0" applyNumberFormat="0" applyBorder="0" applyAlignment="0" applyProtection="0"/>
    <xf numFmtId="0" fontId="38" fillId="6" borderId="0" applyNumberFormat="0" applyBorder="0" applyAlignment="0" applyProtection="0"/>
    <xf numFmtId="0" fontId="38" fillId="5"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6"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7" fillId="13"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20" borderId="0" applyNumberFormat="0" applyBorder="0" applyAlignment="0" applyProtection="0"/>
    <xf numFmtId="0" fontId="27" fillId="4" borderId="0" applyNumberFormat="0" applyBorder="0" applyAlignment="0" applyProtection="0"/>
    <xf numFmtId="0" fontId="31" fillId="21" borderId="20" applyNumberFormat="0" applyAlignment="0" applyProtection="0"/>
    <xf numFmtId="0" fontId="33" fillId="22" borderId="21" applyNumberFormat="0" applyAlignment="0" applyProtection="0"/>
    <xf numFmtId="43" fontId="5" fillId="0" borderId="0" applyFont="0" applyFill="0" applyBorder="0" applyAlignment="0" applyProtection="0"/>
    <xf numFmtId="0" fontId="35" fillId="0" borderId="0" applyNumberFormat="0" applyFill="0" applyBorder="0" applyAlignment="0" applyProtection="0"/>
    <xf numFmtId="0" fontId="26" fillId="5" borderId="0" applyNumberFormat="0" applyBorder="0" applyAlignment="0" applyProtection="0"/>
    <xf numFmtId="0" fontId="23" fillId="0" borderId="22" applyNumberFormat="0" applyFill="0" applyAlignment="0" applyProtection="0"/>
    <xf numFmtId="0" fontId="24" fillId="0" borderId="23" applyNumberFormat="0" applyFill="0" applyAlignment="0" applyProtection="0"/>
    <xf numFmtId="0" fontId="25" fillId="0" borderId="24" applyNumberFormat="0" applyFill="0" applyAlignment="0" applyProtection="0"/>
    <xf numFmtId="0" fontId="25" fillId="0" borderId="0" applyNumberFormat="0" applyFill="0" applyBorder="0" applyAlignment="0" applyProtection="0"/>
    <xf numFmtId="0" fontId="29" fillId="8" borderId="20" applyNumberFormat="0" applyAlignment="0" applyProtection="0"/>
    <xf numFmtId="0" fontId="32" fillId="0" borderId="25" applyNumberFormat="0" applyFill="0" applyAlignment="0" applyProtection="0"/>
    <xf numFmtId="0" fontId="28" fillId="23" borderId="0" applyNumberFormat="0" applyBorder="0" applyAlignment="0" applyProtection="0"/>
    <xf numFmtId="0" fontId="28" fillId="23" borderId="0" applyNumberFormat="0" applyBorder="0" applyAlignment="0" applyProtection="0"/>
    <xf numFmtId="0" fontId="5" fillId="0" borderId="0">
      <alignment vertical="center"/>
    </xf>
    <xf numFmtId="0" fontId="5" fillId="0" borderId="0">
      <alignment vertical="center"/>
    </xf>
    <xf numFmtId="0" fontId="5" fillId="0" borderId="0">
      <alignment wrapText="1"/>
    </xf>
    <xf numFmtId="0" fontId="39" fillId="0" borderId="0"/>
    <xf numFmtId="0" fontId="39" fillId="24" borderId="26" applyNumberFormat="0" applyFont="0" applyAlignment="0" applyProtection="0"/>
    <xf numFmtId="0" fontId="30" fillId="21" borderId="27" applyNumberFormat="0" applyAlignment="0" applyProtection="0"/>
    <xf numFmtId="9" fontId="5" fillId="0" borderId="0" applyFont="0" applyFill="0" applyBorder="0" applyAlignment="0" applyProtection="0"/>
    <xf numFmtId="0" fontId="22" fillId="0" borderId="0" applyNumberFormat="0" applyFill="0" applyBorder="0" applyAlignment="0" applyProtection="0"/>
    <xf numFmtId="0" fontId="36" fillId="0" borderId="28" applyNumberFormat="0" applyFill="0" applyAlignment="0" applyProtection="0"/>
    <xf numFmtId="0" fontId="34" fillId="0" borderId="0" applyNumberFormat="0" applyFill="0" applyBorder="0" applyAlignment="0" applyProtection="0"/>
    <xf numFmtId="0" fontId="42" fillId="0" borderId="0"/>
    <xf numFmtId="0" fontId="47" fillId="0" borderId="0" applyNumberForma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7" fillId="0" borderId="0" applyNumberFormat="0" applyFill="0" applyBorder="0" applyAlignment="0" applyProtection="0">
      <alignment vertical="top"/>
      <protection locked="0"/>
    </xf>
    <xf numFmtId="0" fontId="2" fillId="0" borderId="0"/>
    <xf numFmtId="0" fontId="38" fillId="0" borderId="0"/>
    <xf numFmtId="0" fontId="5" fillId="24" borderId="26" applyNumberFormat="0" applyFont="0" applyAlignment="0" applyProtection="0"/>
    <xf numFmtId="0" fontId="5" fillId="0" borderId="0">
      <alignment wrapText="1"/>
    </xf>
    <xf numFmtId="0" fontId="106" fillId="30" borderId="0" applyNumberFormat="0" applyBorder="0" applyAlignment="0" applyProtection="0"/>
    <xf numFmtId="0" fontId="106" fillId="11" borderId="0" applyNumberFormat="0" applyBorder="0" applyAlignment="0" applyProtection="0"/>
    <xf numFmtId="0" fontId="106" fillId="24" borderId="0" applyNumberFormat="0" applyBorder="0" applyAlignment="0" applyProtection="0"/>
    <xf numFmtId="0" fontId="106" fillId="31" borderId="0" applyNumberFormat="0" applyBorder="0" applyAlignment="0" applyProtection="0"/>
    <xf numFmtId="0" fontId="106" fillId="30" borderId="0" applyNumberFormat="0" applyBorder="0" applyAlignment="0" applyProtection="0"/>
    <xf numFmtId="0" fontId="106" fillId="8" borderId="0" applyNumberFormat="0" applyBorder="0" applyAlignment="0" applyProtection="0"/>
    <xf numFmtId="0" fontId="106" fillId="30" borderId="0" applyNumberFormat="0" applyBorder="0" applyAlignment="0" applyProtection="0"/>
    <xf numFmtId="0" fontId="106" fillId="11" borderId="0" applyNumberFormat="0" applyBorder="0" applyAlignment="0" applyProtection="0"/>
    <xf numFmtId="0" fontId="106" fillId="32" borderId="0" applyNumberFormat="0" applyBorder="0" applyAlignment="0" applyProtection="0"/>
    <xf numFmtId="0" fontId="106" fillId="31" borderId="0" applyNumberFormat="0" applyBorder="0" applyAlignment="0" applyProtection="0"/>
    <xf numFmtId="0" fontId="106" fillId="30" borderId="0" applyNumberFormat="0" applyBorder="0" applyAlignment="0" applyProtection="0"/>
    <xf numFmtId="0" fontId="106" fillId="8" borderId="0" applyNumberFormat="0" applyBorder="0" applyAlignment="0" applyProtection="0"/>
    <xf numFmtId="0" fontId="105" fillId="30" borderId="0" applyNumberFormat="0" applyBorder="0" applyAlignment="0" applyProtection="0"/>
    <xf numFmtId="0" fontId="105" fillId="11" borderId="0" applyNumberFormat="0" applyBorder="0" applyAlignment="0" applyProtection="0"/>
    <xf numFmtId="0" fontId="105" fillId="32" borderId="0" applyNumberFormat="0" applyBorder="0" applyAlignment="0" applyProtection="0"/>
    <xf numFmtId="0" fontId="105" fillId="31" borderId="0" applyNumberFormat="0" applyBorder="0" applyAlignment="0" applyProtection="0"/>
    <xf numFmtId="0" fontId="105" fillId="30" borderId="0" applyNumberFormat="0" applyBorder="0" applyAlignment="0" applyProtection="0"/>
    <xf numFmtId="0" fontId="105" fillId="8" borderId="0" applyNumberFormat="0" applyBorder="0" applyAlignment="0" applyProtection="0"/>
    <xf numFmtId="0" fontId="105" fillId="15" borderId="0" applyNumberFormat="0" applyBorder="0" applyAlignment="0" applyProtection="0"/>
    <xf numFmtId="0" fontId="105" fillId="11" borderId="0" applyNumberFormat="0" applyBorder="0" applyAlignment="0" applyProtection="0"/>
    <xf numFmtId="0" fontId="105" fillId="32" borderId="0" applyNumberFormat="0" applyBorder="0" applyAlignment="0" applyProtection="0"/>
    <xf numFmtId="0" fontId="105" fillId="33" borderId="0" applyNumberFormat="0" applyBorder="0" applyAlignment="0" applyProtection="0"/>
    <xf numFmtId="0" fontId="105" fillId="15" borderId="0" applyNumberFormat="0" applyBorder="0" applyAlignment="0" applyProtection="0"/>
    <xf numFmtId="0" fontId="105" fillId="20" borderId="0" applyNumberFormat="0" applyBorder="0" applyAlignment="0" applyProtection="0"/>
    <xf numFmtId="0" fontId="95" fillId="4" borderId="0" applyNumberFormat="0" applyBorder="0" applyAlignment="0" applyProtection="0"/>
    <xf numFmtId="0" fontId="99" fillId="34" borderId="96" applyNumberFormat="0" applyAlignment="0" applyProtection="0"/>
    <xf numFmtId="0" fontId="101" fillId="22" borderId="21" applyNumberFormat="0" applyAlignment="0" applyProtection="0"/>
    <xf numFmtId="0" fontId="103" fillId="0" borderId="0" applyNumberFormat="0" applyFill="0" applyBorder="0" applyAlignment="0" applyProtection="0"/>
    <xf numFmtId="0" fontId="94" fillId="5" borderId="0" applyNumberFormat="0" applyBorder="0" applyAlignment="0" applyProtection="0"/>
    <xf numFmtId="0" fontId="91" fillId="0" borderId="97" applyNumberFormat="0" applyFill="0" applyAlignment="0" applyProtection="0"/>
    <xf numFmtId="0" fontId="92" fillId="0" borderId="98" applyNumberFormat="0" applyFill="0" applyAlignment="0" applyProtection="0"/>
    <xf numFmtId="0" fontId="93" fillId="0" borderId="99" applyNumberFormat="0" applyFill="0" applyAlignment="0" applyProtection="0"/>
    <xf numFmtId="0" fontId="93" fillId="0" borderId="0" applyNumberFormat="0" applyFill="0" applyBorder="0" applyAlignment="0" applyProtection="0"/>
    <xf numFmtId="0" fontId="97" fillId="8" borderId="96" applyNumberFormat="0" applyAlignment="0" applyProtection="0"/>
    <xf numFmtId="0" fontId="100" fillId="0" borderId="25" applyNumberFormat="0" applyFill="0" applyAlignment="0" applyProtection="0"/>
    <xf numFmtId="0" fontId="96" fillId="23" borderId="0" applyNumberFormat="0" applyBorder="0" applyAlignment="0" applyProtection="0"/>
    <xf numFmtId="0" fontId="98" fillId="34" borderId="27" applyNumberFormat="0" applyAlignment="0" applyProtection="0"/>
    <xf numFmtId="0" fontId="90" fillId="0" borderId="0" applyNumberFormat="0" applyFill="0" applyBorder="0" applyAlignment="0" applyProtection="0"/>
    <xf numFmtId="0" fontId="104" fillId="0" borderId="100" applyNumberFormat="0" applyFill="0" applyAlignment="0" applyProtection="0"/>
    <xf numFmtId="0" fontId="102" fillId="0" borderId="0" applyNumberForma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5" fillId="0" borderId="117" applyNumberFormat="0" applyFill="0" applyAlignment="0" applyProtection="0"/>
    <xf numFmtId="0" fontId="93" fillId="0" borderId="118" applyNumberFormat="0" applyFill="0" applyAlignment="0" applyProtection="0"/>
    <xf numFmtId="0" fontId="114" fillId="0" borderId="0" applyNumberFormat="0" applyFill="0" applyBorder="0" applyAlignment="0" applyProtection="0">
      <alignment vertical="top"/>
      <protection locked="0"/>
    </xf>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cellStyleXfs>
  <cellXfs count="2054">
    <xf numFmtId="0" fontId="0" fillId="0" borderId="0" xfId="0"/>
    <xf numFmtId="0" fontId="11" fillId="0" borderId="0" xfId="5" applyFont="1" applyFill="1" applyBorder="1" applyAlignment="1">
      <alignment vertical="top" wrapText="1"/>
    </xf>
    <xf numFmtId="0" fontId="12" fillId="0" borderId="0" xfId="5" applyFont="1" applyFill="1" applyBorder="1" applyAlignment="1">
      <alignment horizontal="right" vertical="top" wrapText="1"/>
    </xf>
    <xf numFmtId="0" fontId="11" fillId="0" borderId="0" xfId="5" applyFont="1" applyFill="1" applyAlignment="1">
      <alignment horizontal="left" vertical="top" wrapText="1"/>
    </xf>
    <xf numFmtId="2" fontId="18" fillId="0" borderId="0" xfId="5" applyNumberFormat="1" applyFont="1" applyFill="1" applyAlignment="1">
      <alignment horizontal="left" vertical="top" wrapText="1"/>
    </xf>
    <xf numFmtId="0" fontId="11" fillId="0" borderId="0" xfId="5" applyFont="1" applyFill="1" applyBorder="1" applyAlignment="1">
      <alignment horizontal="right" vertical="top" wrapText="1"/>
    </xf>
    <xf numFmtId="0" fontId="11" fillId="0" borderId="0" xfId="5" applyFont="1" applyFill="1" applyBorder="1" applyAlignment="1">
      <alignment horizontal="center" vertical="top" wrapText="1"/>
    </xf>
    <xf numFmtId="0" fontId="11" fillId="0" borderId="12" xfId="5" applyFont="1" applyFill="1" applyBorder="1" applyAlignment="1">
      <alignment horizontal="left" vertical="center" wrapText="1"/>
    </xf>
    <xf numFmtId="164" fontId="11" fillId="0" borderId="12" xfId="5" applyNumberFormat="1" applyFont="1" applyFill="1" applyBorder="1" applyAlignment="1">
      <alignment horizontal="right" vertical="center" wrapText="1"/>
    </xf>
    <xf numFmtId="164" fontId="11" fillId="0" borderId="13" xfId="5" applyNumberFormat="1" applyFont="1" applyFill="1" applyBorder="1" applyAlignment="1">
      <alignment horizontal="right" vertical="center" wrapText="1"/>
    </xf>
    <xf numFmtId="0" fontId="11" fillId="0" borderId="0" xfId="5" applyNumberFormat="1" applyFont="1" applyFill="1" applyBorder="1" applyAlignment="1">
      <alignment horizontal="right" vertical="top" wrapText="1"/>
    </xf>
    <xf numFmtId="0" fontId="16" fillId="0" borderId="0" xfId="5" applyFont="1" applyFill="1" applyBorder="1" applyAlignment="1">
      <alignment horizontal="right" vertical="top" wrapText="1"/>
    </xf>
    <xf numFmtId="0" fontId="16" fillId="0" borderId="0" xfId="5" applyNumberFormat="1" applyFont="1" applyFill="1" applyBorder="1" applyAlignment="1">
      <alignment horizontal="right" vertical="top" wrapText="1"/>
    </xf>
    <xf numFmtId="2" fontId="18" fillId="0" borderId="0" xfId="5" applyNumberFormat="1" applyFont="1" applyFill="1" applyBorder="1" applyAlignment="1">
      <alignment horizontal="right" vertical="top" wrapText="1"/>
    </xf>
    <xf numFmtId="0" fontId="39" fillId="0" borderId="0" xfId="48"/>
    <xf numFmtId="0" fontId="11" fillId="0" borderId="0" xfId="48" applyFont="1" applyFill="1" applyBorder="1" applyAlignment="1">
      <alignment vertical="top" wrapText="1"/>
    </xf>
    <xf numFmtId="0" fontId="21" fillId="0" borderId="0" xfId="48" applyFont="1" applyFill="1" applyBorder="1" applyAlignment="1">
      <alignment horizontal="right" vertical="top" wrapText="1"/>
    </xf>
    <xf numFmtId="0" fontId="21" fillId="0" borderId="31" xfId="48" applyFont="1" applyFill="1" applyBorder="1" applyAlignment="1">
      <alignment horizontal="right" vertical="top" wrapText="1"/>
    </xf>
    <xf numFmtId="0" fontId="21" fillId="0" borderId="32" xfId="48" applyFont="1" applyFill="1" applyBorder="1" applyAlignment="1">
      <alignment horizontal="right" vertical="top" wrapText="1"/>
    </xf>
    <xf numFmtId="0" fontId="41" fillId="0" borderId="33" xfId="48" applyFont="1" applyFill="1" applyBorder="1" applyAlignment="1">
      <alignment horizontal="center" wrapText="1"/>
    </xf>
    <xf numFmtId="0" fontId="41" fillId="0" borderId="0" xfId="48" applyFont="1" applyFill="1" applyBorder="1" applyAlignment="1">
      <alignment vertical="top" wrapText="1"/>
    </xf>
    <xf numFmtId="0" fontId="41" fillId="0" borderId="34" xfId="48" applyFont="1" applyFill="1" applyBorder="1" applyAlignment="1">
      <alignment horizontal="center" wrapText="1"/>
    </xf>
    <xf numFmtId="0" fontId="41" fillId="0" borderId="35" xfId="48" applyFont="1" applyFill="1" applyBorder="1" applyAlignment="1">
      <alignment horizontal="right" wrapText="1"/>
    </xf>
    <xf numFmtId="0" fontId="41" fillId="0" borderId="34" xfId="48" applyFont="1" applyFill="1" applyBorder="1" applyAlignment="1">
      <alignment horizontal="right" wrapText="1"/>
    </xf>
    <xf numFmtId="0" fontId="41" fillId="0" borderId="37" xfId="48" applyNumberFormat="1" applyFont="1" applyFill="1" applyBorder="1" applyAlignment="1">
      <alignment horizontal="right" vertical="top" wrapText="1"/>
    </xf>
    <xf numFmtId="3" fontId="41" fillId="0" borderId="37" xfId="48" applyNumberFormat="1" applyFont="1" applyFill="1" applyBorder="1" applyAlignment="1">
      <alignment horizontal="right" vertical="top" wrapText="1"/>
    </xf>
    <xf numFmtId="0" fontId="41" fillId="0" borderId="38" xfId="48" applyNumberFormat="1" applyFont="1" applyFill="1" applyBorder="1" applyAlignment="1">
      <alignment horizontal="right" vertical="top" wrapText="1"/>
    </xf>
    <xf numFmtId="0" fontId="40" fillId="0" borderId="0" xfId="48" applyFont="1"/>
    <xf numFmtId="0" fontId="40" fillId="0" borderId="6" xfId="48" applyFont="1" applyBorder="1"/>
    <xf numFmtId="0" fontId="41" fillId="0" borderId="0" xfId="48" applyNumberFormat="1" applyFont="1" applyFill="1" applyBorder="1" applyAlignment="1">
      <alignment horizontal="right" vertical="top" wrapText="1"/>
    </xf>
    <xf numFmtId="3" fontId="41" fillId="0" borderId="0" xfId="48" applyNumberFormat="1" applyFont="1" applyFill="1" applyBorder="1" applyAlignment="1">
      <alignment horizontal="right" vertical="top" wrapText="1"/>
    </xf>
    <xf numFmtId="0" fontId="41" fillId="0" borderId="7" xfId="48" applyNumberFormat="1" applyFont="1" applyFill="1" applyBorder="1" applyAlignment="1">
      <alignment horizontal="right" vertical="top" wrapText="1"/>
    </xf>
    <xf numFmtId="0" fontId="40" fillId="0" borderId="0" xfId="48" applyFont="1" applyBorder="1"/>
    <xf numFmtId="0" fontId="42" fillId="0" borderId="31" xfId="55" applyBorder="1" applyAlignment="1">
      <alignment horizontal="center"/>
    </xf>
    <xf numFmtId="0" fontId="42" fillId="0" borderId="0" xfId="55" applyAlignment="1">
      <alignment wrapText="1"/>
    </xf>
    <xf numFmtId="2" fontId="42" fillId="0" borderId="0" xfId="55" applyNumberFormat="1"/>
    <xf numFmtId="9" fontId="42" fillId="0" borderId="0" xfId="2" applyFont="1"/>
    <xf numFmtId="0" fontId="42" fillId="0" borderId="31" xfId="55" quotePrefix="1" applyBorder="1" applyAlignment="1">
      <alignment horizontal="left"/>
    </xf>
    <xf numFmtId="0" fontId="45" fillId="0" borderId="0" xfId="55" applyFont="1"/>
    <xf numFmtId="0" fontId="43" fillId="0" borderId="0" xfId="55" quotePrefix="1" applyFont="1" applyAlignment="1">
      <alignment horizontal="left"/>
    </xf>
    <xf numFmtId="0" fontId="43" fillId="0" borderId="0" xfId="55" applyFont="1"/>
    <xf numFmtId="167" fontId="42" fillId="0" borderId="31" xfId="55" applyNumberFormat="1" applyFont="1" applyBorder="1" applyAlignment="1">
      <alignment horizontal="center"/>
    </xf>
    <xf numFmtId="166" fontId="42" fillId="0" borderId="31" xfId="55" applyNumberFormat="1" applyBorder="1"/>
    <xf numFmtId="0" fontId="42" fillId="0" borderId="31" xfId="55" applyFont="1" applyBorder="1" applyAlignment="1">
      <alignment horizontal="left"/>
    </xf>
    <xf numFmtId="0" fontId="42" fillId="0" borderId="0" xfId="55" applyBorder="1" applyAlignment="1">
      <alignment horizontal="left"/>
    </xf>
    <xf numFmtId="166" fontId="42" fillId="0" borderId="0" xfId="55" applyNumberFormat="1" applyBorder="1"/>
    <xf numFmtId="0" fontId="42" fillId="0" borderId="0" xfId="55" quotePrefix="1" applyAlignment="1">
      <alignment horizontal="left"/>
    </xf>
    <xf numFmtId="167" fontId="42" fillId="0" borderId="0" xfId="55" applyNumberFormat="1"/>
    <xf numFmtId="166" fontId="42" fillId="0" borderId="0" xfId="55" applyNumberFormat="1"/>
    <xf numFmtId="0" fontId="42" fillId="0" borderId="0" xfId="55" applyAlignment="1">
      <alignment horizontal="centerContinuous"/>
    </xf>
    <xf numFmtId="0" fontId="42" fillId="0" borderId="0" xfId="55" quotePrefix="1" applyAlignment="1">
      <alignment horizontal="centerContinuous"/>
    </xf>
    <xf numFmtId="0" fontId="42" fillId="0" borderId="0" xfId="55" applyBorder="1" applyAlignment="1">
      <alignment horizontal="center"/>
    </xf>
    <xf numFmtId="0" fontId="42" fillId="0" borderId="0" xfId="55" applyAlignment="1">
      <alignment horizontal="center"/>
    </xf>
    <xf numFmtId="0" fontId="42" fillId="0" borderId="31" xfId="55" applyBorder="1" applyAlignment="1">
      <alignment horizontal="centerContinuous"/>
    </xf>
    <xf numFmtId="0" fontId="42" fillId="0" borderId="31" xfId="55" applyBorder="1"/>
    <xf numFmtId="0" fontId="42" fillId="0" borderId="0" xfId="55"/>
    <xf numFmtId="0" fontId="42" fillId="0" borderId="0" xfId="55"/>
    <xf numFmtId="0" fontId="11" fillId="0" borderId="0" xfId="7" applyFont="1" applyFill="1" applyBorder="1" applyAlignment="1">
      <alignment vertical="center" wrapText="1"/>
    </xf>
    <xf numFmtId="0" fontId="11" fillId="0" borderId="29" xfId="7" applyFont="1" applyFill="1" applyBorder="1" applyAlignment="1">
      <alignment horizontal="right" wrapText="1"/>
    </xf>
    <xf numFmtId="0" fontId="11" fillId="0" borderId="30" xfId="7" applyFont="1" applyFill="1" applyBorder="1" applyAlignment="1">
      <alignment horizontal="right" vertical="center" wrapText="1"/>
    </xf>
    <xf numFmtId="0" fontId="11" fillId="0" borderId="0" xfId="7" applyFont="1" applyFill="1" applyBorder="1" applyAlignment="1">
      <alignment horizontal="left" vertical="top" wrapText="1"/>
    </xf>
    <xf numFmtId="0" fontId="11" fillId="0" borderId="0" xfId="7" applyFont="1" applyFill="1" applyBorder="1" applyAlignment="1">
      <alignment horizontal="right" vertical="top" wrapText="1"/>
    </xf>
    <xf numFmtId="0" fontId="11" fillId="0" borderId="0" xfId="7" applyFont="1" applyFill="1" applyAlignment="1">
      <alignment vertical="center" wrapText="1"/>
    </xf>
    <xf numFmtId="0" fontId="11" fillId="0" borderId="0" xfId="7" applyNumberFormat="1" applyFont="1" applyFill="1" applyBorder="1" applyAlignment="1">
      <alignment horizontal="right" vertical="top" wrapText="1"/>
    </xf>
    <xf numFmtId="0" fontId="16" fillId="0" borderId="0" xfId="7" applyFont="1" applyFill="1" applyBorder="1" applyAlignment="1">
      <alignment horizontal="left" vertical="top" wrapText="1"/>
    </xf>
    <xf numFmtId="0" fontId="16" fillId="0" borderId="0" xfId="7" applyFont="1" applyFill="1" applyBorder="1" applyAlignment="1">
      <alignment horizontal="right" vertical="top" wrapText="1"/>
    </xf>
    <xf numFmtId="165" fontId="13" fillId="0" borderId="0" xfId="7" applyNumberFormat="1" applyFont="1" applyFill="1" applyBorder="1" applyAlignment="1">
      <alignment horizontal="right" vertical="top" wrapText="1"/>
    </xf>
    <xf numFmtId="0" fontId="41" fillId="0" borderId="0" xfId="48" applyNumberFormat="1" applyFont="1" applyFill="1" applyBorder="1" applyAlignment="1">
      <alignment horizontal="right" vertical="top" wrapText="1"/>
    </xf>
    <xf numFmtId="3" fontId="41" fillId="0" borderId="0" xfId="48" applyNumberFormat="1" applyFont="1" applyFill="1" applyBorder="1" applyAlignment="1">
      <alignment horizontal="right" vertical="top" wrapText="1"/>
    </xf>
    <xf numFmtId="0" fontId="18" fillId="0" borderId="30" xfId="7" applyFont="1" applyFill="1" applyBorder="1" applyAlignment="1">
      <alignment horizontal="right" vertical="center" wrapText="1"/>
    </xf>
    <xf numFmtId="0" fontId="18" fillId="0" borderId="29" xfId="7" applyFont="1" applyFill="1" applyBorder="1" applyAlignment="1">
      <alignment horizontal="right" wrapText="1"/>
    </xf>
    <xf numFmtId="2" fontId="18" fillId="0" borderId="0" xfId="7" applyNumberFormat="1" applyFont="1" applyFill="1" applyBorder="1" applyAlignment="1">
      <alignment horizontal="right" vertical="top" wrapText="1"/>
    </xf>
    <xf numFmtId="0" fontId="42" fillId="0" borderId="31" xfId="55" applyBorder="1"/>
    <xf numFmtId="0" fontId="42" fillId="0" borderId="0" xfId="55" applyAlignment="1">
      <alignment horizontal="center"/>
    </xf>
    <xf numFmtId="0" fontId="42" fillId="0" borderId="31" xfId="55" applyBorder="1" applyAlignment="1">
      <alignment horizontal="center"/>
    </xf>
    <xf numFmtId="0" fontId="42" fillId="0" borderId="0" xfId="55" applyAlignment="1">
      <alignment horizontal="centerContinuous"/>
    </xf>
    <xf numFmtId="6" fontId="42" fillId="0" borderId="0" xfId="55" applyNumberFormat="1" applyAlignment="1">
      <alignment horizontal="center"/>
    </xf>
    <xf numFmtId="169" fontId="42" fillId="0" borderId="0" xfId="55" applyNumberFormat="1"/>
    <xf numFmtId="170" fontId="42" fillId="0" borderId="0" xfId="55" applyNumberFormat="1"/>
    <xf numFmtId="171" fontId="42" fillId="0" borderId="0" xfId="55" applyNumberFormat="1"/>
    <xf numFmtId="170" fontId="42" fillId="0" borderId="0" xfId="55" applyNumberFormat="1" applyBorder="1"/>
    <xf numFmtId="0" fontId="42" fillId="0" borderId="0" xfId="55" applyBorder="1" applyAlignment="1">
      <alignment horizontal="left"/>
    </xf>
    <xf numFmtId="169" fontId="42" fillId="0" borderId="0" xfId="55" applyNumberFormat="1" applyBorder="1"/>
    <xf numFmtId="171" fontId="42" fillId="0" borderId="0" xfId="55" applyNumberFormat="1" applyBorder="1"/>
    <xf numFmtId="0" fontId="42" fillId="0" borderId="31" xfId="55" applyFont="1" applyBorder="1" applyAlignment="1">
      <alignment horizontal="left"/>
    </xf>
    <xf numFmtId="169" fontId="42" fillId="0" borderId="31" xfId="55" applyNumberFormat="1" applyBorder="1"/>
    <xf numFmtId="170" fontId="42" fillId="0" borderId="31" xfId="55" applyNumberFormat="1" applyBorder="1"/>
    <xf numFmtId="171" fontId="42" fillId="0" borderId="31" xfId="55" applyNumberFormat="1" applyBorder="1"/>
    <xf numFmtId="0" fontId="43" fillId="0" borderId="0" xfId="55" applyFont="1"/>
    <xf numFmtId="0" fontId="42" fillId="0" borderId="31" xfId="55" quotePrefix="1" applyBorder="1" applyAlignment="1">
      <alignment horizontal="left"/>
    </xf>
    <xf numFmtId="0" fontId="42" fillId="0" borderId="0" xfId="55" applyFont="1" applyBorder="1" applyAlignment="1">
      <alignment horizontal="left"/>
    </xf>
    <xf numFmtId="0" fontId="46" fillId="0" borderId="0" xfId="55" applyFont="1" applyAlignment="1">
      <alignment horizontal="center"/>
    </xf>
    <xf numFmtId="0" fontId="46" fillId="0" borderId="31" xfId="55" applyFont="1" applyBorder="1" applyAlignment="1">
      <alignment horizontal="center"/>
    </xf>
    <xf numFmtId="169" fontId="46" fillId="0" borderId="0" xfId="55" applyNumberFormat="1" applyFont="1" applyBorder="1"/>
    <xf numFmtId="4" fontId="11" fillId="0" borderId="0" xfId="5" applyNumberFormat="1" applyFont="1" applyFill="1" applyBorder="1" applyAlignment="1">
      <alignment horizontal="right" vertical="top" wrapText="1"/>
    </xf>
    <xf numFmtId="0" fontId="8" fillId="0" borderId="0" xfId="57" applyFont="1" applyBorder="1" applyAlignment="1"/>
    <xf numFmtId="0" fontId="0" fillId="0" borderId="0" xfId="0"/>
    <xf numFmtId="0" fontId="5" fillId="0" borderId="0" xfId="57"/>
    <xf numFmtId="0" fontId="8" fillId="0" borderId="0" xfId="57" applyFont="1" applyBorder="1"/>
    <xf numFmtId="0" fontId="8" fillId="0" borderId="0" xfId="57" applyFont="1" applyBorder="1" applyAlignment="1">
      <alignment horizontal="left"/>
    </xf>
    <xf numFmtId="0" fontId="49" fillId="0" borderId="0" xfId="57" applyFont="1" applyBorder="1"/>
    <xf numFmtId="0" fontId="10" fillId="0" borderId="0" xfId="57" applyFont="1" applyBorder="1" applyAlignment="1" applyProtection="1">
      <alignment horizontal="left"/>
    </xf>
    <xf numFmtId="0" fontId="5" fillId="0" borderId="0" xfId="4" applyAlignment="1">
      <alignment horizontal="left"/>
    </xf>
    <xf numFmtId="0" fontId="8" fillId="0" borderId="0" xfId="4" applyFont="1" applyBorder="1"/>
    <xf numFmtId="172" fontId="8" fillId="0" borderId="0" xfId="4" applyNumberFormat="1" applyFont="1" applyBorder="1"/>
    <xf numFmtId="0" fontId="8" fillId="0" borderId="0" xfId="4" applyFont="1" applyBorder="1" applyAlignment="1" applyProtection="1">
      <alignment horizontal="right"/>
    </xf>
    <xf numFmtId="172" fontId="8" fillId="0" borderId="0" xfId="4" applyNumberFormat="1" applyFont="1" applyBorder="1" applyAlignment="1" applyProtection="1">
      <alignment horizontal="left"/>
    </xf>
    <xf numFmtId="0" fontId="8" fillId="0" borderId="0" xfId="4" applyFont="1" applyBorder="1" applyAlignment="1">
      <alignment horizontal="right"/>
    </xf>
    <xf numFmtId="172" fontId="8" fillId="0" borderId="0" xfId="4" applyNumberFormat="1" applyFont="1" applyBorder="1" applyAlignment="1">
      <alignment horizontal="right"/>
    </xf>
    <xf numFmtId="2" fontId="48" fillId="0" borderId="0" xfId="57" applyNumberFormat="1" applyFont="1" applyBorder="1" applyAlignment="1" applyProtection="1">
      <alignment horizontal="center" vertical="top"/>
    </xf>
    <xf numFmtId="0" fontId="8" fillId="0" borderId="0" xfId="57" applyFont="1" applyAlignment="1">
      <alignment horizontal="center" vertical="top" wrapText="1"/>
    </xf>
    <xf numFmtId="0" fontId="52" fillId="0" borderId="0" xfId="0" applyFont="1" applyAlignment="1">
      <alignment horizontal="center" vertical="top"/>
    </xf>
    <xf numFmtId="0" fontId="52" fillId="0" borderId="0" xfId="0" applyFont="1" applyBorder="1" applyAlignment="1">
      <alignment horizontal="center" vertical="top"/>
    </xf>
    <xf numFmtId="4" fontId="11" fillId="0" borderId="0" xfId="7" applyNumberFormat="1" applyFont="1" applyFill="1" applyBorder="1" applyAlignment="1">
      <alignment horizontal="right" vertical="top" wrapText="1"/>
    </xf>
    <xf numFmtId="0" fontId="11" fillId="0" borderId="37" xfId="5" applyFont="1" applyFill="1" applyBorder="1" applyAlignment="1">
      <alignment horizontal="center" vertical="top" wrapText="1"/>
    </xf>
    <xf numFmtId="0" fontId="8" fillId="0" borderId="38" xfId="57" applyFont="1" applyBorder="1" applyAlignment="1">
      <alignment horizontal="center" vertical="top" wrapText="1"/>
    </xf>
    <xf numFmtId="2" fontId="48" fillId="0" borderId="39" xfId="57" applyNumberFormat="1" applyFont="1" applyBorder="1" applyAlignment="1" applyProtection="1">
      <alignment horizontal="center" vertical="top"/>
    </xf>
    <xf numFmtId="0" fontId="52" fillId="0" borderId="31" xfId="0" applyFont="1" applyBorder="1" applyAlignment="1">
      <alignment horizontal="center" vertical="top"/>
    </xf>
    <xf numFmtId="0" fontId="52" fillId="0" borderId="32" xfId="0" applyFont="1" applyBorder="1" applyAlignment="1">
      <alignment horizontal="center" vertical="top"/>
    </xf>
    <xf numFmtId="2" fontId="48" fillId="0" borderId="6" xfId="57" applyNumberFormat="1" applyFont="1" applyBorder="1" applyAlignment="1" applyProtection="1">
      <alignment horizontal="center" vertical="top"/>
    </xf>
    <xf numFmtId="0" fontId="52" fillId="0" borderId="7" xfId="0" applyFont="1" applyBorder="1" applyAlignment="1">
      <alignment horizontal="center" vertical="top"/>
    </xf>
    <xf numFmtId="49" fontId="8" fillId="0" borderId="0" xfId="57" applyNumberFormat="1" applyFont="1" applyBorder="1" applyAlignment="1" applyProtection="1">
      <alignment horizontal="center" vertical="top" wrapText="1"/>
    </xf>
    <xf numFmtId="0" fontId="4" fillId="0" borderId="0" xfId="0" applyFont="1"/>
    <xf numFmtId="49" fontId="8" fillId="0" borderId="36" xfId="57" applyNumberFormat="1" applyFont="1" applyBorder="1" applyAlignment="1" applyProtection="1">
      <alignment horizontal="center" vertical="top" wrapText="1"/>
    </xf>
    <xf numFmtId="0" fontId="0" fillId="0" borderId="0" xfId="0"/>
    <xf numFmtId="0" fontId="0" fillId="0" borderId="0" xfId="0" applyAlignment="1">
      <alignment vertical="center"/>
    </xf>
    <xf numFmtId="0" fontId="0" fillId="0" borderId="31" xfId="0" applyBorder="1"/>
    <xf numFmtId="0" fontId="8" fillId="0" borderId="0" xfId="57" applyFont="1" applyBorder="1"/>
    <xf numFmtId="0" fontId="10" fillId="0" borderId="0" xfId="57" applyFont="1" applyBorder="1" applyAlignment="1" applyProtection="1">
      <alignment horizontal="left"/>
    </xf>
    <xf numFmtId="0" fontId="8" fillId="0" borderId="0" xfId="4" applyFont="1" applyBorder="1" applyAlignment="1" applyProtection="1">
      <alignment horizontal="right"/>
    </xf>
    <xf numFmtId="0" fontId="0" fillId="0" borderId="44" xfId="0" applyBorder="1"/>
    <xf numFmtId="0" fontId="9" fillId="0" borderId="6" xfId="57" applyFont="1" applyBorder="1"/>
    <xf numFmtId="0" fontId="9" fillId="0" borderId="19" xfId="57" applyFont="1" applyBorder="1" applyAlignment="1">
      <alignment wrapText="1"/>
    </xf>
    <xf numFmtId="0" fontId="8" fillId="0" borderId="36" xfId="57" applyFont="1" applyBorder="1" applyAlignment="1" applyProtection="1">
      <alignment horizontal="left" wrapText="1"/>
    </xf>
    <xf numFmtId="0" fontId="8" fillId="0" borderId="6" xfId="57" applyFont="1" applyBorder="1" applyAlignment="1">
      <alignment horizontal="left"/>
    </xf>
    <xf numFmtId="0" fontId="8" fillId="0" borderId="6" xfId="57" applyFont="1" applyBorder="1" applyAlignment="1" applyProtection="1">
      <alignment horizontal="left"/>
    </xf>
    <xf numFmtId="0" fontId="8" fillId="0" borderId="6" xfId="57" applyFont="1" applyFill="1" applyBorder="1" applyAlignment="1" applyProtection="1">
      <alignment horizontal="left"/>
    </xf>
    <xf numFmtId="0" fontId="8" fillId="0" borderId="45" xfId="57" applyFont="1" applyFill="1" applyBorder="1" applyAlignment="1" applyProtection="1">
      <alignment horizontal="left"/>
    </xf>
    <xf numFmtId="37" fontId="8" fillId="0" borderId="36" xfId="57" applyNumberFormat="1" applyFont="1" applyFill="1" applyBorder="1" applyAlignment="1" applyProtection="1">
      <alignment horizontal="center" vertical="center"/>
    </xf>
    <xf numFmtId="37" fontId="8" fillId="0" borderId="37" xfId="57" applyNumberFormat="1" applyFont="1" applyFill="1" applyBorder="1" applyAlignment="1" applyProtection="1">
      <alignment horizontal="center" vertical="center"/>
    </xf>
    <xf numFmtId="37" fontId="8" fillId="0" borderId="38" xfId="57" applyNumberFormat="1" applyFont="1" applyFill="1" applyBorder="1" applyAlignment="1" applyProtection="1">
      <alignment horizontal="center" vertical="center"/>
    </xf>
    <xf numFmtId="37" fontId="8" fillId="0" borderId="6" xfId="57" applyNumberFormat="1" applyFont="1" applyFill="1" applyBorder="1" applyAlignment="1" applyProtection="1">
      <alignment horizontal="center" vertical="center"/>
    </xf>
    <xf numFmtId="37" fontId="8" fillId="0" borderId="0" xfId="57" applyNumberFormat="1" applyFont="1" applyFill="1" applyBorder="1" applyAlignment="1" applyProtection="1">
      <alignment horizontal="center" vertical="center"/>
    </xf>
    <xf numFmtId="37" fontId="8" fillId="0" borderId="7" xfId="57" applyNumberFormat="1" applyFont="1" applyFill="1" applyBorder="1" applyAlignment="1" applyProtection="1">
      <alignment horizontal="center" vertical="center"/>
    </xf>
    <xf numFmtId="37" fontId="8" fillId="0" borderId="6" xfId="57" applyNumberFormat="1" applyFont="1" applyFill="1" applyBorder="1" applyAlignment="1" applyProtection="1">
      <alignment horizontal="right" vertical="center" readingOrder="1"/>
    </xf>
    <xf numFmtId="37" fontId="8" fillId="0" borderId="0" xfId="57" applyNumberFormat="1" applyFont="1" applyFill="1" applyBorder="1" applyAlignment="1" applyProtection="1">
      <alignment horizontal="right" vertical="center" readingOrder="1"/>
    </xf>
    <xf numFmtId="37" fontId="8" fillId="0" borderId="7" xfId="57" applyNumberFormat="1" applyFont="1" applyFill="1" applyBorder="1" applyAlignment="1" applyProtection="1">
      <alignment horizontal="right" vertical="center" readingOrder="1"/>
    </xf>
    <xf numFmtId="1" fontId="8" fillId="0" borderId="7" xfId="64" applyNumberFormat="1" applyFont="1" applyBorder="1" applyAlignment="1">
      <alignment horizontal="right" vertical="center" readingOrder="1"/>
    </xf>
    <xf numFmtId="168" fontId="8" fillId="0" borderId="6" xfId="60" applyNumberFormat="1" applyFont="1" applyBorder="1" applyAlignment="1">
      <alignment horizontal="right" vertical="center" readingOrder="1"/>
    </xf>
    <xf numFmtId="168" fontId="8" fillId="0" borderId="0" xfId="60" applyNumberFormat="1" applyFont="1" applyBorder="1" applyAlignment="1">
      <alignment horizontal="right" vertical="center" readingOrder="1"/>
    </xf>
    <xf numFmtId="168" fontId="8" fillId="0" borderId="7" xfId="60" applyNumberFormat="1" applyFont="1" applyBorder="1" applyAlignment="1">
      <alignment horizontal="right" vertical="center" readingOrder="1"/>
    </xf>
    <xf numFmtId="168" fontId="50" fillId="0" borderId="6" xfId="60" applyNumberFormat="1" applyFont="1" applyBorder="1" applyAlignment="1">
      <alignment horizontal="right" vertical="center" readingOrder="1"/>
    </xf>
    <xf numFmtId="168" fontId="50" fillId="0" borderId="0" xfId="60" applyNumberFormat="1" applyFont="1" applyBorder="1" applyAlignment="1">
      <alignment horizontal="right" vertical="center" readingOrder="1"/>
    </xf>
    <xf numFmtId="168" fontId="51" fillId="0" borderId="7" xfId="60" applyNumberFormat="1" applyFont="1" applyBorder="1" applyAlignment="1">
      <alignment horizontal="right" vertical="center" readingOrder="1"/>
    </xf>
    <xf numFmtId="37" fontId="8" fillId="0" borderId="45" xfId="57" applyNumberFormat="1" applyFont="1" applyBorder="1" applyAlignment="1">
      <alignment horizontal="right" vertical="center" readingOrder="1"/>
    </xf>
    <xf numFmtId="37" fontId="8" fillId="0" borderId="44" xfId="57" applyNumberFormat="1" applyFont="1" applyBorder="1" applyAlignment="1">
      <alignment horizontal="right" vertical="center" readingOrder="1"/>
    </xf>
    <xf numFmtId="37" fontId="8" fillId="0" borderId="46" xfId="57" applyNumberFormat="1" applyFont="1" applyBorder="1" applyAlignment="1">
      <alignment horizontal="right" vertical="center" readingOrder="1"/>
    </xf>
    <xf numFmtId="0" fontId="13" fillId="0" borderId="0" xfId="5" applyFont="1" applyFill="1" applyBorder="1" applyAlignment="1">
      <alignment horizontal="left" vertical="top" wrapText="1"/>
    </xf>
    <xf numFmtId="0" fontId="11" fillId="0" borderId="15" xfId="5" applyFont="1" applyFill="1" applyBorder="1" applyAlignment="1">
      <alignment horizontal="right" wrapText="1"/>
    </xf>
    <xf numFmtId="0" fontId="11" fillId="0" borderId="8" xfId="5" applyFont="1" applyFill="1" applyBorder="1" applyAlignment="1">
      <alignment horizontal="right" wrapText="1"/>
    </xf>
    <xf numFmtId="0" fontId="16" fillId="0" borderId="31" xfId="5" applyFont="1" applyFill="1" applyBorder="1" applyAlignment="1">
      <alignment horizontal="right" vertical="top" wrapText="1"/>
    </xf>
    <xf numFmtId="0" fontId="11" fillId="0" borderId="14" xfId="5" applyFont="1" applyFill="1" applyBorder="1">
      <alignment wrapText="1"/>
    </xf>
    <xf numFmtId="0" fontId="11" fillId="0" borderId="14" xfId="5" applyFont="1" applyFill="1" applyBorder="1" applyAlignment="1">
      <alignment horizontal="right" wrapText="1"/>
    </xf>
    <xf numFmtId="2" fontId="18" fillId="0" borderId="14" xfId="5" applyNumberFormat="1" applyFont="1" applyFill="1" applyBorder="1" applyAlignment="1">
      <alignment horizontal="right" wrapText="1"/>
    </xf>
    <xf numFmtId="0" fontId="11" fillId="0" borderId="37" xfId="5" applyFont="1" applyFill="1" applyBorder="1" applyAlignment="1">
      <alignment horizontal="right" vertical="top" wrapText="1"/>
    </xf>
    <xf numFmtId="0" fontId="11" fillId="0" borderId="31" xfId="5" applyFont="1" applyFill="1" applyBorder="1" applyAlignment="1">
      <alignment horizontal="right" vertical="top" wrapText="1"/>
    </xf>
    <xf numFmtId="0" fontId="13" fillId="0" borderId="31" xfId="5" applyFont="1" applyFill="1" applyBorder="1" applyAlignment="1">
      <alignment horizontal="right" vertical="top" wrapText="1"/>
    </xf>
    <xf numFmtId="165" fontId="19" fillId="0" borderId="31" xfId="5" applyNumberFormat="1" applyFont="1" applyFill="1" applyBorder="1" applyAlignment="1">
      <alignment horizontal="right" vertical="top" wrapText="1"/>
    </xf>
    <xf numFmtId="165" fontId="13" fillId="0" borderId="31" xfId="5" applyNumberFormat="1" applyFont="1" applyFill="1" applyBorder="1" applyAlignment="1">
      <alignment horizontal="right" vertical="top" wrapText="1"/>
    </xf>
    <xf numFmtId="0" fontId="56" fillId="0" borderId="0" xfId="5" applyFont="1" applyFill="1" applyBorder="1" applyAlignment="1">
      <alignment horizontal="right" vertical="top" wrapText="1"/>
    </xf>
    <xf numFmtId="165" fontId="56" fillId="0" borderId="0" xfId="5" applyNumberFormat="1" applyFont="1" applyFill="1" applyBorder="1" applyAlignment="1">
      <alignment horizontal="right" vertical="top" wrapText="1"/>
    </xf>
    <xf numFmtId="0" fontId="55" fillId="0" borderId="0" xfId="0" applyFont="1"/>
    <xf numFmtId="37" fontId="10" fillId="0" borderId="6" xfId="57" applyNumberFormat="1" applyFont="1" applyBorder="1" applyAlignment="1">
      <alignment horizontal="right" vertical="center" readingOrder="1"/>
    </xf>
    <xf numFmtId="37" fontId="10" fillId="0" borderId="0" xfId="57" applyNumberFormat="1" applyFont="1" applyBorder="1" applyAlignment="1">
      <alignment horizontal="right" vertical="center" readingOrder="1"/>
    </xf>
    <xf numFmtId="37" fontId="10" fillId="0" borderId="7" xfId="57" applyNumberFormat="1" applyFont="1" applyBorder="1" applyAlignment="1">
      <alignment horizontal="right" vertical="center" readingOrder="1"/>
    </xf>
    <xf numFmtId="0" fontId="58" fillId="0" borderId="0" xfId="0" applyFont="1"/>
    <xf numFmtId="168" fontId="5" fillId="0" borderId="0" xfId="1" applyNumberFormat="1" applyFont="1" applyFill="1" applyBorder="1" applyAlignment="1" applyProtection="1">
      <alignment horizontal="right" vertical="center"/>
      <protection locked="0"/>
    </xf>
    <xf numFmtId="0" fontId="0" fillId="0" borderId="0" xfId="0" applyBorder="1"/>
    <xf numFmtId="0" fontId="9" fillId="0" borderId="0" xfId="0" applyFont="1" applyFill="1" applyBorder="1" applyAlignment="1">
      <alignment vertical="center" wrapText="1"/>
    </xf>
    <xf numFmtId="0" fontId="5" fillId="0" borderId="0" xfId="0" applyNumberFormat="1" applyFont="1" applyFill="1" applyBorder="1" applyAlignment="1">
      <alignment horizontal="right" vertical="center" wrapText="1"/>
    </xf>
    <xf numFmtId="0" fontId="58" fillId="0" borderId="0" xfId="0" applyFont="1" applyBorder="1"/>
    <xf numFmtId="0" fontId="58" fillId="0" borderId="7" xfId="0" applyFont="1" applyBorder="1"/>
    <xf numFmtId="0" fontId="58" fillId="0" borderId="31" xfId="0" applyFont="1" applyBorder="1"/>
    <xf numFmtId="0" fontId="58" fillId="0" borderId="32" xfId="0" applyFont="1" applyBorder="1"/>
    <xf numFmtId="0" fontId="41" fillId="0" borderId="47" xfId="48" applyNumberFormat="1" applyFont="1" applyFill="1" applyBorder="1" applyAlignment="1">
      <alignment horizontal="right" vertical="top" wrapText="1"/>
    </xf>
    <xf numFmtId="3" fontId="41" fillId="0" borderId="47" xfId="48" applyNumberFormat="1" applyFont="1" applyFill="1" applyBorder="1" applyAlignment="1">
      <alignment horizontal="right" vertical="top" wrapText="1"/>
    </xf>
    <xf numFmtId="0" fontId="41" fillId="0" borderId="48" xfId="48" applyNumberFormat="1" applyFont="1" applyFill="1" applyBorder="1" applyAlignment="1">
      <alignment horizontal="right" vertical="top" wrapText="1"/>
    </xf>
    <xf numFmtId="0" fontId="41" fillId="0" borderId="10" xfId="48" applyNumberFormat="1" applyFont="1" applyFill="1" applyBorder="1" applyAlignment="1">
      <alignment horizontal="right" vertical="top" wrapText="1"/>
    </xf>
    <xf numFmtId="0" fontId="41" fillId="0" borderId="12" xfId="48" applyNumberFormat="1" applyFont="1" applyFill="1" applyBorder="1" applyAlignment="1">
      <alignment horizontal="right" vertical="top" wrapText="1"/>
    </xf>
    <xf numFmtId="3" fontId="41" fillId="0" borderId="12" xfId="48" applyNumberFormat="1" applyFont="1" applyFill="1" applyBorder="1" applyAlignment="1">
      <alignment horizontal="right" vertical="top" wrapText="1"/>
    </xf>
    <xf numFmtId="0" fontId="41" fillId="0" borderId="13" xfId="48" applyNumberFormat="1" applyFont="1" applyFill="1" applyBorder="1" applyAlignment="1">
      <alignment horizontal="right" vertical="top" wrapText="1"/>
    </xf>
    <xf numFmtId="1" fontId="41" fillId="0" borderId="47" xfId="48" applyNumberFormat="1" applyFont="1" applyFill="1" applyBorder="1" applyAlignment="1">
      <alignment horizontal="right" vertical="top" wrapText="1"/>
    </xf>
    <xf numFmtId="1" fontId="41" fillId="0" borderId="48" xfId="48" applyNumberFormat="1" applyFont="1" applyFill="1" applyBorder="1" applyAlignment="1">
      <alignment horizontal="right" vertical="top" wrapText="1"/>
    </xf>
    <xf numFmtId="9" fontId="41" fillId="0" borderId="12" xfId="2" applyFont="1" applyFill="1" applyBorder="1" applyAlignment="1">
      <alignment horizontal="right" vertical="top" wrapText="1"/>
    </xf>
    <xf numFmtId="0" fontId="41" fillId="0" borderId="51" xfId="48" applyFont="1" applyFill="1" applyBorder="1" applyAlignment="1">
      <alignment horizontal="right" wrapText="1"/>
    </xf>
    <xf numFmtId="0" fontId="40" fillId="0" borderId="55" xfId="48" applyFont="1" applyBorder="1"/>
    <xf numFmtId="0" fontId="40" fillId="0" borderId="56" xfId="48" applyFont="1" applyBorder="1"/>
    <xf numFmtId="0" fontId="40" fillId="0" borderId="57" xfId="48" applyFont="1" applyBorder="1"/>
    <xf numFmtId="0" fontId="40" fillId="0" borderId="58" xfId="48" applyFont="1" applyBorder="1"/>
    <xf numFmtId="0" fontId="41" fillId="2" borderId="37" xfId="48" applyNumberFormat="1" applyFont="1" applyFill="1" applyBorder="1" applyAlignment="1">
      <alignment horizontal="right" vertical="top" wrapText="1"/>
    </xf>
    <xf numFmtId="0" fontId="41" fillId="2" borderId="0" xfId="48" applyNumberFormat="1" applyFont="1" applyFill="1" applyBorder="1" applyAlignment="1">
      <alignment horizontal="right" vertical="top" wrapText="1"/>
    </xf>
    <xf numFmtId="0" fontId="41" fillId="2" borderId="47" xfId="48" applyNumberFormat="1" applyFont="1" applyFill="1" applyBorder="1" applyAlignment="1">
      <alignment horizontal="right" vertical="top" wrapText="1"/>
    </xf>
    <xf numFmtId="0" fontId="41" fillId="2" borderId="12" xfId="48" applyNumberFormat="1" applyFont="1" applyFill="1" applyBorder="1" applyAlignment="1">
      <alignment horizontal="right" vertical="top" wrapText="1"/>
    </xf>
    <xf numFmtId="1" fontId="41" fillId="2" borderId="47" xfId="48" applyNumberFormat="1" applyFont="1" applyFill="1" applyBorder="1" applyAlignment="1">
      <alignment horizontal="right" vertical="top" wrapText="1"/>
    </xf>
    <xf numFmtId="0" fontId="60" fillId="2" borderId="0" xfId="48" applyNumberFormat="1" applyFont="1" applyFill="1" applyBorder="1" applyAlignment="1">
      <alignment horizontal="right" vertical="top" wrapText="1"/>
    </xf>
    <xf numFmtId="0" fontId="57" fillId="0" borderId="0" xfId="5" applyFont="1" applyFill="1" applyBorder="1" applyAlignment="1">
      <alignment horizontal="left" vertical="center" wrapText="1"/>
    </xf>
    <xf numFmtId="164" fontId="11" fillId="2" borderId="12" xfId="5" applyNumberFormat="1" applyFont="1" applyFill="1" applyBorder="1" applyAlignment="1">
      <alignment horizontal="right" vertical="center" wrapText="1"/>
    </xf>
    <xf numFmtId="0" fontId="11" fillId="2" borderId="15" xfId="5" applyFont="1" applyFill="1" applyBorder="1" applyAlignment="1">
      <alignment horizontal="right" wrapText="1"/>
    </xf>
    <xf numFmtId="9" fontId="55" fillId="0" borderId="0" xfId="2" applyFont="1" applyBorder="1"/>
    <xf numFmtId="9" fontId="54" fillId="0" borderId="0" xfId="2" applyFont="1" applyBorder="1" applyAlignment="1">
      <alignment wrapText="1"/>
    </xf>
    <xf numFmtId="0" fontId="54" fillId="0" borderId="0" xfId="5" applyFont="1" applyBorder="1">
      <alignment wrapText="1"/>
    </xf>
    <xf numFmtId="0" fontId="11" fillId="0" borderId="4" xfId="4" applyFont="1" applyBorder="1" applyAlignment="1" applyProtection="1">
      <alignment horizontal="right" wrapText="1" readingOrder="1"/>
      <protection locked="0"/>
    </xf>
    <xf numFmtId="0" fontId="11" fillId="0" borderId="63" xfId="4" applyFont="1" applyBorder="1" applyAlignment="1" applyProtection="1">
      <alignment horizontal="right" wrapText="1" readingOrder="1"/>
      <protection locked="0"/>
    </xf>
    <xf numFmtId="0" fontId="11" fillId="0" borderId="5" xfId="4" applyFont="1" applyBorder="1" applyAlignment="1" applyProtection="1">
      <alignment horizontal="center" wrapText="1" readingOrder="1"/>
      <protection locked="0"/>
    </xf>
    <xf numFmtId="0" fontId="11" fillId="0" borderId="3" xfId="4" applyFont="1" applyBorder="1" applyAlignment="1" applyProtection="1">
      <alignment horizontal="center" wrapText="1" readingOrder="1"/>
      <protection locked="0"/>
    </xf>
    <xf numFmtId="0" fontId="3" fillId="0" borderId="0" xfId="0" applyFont="1"/>
    <xf numFmtId="174" fontId="16" fillId="0" borderId="0" xfId="4" applyNumberFormat="1" applyFont="1" applyAlignment="1" applyProtection="1">
      <alignment horizontal="right" vertical="center" wrapText="1" readingOrder="1"/>
      <protection locked="0"/>
    </xf>
    <xf numFmtId="173" fontId="16" fillId="0" borderId="0" xfId="4" applyNumberFormat="1" applyFont="1" applyAlignment="1" applyProtection="1">
      <alignment horizontal="right" vertical="center" wrapText="1" readingOrder="1"/>
      <protection locked="0"/>
    </xf>
    <xf numFmtId="0" fontId="16" fillId="0" borderId="0" xfId="4" applyFont="1" applyAlignment="1" applyProtection="1">
      <alignment horizontal="left" vertical="center" wrapText="1" readingOrder="1"/>
      <protection locked="0"/>
    </xf>
    <xf numFmtId="1" fontId="55" fillId="2" borderId="0" xfId="0" applyNumberFormat="1" applyFont="1" applyFill="1" applyBorder="1"/>
    <xf numFmtId="164" fontId="54" fillId="0" borderId="61" xfId="5" applyNumberFormat="1" applyFont="1" applyFill="1" applyBorder="1">
      <alignment wrapText="1"/>
    </xf>
    <xf numFmtId="164" fontId="54" fillId="0" borderId="60" xfId="5" applyNumberFormat="1" applyFont="1" applyFill="1" applyBorder="1">
      <alignment wrapText="1"/>
    </xf>
    <xf numFmtId="0" fontId="0" fillId="0" borderId="9" xfId="0" applyBorder="1"/>
    <xf numFmtId="0" fontId="54" fillId="0" borderId="60" xfId="5" applyFont="1" applyBorder="1">
      <alignment wrapText="1"/>
    </xf>
    <xf numFmtId="0" fontId="0" fillId="0" borderId="59" xfId="0" applyBorder="1"/>
    <xf numFmtId="164" fontId="54" fillId="2" borderId="0" xfId="5" applyNumberFormat="1" applyFont="1" applyFill="1" applyBorder="1">
      <alignment wrapText="1"/>
    </xf>
    <xf numFmtId="0" fontId="55" fillId="0" borderId="0" xfId="0" applyFont="1" applyBorder="1"/>
    <xf numFmtId="0" fontId="0" fillId="0" borderId="11" xfId="0" applyBorder="1"/>
    <xf numFmtId="0" fontId="54" fillId="0" borderId="12" xfId="5" applyFont="1" applyBorder="1" applyAlignment="1">
      <alignment vertical="center" wrapText="1"/>
    </xf>
    <xf numFmtId="0" fontId="0" fillId="0" borderId="0" xfId="0"/>
    <xf numFmtId="0" fontId="11" fillId="0" borderId="5" xfId="4" applyFont="1" applyBorder="1" applyAlignment="1" applyProtection="1">
      <alignment horizontal="center" wrapText="1" readingOrder="1"/>
      <protection locked="0"/>
    </xf>
    <xf numFmtId="0" fontId="11" fillId="0" borderId="3" xfId="4" applyFont="1" applyBorder="1" applyAlignment="1" applyProtection="1">
      <alignment horizontal="center" wrapText="1" readingOrder="1"/>
      <protection locked="0"/>
    </xf>
    <xf numFmtId="0" fontId="11" fillId="0" borderId="63" xfId="4" applyFont="1" applyBorder="1" applyAlignment="1" applyProtection="1">
      <alignment horizontal="right" wrapText="1" readingOrder="1"/>
      <protection locked="0"/>
    </xf>
    <xf numFmtId="0" fontId="11" fillId="0" borderId="4" xfId="4" applyFont="1" applyBorder="1" applyAlignment="1" applyProtection="1">
      <alignment horizontal="right" wrapText="1" readingOrder="1"/>
      <protection locked="0"/>
    </xf>
    <xf numFmtId="0" fontId="11" fillId="0" borderId="0" xfId="4" applyFont="1" applyAlignment="1" applyProtection="1">
      <alignment horizontal="left" vertical="top" wrapText="1" readingOrder="1"/>
      <protection locked="0"/>
    </xf>
    <xf numFmtId="0" fontId="11" fillId="0" borderId="0" xfId="4" applyFont="1" applyAlignment="1" applyProtection="1">
      <alignment horizontal="left" vertical="center" wrapText="1" readingOrder="1"/>
      <protection locked="0"/>
    </xf>
    <xf numFmtId="173" fontId="11" fillId="0" borderId="0" xfId="4" applyNumberFormat="1" applyFont="1" applyAlignment="1" applyProtection="1">
      <alignment horizontal="right" vertical="center" wrapText="1" readingOrder="1"/>
      <protection locked="0"/>
    </xf>
    <xf numFmtId="174" fontId="11" fillId="0" borderId="0" xfId="4" applyNumberFormat="1" applyFont="1" applyAlignment="1" applyProtection="1">
      <alignment horizontal="right" vertical="center" wrapText="1" readingOrder="1"/>
      <protection locked="0"/>
    </xf>
    <xf numFmtId="0" fontId="11" fillId="0" borderId="0" xfId="4" applyFont="1" applyAlignment="1" applyProtection="1">
      <alignment horizontal="right" vertical="center" wrapText="1" readingOrder="1"/>
      <protection locked="0"/>
    </xf>
    <xf numFmtId="0" fontId="11" fillId="0" borderId="2" xfId="4" applyFont="1" applyBorder="1" applyAlignment="1" applyProtection="1">
      <alignment horizontal="left" vertical="top" wrapText="1" readingOrder="1"/>
      <protection locked="0"/>
    </xf>
    <xf numFmtId="0" fontId="11" fillId="0" borderId="2" xfId="4" applyFont="1" applyBorder="1" applyAlignment="1" applyProtection="1">
      <alignment horizontal="right" vertical="center" wrapText="1" readingOrder="1"/>
      <protection locked="0"/>
    </xf>
    <xf numFmtId="0" fontId="11" fillId="0" borderId="0" xfId="5" applyFont="1" applyFill="1" applyBorder="1" applyAlignment="1">
      <alignment horizontal="left" vertical="center" wrapText="1"/>
    </xf>
    <xf numFmtId="164" fontId="11" fillId="0" borderId="0" xfId="5" applyNumberFormat="1" applyFont="1" applyFill="1" applyBorder="1" applyAlignment="1">
      <alignment horizontal="right" vertical="center" wrapText="1"/>
    </xf>
    <xf numFmtId="0" fontId="11" fillId="0" borderId="64" xfId="5" applyFont="1" applyFill="1" applyBorder="1" applyAlignment="1">
      <alignment horizontal="center" wrapText="1"/>
    </xf>
    <xf numFmtId="0" fontId="11" fillId="0" borderId="8" xfId="5" applyFont="1" applyFill="1" applyBorder="1" applyAlignment="1">
      <alignment horizontal="center" wrapText="1"/>
    </xf>
    <xf numFmtId="0" fontId="5" fillId="0" borderId="9" xfId="5" applyBorder="1">
      <alignment wrapText="1"/>
    </xf>
    <xf numFmtId="164" fontId="11" fillId="0" borderId="10" xfId="5" applyNumberFormat="1" applyFont="1" applyFill="1" applyBorder="1" applyAlignment="1">
      <alignment horizontal="right" vertical="center" wrapText="1"/>
    </xf>
    <xf numFmtId="164" fontId="11" fillId="2" borderId="0" xfId="5" applyNumberFormat="1" applyFont="1" applyFill="1" applyBorder="1" applyAlignment="1">
      <alignment horizontal="right" vertical="center" wrapText="1"/>
    </xf>
    <xf numFmtId="0" fontId="7" fillId="0" borderId="0" xfId="3" applyAlignment="1" applyProtection="1"/>
    <xf numFmtId="0" fontId="4" fillId="0" borderId="0" xfId="0" applyFont="1"/>
    <xf numFmtId="164" fontId="54" fillId="2" borderId="60" xfId="5" applyNumberFormat="1" applyFont="1" applyFill="1" applyBorder="1">
      <alignment wrapText="1"/>
    </xf>
    <xf numFmtId="1" fontId="55" fillId="0" borderId="0" xfId="0" applyNumberFormat="1" applyFont="1" applyBorder="1"/>
    <xf numFmtId="0" fontId="55" fillId="0" borderId="12" xfId="0" applyFont="1" applyBorder="1"/>
    <xf numFmtId="9" fontId="54" fillId="0" borderId="12" xfId="2" applyFont="1" applyBorder="1" applyAlignment="1">
      <alignment wrapText="1"/>
    </xf>
    <xf numFmtId="9" fontId="55" fillId="0" borderId="12" xfId="2" applyFont="1" applyBorder="1"/>
    <xf numFmtId="0" fontId="55" fillId="0" borderId="13" xfId="0" applyFont="1" applyBorder="1"/>
    <xf numFmtId="0" fontId="11" fillId="0" borderId="0" xfId="4" applyFont="1" applyAlignment="1" applyProtection="1">
      <alignment horizontal="left" vertical="top" wrapText="1" readingOrder="1"/>
      <protection locked="0"/>
    </xf>
    <xf numFmtId="0" fontId="11" fillId="0" borderId="0" xfId="4" applyFont="1" applyAlignment="1" applyProtection="1">
      <alignment horizontal="left" vertical="center" wrapText="1" readingOrder="1"/>
      <protection locked="0"/>
    </xf>
    <xf numFmtId="173" fontId="11" fillId="0" borderId="0" xfId="4" applyNumberFormat="1" applyFont="1" applyAlignment="1" applyProtection="1">
      <alignment horizontal="right" vertical="center" wrapText="1" readingOrder="1"/>
      <protection locked="0"/>
    </xf>
    <xf numFmtId="174" fontId="11" fillId="0" borderId="0" xfId="4" applyNumberFormat="1" applyFont="1" applyAlignment="1" applyProtection="1">
      <alignment horizontal="right" vertical="center" wrapText="1" readingOrder="1"/>
      <protection locked="0"/>
    </xf>
    <xf numFmtId="0" fontId="11" fillId="0" borderId="0" xfId="4" applyFont="1" applyAlignment="1" applyProtection="1">
      <alignment horizontal="right" vertical="center" wrapText="1" readingOrder="1"/>
      <protection locked="0"/>
    </xf>
    <xf numFmtId="0" fontId="11" fillId="0" borderId="2" xfId="4" applyFont="1" applyBorder="1" applyAlignment="1" applyProtection="1">
      <alignment horizontal="left" vertical="top" wrapText="1" readingOrder="1"/>
      <protection locked="0"/>
    </xf>
    <xf numFmtId="0" fontId="11" fillId="0" borderId="2" xfId="4" applyFont="1" applyBorder="1" applyAlignment="1" applyProtection="1">
      <alignment horizontal="right" vertical="center" wrapText="1" readingOrder="1"/>
      <protection locked="0"/>
    </xf>
    <xf numFmtId="0" fontId="0" fillId="0" borderId="0" xfId="0"/>
    <xf numFmtId="0" fontId="11" fillId="0" borderId="5" xfId="4" applyFont="1" applyBorder="1" applyAlignment="1" applyProtection="1">
      <alignment horizontal="center" wrapText="1" readingOrder="1"/>
      <protection locked="0"/>
    </xf>
    <xf numFmtId="0" fontId="11" fillId="0" borderId="3" xfId="4" applyFont="1" applyBorder="1" applyAlignment="1" applyProtection="1">
      <alignment horizontal="center" wrapText="1" readingOrder="1"/>
      <protection locked="0"/>
    </xf>
    <xf numFmtId="0" fontId="11" fillId="0" borderId="63" xfId="4" applyFont="1" applyBorder="1" applyAlignment="1" applyProtection="1">
      <alignment horizontal="right" wrapText="1" readingOrder="1"/>
      <protection locked="0"/>
    </xf>
    <xf numFmtId="0" fontId="11" fillId="0" borderId="4" xfId="4" applyFont="1" applyBorder="1" applyAlignment="1" applyProtection="1">
      <alignment horizontal="right" wrapText="1" readingOrder="1"/>
      <protection locked="0"/>
    </xf>
    <xf numFmtId="0" fontId="11" fillId="0" borderId="0" xfId="4" applyFont="1" applyAlignment="1" applyProtection="1">
      <alignment horizontal="left" vertical="center" wrapText="1" readingOrder="1"/>
      <protection locked="0"/>
    </xf>
    <xf numFmtId="173" fontId="11" fillId="0" borderId="0" xfId="4" applyNumberFormat="1" applyFont="1" applyAlignment="1" applyProtection="1">
      <alignment horizontal="right" vertical="center" wrapText="1" readingOrder="1"/>
      <protection locked="0"/>
    </xf>
    <xf numFmtId="174" fontId="11" fillId="0" borderId="0" xfId="4" applyNumberFormat="1" applyFont="1" applyAlignment="1" applyProtection="1">
      <alignment horizontal="right" vertical="center" wrapText="1" readingOrder="1"/>
      <protection locked="0"/>
    </xf>
    <xf numFmtId="0" fontId="11" fillId="0" borderId="0" xfId="4" applyFont="1" applyAlignment="1" applyProtection="1">
      <alignment horizontal="right" vertical="center" wrapText="1" readingOrder="1"/>
      <protection locked="0"/>
    </xf>
    <xf numFmtId="0" fontId="11" fillId="0" borderId="2" xfId="4" applyFont="1" applyBorder="1" applyAlignment="1" applyProtection="1">
      <alignment horizontal="left" vertical="center" wrapText="1" readingOrder="1"/>
      <protection locked="0"/>
    </xf>
    <xf numFmtId="0" fontId="11" fillId="0" borderId="2" xfId="4" applyFont="1" applyBorder="1" applyAlignment="1" applyProtection="1">
      <alignment horizontal="right" vertical="center" wrapText="1" readingOrder="1"/>
      <protection locked="0"/>
    </xf>
    <xf numFmtId="0" fontId="0" fillId="0" borderId="0" xfId="0"/>
    <xf numFmtId="0" fontId="11" fillId="0" borderId="5" xfId="4" applyFont="1" applyBorder="1" applyAlignment="1" applyProtection="1">
      <alignment horizontal="center" wrapText="1" readingOrder="1"/>
      <protection locked="0"/>
    </xf>
    <xf numFmtId="0" fontId="11" fillId="0" borderId="3" xfId="4" applyFont="1" applyBorder="1" applyAlignment="1" applyProtection="1">
      <alignment horizontal="center" wrapText="1" readingOrder="1"/>
      <protection locked="0"/>
    </xf>
    <xf numFmtId="0" fontId="11" fillId="0" borderId="63" xfId="4" applyFont="1" applyBorder="1" applyAlignment="1" applyProtection="1">
      <alignment horizontal="right" wrapText="1" readingOrder="1"/>
      <protection locked="0"/>
    </xf>
    <xf numFmtId="0" fontId="11" fillId="0" borderId="4" xfId="4" applyFont="1" applyBorder="1" applyAlignment="1" applyProtection="1">
      <alignment horizontal="right" wrapText="1" readingOrder="1"/>
      <protection locked="0"/>
    </xf>
    <xf numFmtId="0" fontId="11" fillId="0" borderId="0" xfId="4" applyFont="1" applyAlignment="1" applyProtection="1">
      <alignment horizontal="left" vertical="top" wrapText="1" readingOrder="1"/>
      <protection locked="0"/>
    </xf>
    <xf numFmtId="0" fontId="11" fillId="0" borderId="0" xfId="4" applyFont="1" applyAlignment="1" applyProtection="1">
      <alignment horizontal="left" vertical="center" wrapText="1" readingOrder="1"/>
      <protection locked="0"/>
    </xf>
    <xf numFmtId="173" fontId="11" fillId="0" borderId="0" xfId="4" applyNumberFormat="1" applyFont="1" applyAlignment="1" applyProtection="1">
      <alignment horizontal="right" vertical="center" wrapText="1" readingOrder="1"/>
      <protection locked="0"/>
    </xf>
    <xf numFmtId="174" fontId="11" fillId="0" borderId="0" xfId="4" applyNumberFormat="1" applyFont="1" applyAlignment="1" applyProtection="1">
      <alignment horizontal="right" vertical="center" wrapText="1" readingOrder="1"/>
      <protection locked="0"/>
    </xf>
    <xf numFmtId="0" fontId="11" fillId="0" borderId="0" xfId="4" applyFont="1" applyAlignment="1" applyProtection="1">
      <alignment horizontal="right" vertical="center" wrapText="1" readingOrder="1"/>
      <protection locked="0"/>
    </xf>
    <xf numFmtId="0" fontId="11" fillId="0" borderId="2" xfId="4" applyFont="1" applyBorder="1" applyAlignment="1" applyProtection="1">
      <alignment horizontal="left" vertical="top" wrapText="1" readingOrder="1"/>
      <protection locked="0"/>
    </xf>
    <xf numFmtId="0" fontId="11" fillId="0" borderId="2" xfId="4" applyFont="1" applyBorder="1" applyAlignment="1" applyProtection="1">
      <alignment horizontal="right" vertical="center" wrapText="1" readingOrder="1"/>
      <protection locked="0"/>
    </xf>
    <xf numFmtId="0" fontId="11" fillId="0" borderId="59" xfId="5" applyFont="1" applyFill="1" applyBorder="1">
      <alignment wrapText="1"/>
    </xf>
    <xf numFmtId="0" fontId="7" fillId="0" borderId="0" xfId="3" applyAlignment="1" applyProtection="1">
      <alignment vertical="center"/>
    </xf>
    <xf numFmtId="0" fontId="0" fillId="0" borderId="0" xfId="0"/>
    <xf numFmtId="0" fontId="11" fillId="0" borderId="0" xfId="4" applyFont="1" applyAlignment="1" applyProtection="1">
      <alignment horizontal="left" vertical="top" wrapText="1" readingOrder="1"/>
      <protection locked="0"/>
    </xf>
    <xf numFmtId="0" fontId="11" fillId="0" borderId="0" xfId="4" applyFont="1" applyAlignment="1" applyProtection="1">
      <alignment horizontal="left" vertical="center" wrapText="1" readingOrder="1"/>
      <protection locked="0"/>
    </xf>
    <xf numFmtId="173" fontId="11" fillId="0" borderId="0" xfId="4" applyNumberFormat="1" applyFont="1" applyAlignment="1" applyProtection="1">
      <alignment horizontal="right" vertical="center" wrapText="1" readingOrder="1"/>
      <protection locked="0"/>
    </xf>
    <xf numFmtId="174" fontId="11" fillId="0" borderId="0" xfId="4" applyNumberFormat="1" applyFont="1" applyAlignment="1" applyProtection="1">
      <alignment horizontal="right" vertical="center" wrapText="1" readingOrder="1"/>
      <protection locked="0"/>
    </xf>
    <xf numFmtId="0" fontId="11" fillId="0" borderId="0" xfId="4" applyFont="1" applyAlignment="1" applyProtection="1">
      <alignment horizontal="right" vertical="center" wrapText="1" readingOrder="1"/>
      <protection locked="0"/>
    </xf>
    <xf numFmtId="1" fontId="55" fillId="0" borderId="0" xfId="0" applyNumberFormat="1" applyFont="1" applyFill="1" applyBorder="1"/>
    <xf numFmtId="1" fontId="55" fillId="0" borderId="10" xfId="0" applyNumberFormat="1" applyFont="1" applyFill="1" applyBorder="1"/>
    <xf numFmtId="0" fontId="11" fillId="0" borderId="60" xfId="5" applyFont="1" applyFill="1" applyBorder="1">
      <alignment wrapText="1"/>
    </xf>
    <xf numFmtId="173" fontId="11" fillId="0" borderId="60" xfId="5" applyNumberFormat="1" applyFont="1" applyFill="1" applyBorder="1" applyAlignment="1">
      <alignment horizontal="right" wrapText="1"/>
    </xf>
    <xf numFmtId="173" fontId="11" fillId="2" borderId="60" xfId="5" applyNumberFormat="1" applyFont="1" applyFill="1" applyBorder="1" applyAlignment="1">
      <alignment horizontal="right" wrapText="1"/>
    </xf>
    <xf numFmtId="173" fontId="11" fillId="0" borderId="61" xfId="5" applyNumberFormat="1" applyFont="1" applyFill="1" applyBorder="1" applyAlignment="1">
      <alignment horizontal="right" wrapText="1"/>
    </xf>
    <xf numFmtId="164" fontId="54" fillId="0" borderId="0" xfId="5" applyNumberFormat="1" applyFont="1" applyFill="1" applyBorder="1">
      <alignment wrapText="1"/>
    </xf>
    <xf numFmtId="164" fontId="54" fillId="0" borderId="10" xfId="5" applyNumberFormat="1" applyFont="1" applyFill="1" applyBorder="1">
      <alignment wrapText="1"/>
    </xf>
    <xf numFmtId="0" fontId="9" fillId="0" borderId="0" xfId="3" applyFont="1" applyAlignment="1" applyProtection="1"/>
    <xf numFmtId="165" fontId="11" fillId="0" borderId="0" xfId="7" applyNumberFormat="1" applyFont="1" applyFill="1" applyAlignment="1">
      <alignment vertical="center" wrapText="1"/>
    </xf>
    <xf numFmtId="0" fontId="13" fillId="0" borderId="37" xfId="5" applyFont="1" applyFill="1" applyBorder="1" applyAlignment="1">
      <alignment horizontal="right" vertical="top" wrapText="1"/>
    </xf>
    <xf numFmtId="165" fontId="19" fillId="0" borderId="37" xfId="5" applyNumberFormat="1" applyFont="1" applyFill="1" applyBorder="1" applyAlignment="1">
      <alignment horizontal="right" vertical="top" wrapText="1"/>
    </xf>
    <xf numFmtId="165" fontId="13" fillId="0" borderId="37" xfId="5" applyNumberFormat="1" applyFont="1" applyFill="1" applyBorder="1" applyAlignment="1">
      <alignment horizontal="right" vertical="top" wrapText="1"/>
    </xf>
    <xf numFmtId="0" fontId="4" fillId="0" borderId="31" xfId="0" applyFont="1" applyBorder="1"/>
    <xf numFmtId="0" fontId="62" fillId="0" borderId="0" xfId="0" applyFont="1" applyBorder="1" applyAlignment="1">
      <alignment horizontal="center" vertical="center"/>
    </xf>
    <xf numFmtId="0" fontId="62" fillId="0" borderId="0" xfId="0" applyFont="1" applyAlignment="1">
      <alignment horizontal="center"/>
    </xf>
    <xf numFmtId="2" fontId="53" fillId="0" borderId="6" xfId="0" applyNumberFormat="1" applyFont="1" applyFill="1" applyBorder="1" applyAlignment="1" applyProtection="1">
      <alignment horizontal="center" vertical="center"/>
      <protection locked="0"/>
    </xf>
    <xf numFmtId="2" fontId="53" fillId="0" borderId="0" xfId="0" applyNumberFormat="1" applyFont="1" applyFill="1" applyBorder="1" applyAlignment="1" applyProtection="1">
      <alignment horizontal="center" vertical="center"/>
      <protection locked="0"/>
    </xf>
    <xf numFmtId="2" fontId="53" fillId="0" borderId="7" xfId="0" applyNumberFormat="1" applyFont="1" applyFill="1" applyBorder="1" applyAlignment="1" applyProtection="1">
      <alignment horizontal="center" vertical="center"/>
      <protection locked="0"/>
    </xf>
    <xf numFmtId="0" fontId="11" fillId="0" borderId="0" xfId="7" applyFont="1" applyFill="1" applyBorder="1" applyAlignment="1">
      <alignment vertical="center" wrapText="1"/>
    </xf>
    <xf numFmtId="0" fontId="53" fillId="0" borderId="19" xfId="0" applyNumberFormat="1" applyFont="1" applyFill="1" applyBorder="1" applyAlignment="1">
      <alignment horizontal="center" vertical="center" wrapText="1"/>
    </xf>
    <xf numFmtId="0" fontId="53" fillId="0" borderId="18" xfId="0" applyNumberFormat="1" applyFont="1" applyFill="1" applyBorder="1" applyAlignment="1">
      <alignment horizontal="center" vertical="center" wrapText="1"/>
    </xf>
    <xf numFmtId="0" fontId="53" fillId="0" borderId="16" xfId="0" applyNumberFormat="1" applyFont="1" applyFill="1" applyBorder="1" applyAlignment="1">
      <alignment horizontal="center" vertical="center" wrapText="1"/>
    </xf>
    <xf numFmtId="0" fontId="11" fillId="0" borderId="0" xfId="4" applyFont="1" applyAlignment="1" applyProtection="1">
      <alignment horizontal="right" vertical="top" wrapText="1" readingOrder="1"/>
      <protection locked="0"/>
    </xf>
    <xf numFmtId="174" fontId="11" fillId="0" borderId="0" xfId="4" applyNumberFormat="1" applyFont="1" applyAlignment="1" applyProtection="1">
      <alignment horizontal="right" vertical="top" wrapText="1" readingOrder="1"/>
      <protection locked="0"/>
    </xf>
    <xf numFmtId="0" fontId="4" fillId="0" borderId="0" xfId="0" applyFont="1" applyBorder="1"/>
    <xf numFmtId="0" fontId="7" fillId="0" borderId="0" xfId="3" applyBorder="1" applyAlignment="1" applyProtection="1"/>
    <xf numFmtId="0" fontId="17" fillId="0" borderId="0" xfId="3" applyFont="1" applyBorder="1" applyAlignment="1" applyProtection="1"/>
    <xf numFmtId="0" fontId="4" fillId="0" borderId="7" xfId="0" applyFont="1" applyBorder="1"/>
    <xf numFmtId="0" fontId="7" fillId="0" borderId="7" xfId="3" applyBorder="1" applyAlignment="1" applyProtection="1"/>
    <xf numFmtId="0" fontId="17" fillId="0" borderId="7" xfId="3" applyFont="1" applyBorder="1" applyAlignment="1" applyProtection="1"/>
    <xf numFmtId="0" fontId="11" fillId="0" borderId="7" xfId="5" applyFont="1" applyFill="1" applyBorder="1">
      <alignment wrapText="1"/>
    </xf>
    <xf numFmtId="0" fontId="0" fillId="0" borderId="7" xfId="0" applyBorder="1"/>
    <xf numFmtId="0" fontId="12" fillId="0" borderId="7" xfId="5" applyFont="1" applyFill="1" applyBorder="1" applyAlignment="1">
      <alignment horizontal="right" vertical="top" wrapText="1"/>
    </xf>
    <xf numFmtId="0" fontId="13" fillId="0" borderId="7" xfId="5" applyFont="1" applyFill="1" applyBorder="1" applyAlignment="1">
      <alignment horizontal="left" vertical="top"/>
    </xf>
    <xf numFmtId="0" fontId="11" fillId="0" borderId="7" xfId="5" applyFont="1" applyFill="1" applyBorder="1" applyAlignment="1">
      <alignment vertical="top"/>
    </xf>
    <xf numFmtId="174" fontId="11" fillId="0" borderId="0" xfId="4" applyNumberFormat="1" applyFont="1" applyBorder="1" applyAlignment="1" applyProtection="1">
      <alignment horizontal="right" vertical="top" wrapText="1" readingOrder="1"/>
      <protection locked="0"/>
    </xf>
    <xf numFmtId="165" fontId="56" fillId="0" borderId="31" xfId="5" applyNumberFormat="1" applyFont="1" applyFill="1" applyBorder="1" applyAlignment="1">
      <alignment horizontal="right" vertical="top" wrapText="1"/>
    </xf>
    <xf numFmtId="0" fontId="0" fillId="0" borderId="37" xfId="0" applyBorder="1"/>
    <xf numFmtId="0" fontId="11" fillId="0" borderId="37" xfId="4" applyFont="1" applyBorder="1" applyAlignment="1" applyProtection="1">
      <alignment horizontal="right" vertical="top" wrapText="1" readingOrder="1"/>
      <protection locked="0"/>
    </xf>
    <xf numFmtId="174" fontId="11" fillId="0" borderId="37" xfId="4" applyNumberFormat="1" applyFont="1" applyBorder="1" applyAlignment="1" applyProtection="1">
      <alignment horizontal="right" vertical="top" wrapText="1" readingOrder="1"/>
      <protection locked="0"/>
    </xf>
    <xf numFmtId="0" fontId="11" fillId="0" borderId="0" xfId="4" applyFont="1" applyBorder="1" applyAlignment="1" applyProtection="1">
      <alignment horizontal="right" vertical="top" wrapText="1" readingOrder="1"/>
      <protection locked="0"/>
    </xf>
    <xf numFmtId="0" fontId="11" fillId="0" borderId="32" xfId="7" applyFont="1" applyFill="1" applyBorder="1" applyAlignment="1">
      <alignment vertical="center" wrapText="1"/>
    </xf>
    <xf numFmtId="0" fontId="56" fillId="0" borderId="36" xfId="5" applyFont="1" applyFill="1" applyBorder="1" applyAlignment="1">
      <alignment horizontal="right" vertical="top" wrapText="1"/>
    </xf>
    <xf numFmtId="165" fontId="56" fillId="0" borderId="37" xfId="5" applyNumberFormat="1" applyFont="1" applyFill="1" applyBorder="1" applyAlignment="1">
      <alignment horizontal="right" vertical="top" wrapText="1"/>
    </xf>
    <xf numFmtId="2" fontId="13" fillId="0" borderId="0" xfId="5" applyNumberFormat="1" applyFont="1" applyFill="1" applyBorder="1" applyAlignment="1">
      <alignment horizontal="right" vertical="top" wrapText="1"/>
    </xf>
    <xf numFmtId="175" fontId="42" fillId="0" borderId="0" xfId="55" applyNumberFormat="1" applyBorder="1"/>
    <xf numFmtId="2" fontId="11" fillId="0" borderId="0" xfId="7" applyNumberFormat="1" applyFont="1" applyFill="1" applyBorder="1" applyAlignment="1">
      <alignment horizontal="right" vertical="top" wrapText="1"/>
    </xf>
    <xf numFmtId="168" fontId="58" fillId="0" borderId="0" xfId="0" applyNumberFormat="1" applyFont="1" applyBorder="1" applyAlignment="1">
      <alignment vertical="center"/>
    </xf>
    <xf numFmtId="168" fontId="58" fillId="0" borderId="31" xfId="1" applyNumberFormat="1" applyFont="1" applyBorder="1" applyAlignment="1">
      <alignment vertical="center"/>
    </xf>
    <xf numFmtId="168" fontId="58" fillId="0" borderId="39" xfId="1" applyNumberFormat="1" applyFont="1" applyBorder="1" applyAlignment="1">
      <alignment vertical="center"/>
    </xf>
    <xf numFmtId="1" fontId="65" fillId="0" borderId="37" xfId="0" applyNumberFormat="1" applyFont="1" applyFill="1" applyBorder="1" applyAlignment="1" applyProtection="1">
      <alignment horizontal="right" vertical="center"/>
      <protection locked="0"/>
    </xf>
    <xf numFmtId="1" fontId="65" fillId="0" borderId="38" xfId="0" applyNumberFormat="1" applyFont="1" applyFill="1" applyBorder="1" applyAlignment="1" applyProtection="1">
      <alignment horizontal="right" vertical="center"/>
      <protection locked="0"/>
    </xf>
    <xf numFmtId="1" fontId="65" fillId="0" borderId="36" xfId="0" applyNumberFormat="1" applyFont="1" applyFill="1" applyBorder="1" applyAlignment="1" applyProtection="1">
      <alignment horizontal="right" vertical="center"/>
      <protection locked="0"/>
    </xf>
    <xf numFmtId="1" fontId="66" fillId="0" borderId="36" xfId="0" applyNumberFormat="1" applyFont="1" applyFill="1" applyBorder="1" applyAlignment="1" applyProtection="1">
      <alignment horizontal="right" vertical="center"/>
      <protection locked="0"/>
    </xf>
    <xf numFmtId="1" fontId="65" fillId="0" borderId="6" xfId="0" applyNumberFormat="1" applyFont="1" applyFill="1" applyBorder="1" applyAlignment="1">
      <alignment horizontal="right" vertical="center" wrapText="1"/>
    </xf>
    <xf numFmtId="1" fontId="65" fillId="0" borderId="0" xfId="0" applyNumberFormat="1" applyFont="1" applyFill="1" applyBorder="1" applyAlignment="1">
      <alignment horizontal="right" vertical="center" wrapText="1"/>
    </xf>
    <xf numFmtId="0" fontId="65" fillId="0" borderId="7" xfId="0" applyNumberFormat="1" applyFont="1" applyFill="1" applyBorder="1" applyAlignment="1">
      <alignment horizontal="right" vertical="center" wrapText="1"/>
    </xf>
    <xf numFmtId="1" fontId="65" fillId="0" borderId="0" xfId="0" applyNumberFormat="1" applyFont="1" applyFill="1" applyBorder="1" applyAlignment="1" applyProtection="1">
      <alignment horizontal="right" vertical="center"/>
      <protection locked="0"/>
    </xf>
    <xf numFmtId="1" fontId="65" fillId="0" borderId="7" xfId="0" applyNumberFormat="1" applyFont="1" applyFill="1" applyBorder="1" applyAlignment="1" applyProtection="1">
      <alignment horizontal="right" vertical="center"/>
      <protection locked="0"/>
    </xf>
    <xf numFmtId="1" fontId="65" fillId="0" borderId="6" xfId="0" applyNumberFormat="1" applyFont="1" applyFill="1" applyBorder="1" applyAlignment="1" applyProtection="1">
      <alignment horizontal="right" vertical="center"/>
      <protection locked="0"/>
    </xf>
    <xf numFmtId="168" fontId="65" fillId="0" borderId="0" xfId="1" applyNumberFormat="1" applyFont="1" applyFill="1" applyBorder="1" applyAlignment="1" applyProtection="1">
      <alignment horizontal="right" vertical="center"/>
      <protection locked="0"/>
    </xf>
    <xf numFmtId="168" fontId="65" fillId="0" borderId="7" xfId="1" applyNumberFormat="1" applyFont="1" applyFill="1" applyBorder="1" applyAlignment="1" applyProtection="1">
      <alignment horizontal="right" vertical="center"/>
      <protection locked="0"/>
    </xf>
    <xf numFmtId="168" fontId="65" fillId="0" borderId="6" xfId="1" applyNumberFormat="1" applyFont="1" applyFill="1" applyBorder="1" applyAlignment="1" applyProtection="1">
      <alignment horizontal="right" vertical="center"/>
      <protection locked="0"/>
    </xf>
    <xf numFmtId="168" fontId="66" fillId="0" borderId="6" xfId="1" applyNumberFormat="1" applyFont="1" applyFill="1" applyBorder="1" applyAlignment="1" applyProtection="1">
      <alignment horizontal="right" vertical="center"/>
      <protection locked="0"/>
    </xf>
    <xf numFmtId="168" fontId="65" fillId="0" borderId="31" xfId="1" applyNumberFormat="1" applyFont="1" applyFill="1" applyBorder="1" applyAlignment="1" applyProtection="1">
      <alignment horizontal="right" vertical="center"/>
      <protection locked="0"/>
    </xf>
    <xf numFmtId="168" fontId="65" fillId="0" borderId="32" xfId="1" applyNumberFormat="1" applyFont="1" applyFill="1" applyBorder="1" applyAlignment="1" applyProtection="1">
      <alignment horizontal="right" vertical="center"/>
      <protection locked="0"/>
    </xf>
    <xf numFmtId="168" fontId="65" fillId="0" borderId="39" xfId="1" applyNumberFormat="1" applyFont="1" applyFill="1" applyBorder="1" applyAlignment="1" applyProtection="1">
      <alignment horizontal="right" vertical="center"/>
      <protection locked="0"/>
    </xf>
    <xf numFmtId="43" fontId="65" fillId="0" borderId="0" xfId="1" applyNumberFormat="1" applyFont="1" applyFill="1" applyBorder="1" applyAlignment="1" applyProtection="1">
      <alignment horizontal="right" vertical="center"/>
      <protection locked="0"/>
    </xf>
    <xf numFmtId="0" fontId="42" fillId="0" borderId="0" xfId="55" applyBorder="1"/>
    <xf numFmtId="0" fontId="11" fillId="0" borderId="38" xfId="5" applyFont="1" applyFill="1" applyBorder="1">
      <alignment wrapText="1"/>
    </xf>
    <xf numFmtId="0" fontId="11" fillId="0" borderId="37" xfId="5" applyFont="1" applyFill="1" applyBorder="1">
      <alignment wrapText="1"/>
    </xf>
    <xf numFmtId="165" fontId="56" fillId="0" borderId="16" xfId="5" applyNumberFormat="1" applyFont="1" applyFill="1" applyBorder="1" applyAlignment="1">
      <alignment horizontal="right" vertical="top" wrapText="1"/>
    </xf>
    <xf numFmtId="0" fontId="56" fillId="0" borderId="37" xfId="5" applyFont="1" applyFill="1" applyBorder="1" applyAlignment="1">
      <alignment horizontal="right" vertical="top" wrapText="1"/>
    </xf>
    <xf numFmtId="174" fontId="56" fillId="0" borderId="37" xfId="5" applyNumberFormat="1" applyFont="1" applyFill="1" applyBorder="1" applyAlignment="1">
      <alignment horizontal="right" vertical="top" wrapText="1"/>
    </xf>
    <xf numFmtId="0" fontId="56" fillId="0" borderId="39" xfId="5" applyFont="1" applyFill="1" applyBorder="1" applyAlignment="1">
      <alignment horizontal="right" vertical="top" wrapText="1"/>
    </xf>
    <xf numFmtId="0" fontId="69" fillId="0" borderId="31" xfId="0" applyFont="1" applyBorder="1"/>
    <xf numFmtId="0" fontId="70" fillId="0" borderId="37" xfId="7" applyFont="1" applyFill="1" applyBorder="1" applyAlignment="1">
      <alignment vertical="top" wrapText="1"/>
    </xf>
    <xf numFmtId="0" fontId="57" fillId="0" borderId="31" xfId="7" applyFont="1" applyFill="1" applyBorder="1" applyAlignment="1">
      <alignment vertical="center" wrapText="1"/>
    </xf>
    <xf numFmtId="168" fontId="74" fillId="0" borderId="0" xfId="1" applyNumberFormat="1" applyFont="1" applyFill="1" applyBorder="1" applyAlignment="1">
      <alignment vertical="center"/>
    </xf>
    <xf numFmtId="168" fontId="6" fillId="0" borderId="0" xfId="1" applyNumberFormat="1" applyFont="1" applyFill="1" applyBorder="1" applyAlignment="1">
      <alignment vertical="center"/>
    </xf>
    <xf numFmtId="0" fontId="0" fillId="0" borderId="7" xfId="0" applyFont="1" applyBorder="1"/>
    <xf numFmtId="0" fontId="0" fillId="0" borderId="32" xfId="0" applyFont="1" applyBorder="1"/>
    <xf numFmtId="0" fontId="76" fillId="0" borderId="0" xfId="0" applyFont="1" applyFill="1" applyBorder="1" applyAlignment="1">
      <alignment vertical="center"/>
    </xf>
    <xf numFmtId="0" fontId="0" fillId="0" borderId="42" xfId="0" applyFont="1" applyBorder="1"/>
    <xf numFmtId="0" fontId="0" fillId="0" borderId="41" xfId="0" applyFont="1" applyBorder="1"/>
    <xf numFmtId="0" fontId="0" fillId="0" borderId="43" xfId="0" applyBorder="1"/>
    <xf numFmtId="0" fontId="0" fillId="0" borderId="42" xfId="0" applyBorder="1"/>
    <xf numFmtId="0" fontId="73" fillId="0" borderId="38" xfId="0" applyFont="1" applyBorder="1"/>
    <xf numFmtId="0" fontId="73" fillId="0" borderId="7" xfId="0" applyFont="1" applyBorder="1"/>
    <xf numFmtId="0" fontId="0" fillId="0" borderId="43" xfId="0" applyBorder="1" applyAlignment="1">
      <alignment vertical="center"/>
    </xf>
    <xf numFmtId="0" fontId="0" fillId="0" borderId="42" xfId="0" applyBorder="1" applyAlignment="1">
      <alignment vertical="center"/>
    </xf>
    <xf numFmtId="0" fontId="76" fillId="0" borderId="42" xfId="0" applyFont="1" applyBorder="1" applyAlignment="1">
      <alignment vertical="center"/>
    </xf>
    <xf numFmtId="0" fontId="76" fillId="0" borderId="42" xfId="0" applyFont="1" applyFill="1" applyBorder="1" applyAlignment="1">
      <alignment vertical="center"/>
    </xf>
    <xf numFmtId="0" fontId="76" fillId="0" borderId="41" xfId="0" applyFont="1" applyFill="1" applyBorder="1" applyAlignment="1">
      <alignment vertical="center" wrapText="1"/>
    </xf>
    <xf numFmtId="0" fontId="76" fillId="0" borderId="43" xfId="0" applyFont="1" applyFill="1" applyBorder="1" applyAlignment="1">
      <alignment vertical="center"/>
    </xf>
    <xf numFmtId="176" fontId="0" fillId="0" borderId="0" xfId="0" applyNumberFormat="1"/>
    <xf numFmtId="9" fontId="0" fillId="0" borderId="0" xfId="2" applyFont="1"/>
    <xf numFmtId="0" fontId="11" fillId="0" borderId="6" xfId="5" applyFont="1" applyFill="1" applyBorder="1" applyAlignment="1">
      <alignment horizontal="right" vertical="top" wrapText="1"/>
    </xf>
    <xf numFmtId="0" fontId="57" fillId="0" borderId="14" xfId="5" applyFont="1" applyFill="1" applyBorder="1" applyAlignment="1">
      <alignment horizontal="right" wrapText="1"/>
    </xf>
    <xf numFmtId="4" fontId="55" fillId="0" borderId="0" xfId="0" applyNumberFormat="1" applyFont="1"/>
    <xf numFmtId="0" fontId="69" fillId="0" borderId="0" xfId="0" applyFont="1"/>
    <xf numFmtId="2" fontId="16" fillId="0" borderId="0" xfId="5" applyNumberFormat="1" applyFont="1" applyFill="1" applyBorder="1" applyAlignment="1">
      <alignment horizontal="right" vertical="top" wrapText="1"/>
    </xf>
    <xf numFmtId="0" fontId="77" fillId="0" borderId="14" xfId="5" applyFont="1" applyFill="1" applyBorder="1" applyAlignment="1">
      <alignment horizontal="right" wrapText="1"/>
    </xf>
    <xf numFmtId="174" fontId="77" fillId="0" borderId="0" xfId="4" applyNumberFormat="1" applyFont="1" applyBorder="1" applyAlignment="1" applyProtection="1">
      <alignment horizontal="right" vertical="top" wrapText="1" readingOrder="1"/>
      <protection locked="0"/>
    </xf>
    <xf numFmtId="177" fontId="77" fillId="0" borderId="0" xfId="4" applyNumberFormat="1" applyFont="1" applyBorder="1" applyAlignment="1" applyProtection="1">
      <alignment horizontal="right" vertical="top" wrapText="1" readingOrder="1"/>
      <protection locked="0"/>
    </xf>
    <xf numFmtId="177" fontId="77" fillId="0" borderId="0" xfId="5" applyNumberFormat="1" applyFont="1" applyFill="1" applyBorder="1" applyAlignment="1">
      <alignment horizontal="right" vertical="top" wrapText="1"/>
    </xf>
    <xf numFmtId="0" fontId="77" fillId="0" borderId="0" xfId="5" applyNumberFormat="1" applyFont="1" applyFill="1" applyBorder="1" applyAlignment="1">
      <alignment horizontal="right" vertical="top" wrapText="1"/>
    </xf>
    <xf numFmtId="0" fontId="77" fillId="0" borderId="0" xfId="5" applyFont="1" applyFill="1" applyBorder="1" applyAlignment="1">
      <alignment horizontal="right" vertical="top" wrapText="1"/>
    </xf>
    <xf numFmtId="174" fontId="77" fillId="0" borderId="0" xfId="4" applyNumberFormat="1" applyFont="1" applyAlignment="1" applyProtection="1">
      <alignment horizontal="right" vertical="top" wrapText="1" readingOrder="1"/>
      <protection locked="0"/>
    </xf>
    <xf numFmtId="0" fontId="58" fillId="0" borderId="6" xfId="0" applyFont="1" applyBorder="1"/>
    <xf numFmtId="0" fontId="58" fillId="0" borderId="36" xfId="0" applyFont="1" applyBorder="1"/>
    <xf numFmtId="0" fontId="59" fillId="0" borderId="31" xfId="0" applyFont="1" applyBorder="1"/>
    <xf numFmtId="2" fontId="58" fillId="0" borderId="6" xfId="0" applyNumberFormat="1" applyFont="1" applyBorder="1"/>
    <xf numFmtId="2" fontId="58" fillId="0" borderId="7" xfId="0" applyNumberFormat="1" applyFont="1" applyBorder="1"/>
    <xf numFmtId="2" fontId="65" fillId="0" borderId="7" xfId="0" applyNumberFormat="1" applyFont="1" applyFill="1" applyBorder="1" applyAlignment="1">
      <alignment horizontal="right" vertical="center" wrapText="1"/>
    </xf>
    <xf numFmtId="0" fontId="53" fillId="0" borderId="72" xfId="0" applyNumberFormat="1" applyFont="1" applyFill="1" applyBorder="1" applyAlignment="1">
      <alignment horizontal="center" vertical="center" wrapText="1"/>
    </xf>
    <xf numFmtId="0" fontId="58" fillId="0" borderId="9" xfId="0" applyFont="1" applyBorder="1"/>
    <xf numFmtId="168" fontId="59" fillId="0" borderId="9" xfId="0" applyNumberFormat="1" applyFont="1" applyBorder="1" applyAlignment="1">
      <alignment vertical="center"/>
    </xf>
    <xf numFmtId="168" fontId="59" fillId="0" borderId="74" xfId="0" applyNumberFormat="1" applyFont="1" applyBorder="1" applyAlignment="1">
      <alignment vertical="center"/>
    </xf>
    <xf numFmtId="0" fontId="53" fillId="0" borderId="76" xfId="0" applyNumberFormat="1" applyFont="1" applyFill="1" applyBorder="1" applyAlignment="1">
      <alignment horizontal="center" vertical="center" wrapText="1"/>
    </xf>
    <xf numFmtId="0" fontId="76" fillId="0" borderId="7" xfId="0" applyFont="1" applyBorder="1" applyAlignment="1">
      <alignment vertical="center"/>
    </xf>
    <xf numFmtId="0" fontId="76" fillId="0" borderId="7" xfId="0" applyFont="1" applyFill="1" applyBorder="1" applyAlignment="1">
      <alignment vertical="center"/>
    </xf>
    <xf numFmtId="168" fontId="75" fillId="0" borderId="79" xfId="1" applyNumberFormat="1" applyFont="1" applyFill="1" applyBorder="1" applyAlignment="1">
      <alignment vertical="center"/>
    </xf>
    <xf numFmtId="0" fontId="71" fillId="0" borderId="43" xfId="0" applyFont="1" applyBorder="1" applyAlignment="1">
      <alignment horizontal="center"/>
    </xf>
    <xf numFmtId="0" fontId="0" fillId="0" borderId="81" xfId="0" applyBorder="1"/>
    <xf numFmtId="0" fontId="0" fillId="0" borderId="61" xfId="0" applyBorder="1"/>
    <xf numFmtId="0" fontId="0" fillId="0" borderId="10" xfId="0" applyBorder="1"/>
    <xf numFmtId="0" fontId="77" fillId="0" borderId="82" xfId="5" applyFont="1" applyFill="1" applyBorder="1" applyAlignment="1">
      <alignment horizontal="left"/>
    </xf>
    <xf numFmtId="0" fontId="55" fillId="0" borderId="11" xfId="0" applyFont="1" applyBorder="1"/>
    <xf numFmtId="0" fontId="0" fillId="0" borderId="12" xfId="0" applyBorder="1"/>
    <xf numFmtId="0" fontId="0" fillId="0" borderId="13" xfId="0" applyBorder="1"/>
    <xf numFmtId="0" fontId="4" fillId="0" borderId="59" xfId="0" applyFont="1" applyBorder="1"/>
    <xf numFmtId="0" fontId="80" fillId="0" borderId="0" xfId="0" applyFont="1" applyBorder="1"/>
    <xf numFmtId="0" fontId="5" fillId="0" borderId="7" xfId="3" applyFont="1" applyBorder="1" applyAlignment="1" applyProtection="1"/>
    <xf numFmtId="0" fontId="0" fillId="27" borderId="7" xfId="0" applyFill="1" applyBorder="1"/>
    <xf numFmtId="0" fontId="0" fillId="27" borderId="0" xfId="0" applyFill="1"/>
    <xf numFmtId="174" fontId="57" fillId="0" borderId="0" xfId="4" applyNumberFormat="1" applyFont="1" applyBorder="1" applyAlignment="1" applyProtection="1">
      <alignment horizontal="right" vertical="top" wrapText="1" readingOrder="1"/>
      <protection locked="0"/>
    </xf>
    <xf numFmtId="177" fontId="57" fillId="0" borderId="0" xfId="4" applyNumberFormat="1" applyFont="1" applyBorder="1" applyAlignment="1" applyProtection="1">
      <alignment horizontal="right" vertical="top" wrapText="1" readingOrder="1"/>
      <protection locked="0"/>
    </xf>
    <xf numFmtId="0" fontId="57" fillId="0" borderId="0" xfId="5" applyNumberFormat="1" applyFont="1" applyFill="1" applyBorder="1" applyAlignment="1">
      <alignment horizontal="right" vertical="top" wrapText="1"/>
    </xf>
    <xf numFmtId="0" fontId="57" fillId="0" borderId="0" xfId="5" applyFont="1" applyFill="1" applyBorder="1" applyAlignment="1">
      <alignment horizontal="right" vertical="top" wrapText="1"/>
    </xf>
    <xf numFmtId="174" fontId="57" fillId="0" borderId="0" xfId="4" applyNumberFormat="1" applyFont="1" applyAlignment="1" applyProtection="1">
      <alignment horizontal="right" vertical="top" wrapText="1" readingOrder="1"/>
      <protection locked="0"/>
    </xf>
    <xf numFmtId="2" fontId="57" fillId="0" borderId="0" xfId="5" applyNumberFormat="1" applyFont="1" applyFill="1" applyBorder="1" applyAlignment="1">
      <alignment horizontal="right" vertical="top" wrapText="1"/>
    </xf>
    <xf numFmtId="0" fontId="4" fillId="27" borderId="0" xfId="0" applyFont="1" applyFill="1"/>
    <xf numFmtId="0" fontId="0" fillId="0" borderId="46" xfId="0" applyBorder="1"/>
    <xf numFmtId="178" fontId="0" fillId="0" borderId="0" xfId="0" applyNumberFormat="1"/>
    <xf numFmtId="2" fontId="0" fillId="0" borderId="0" xfId="0" applyNumberFormat="1"/>
    <xf numFmtId="169" fontId="0" fillId="0" borderId="0" xfId="0" applyNumberFormat="1"/>
    <xf numFmtId="169" fontId="82" fillId="0" borderId="0" xfId="55" applyNumberFormat="1" applyFont="1" applyBorder="1"/>
    <xf numFmtId="169" fontId="62" fillId="0" borderId="0" xfId="0" applyNumberFormat="1" applyFont="1"/>
    <xf numFmtId="0" fontId="57" fillId="0" borderId="37" xfId="5" applyFont="1" applyFill="1" applyBorder="1" applyAlignment="1">
      <alignment horizontal="center" vertical="center" wrapText="1"/>
    </xf>
    <xf numFmtId="0" fontId="11" fillId="0" borderId="37" xfId="5" applyFont="1" applyFill="1" applyBorder="1" applyAlignment="1">
      <alignment horizontal="center" vertical="center" wrapText="1"/>
    </xf>
    <xf numFmtId="9" fontId="56" fillId="0" borderId="0" xfId="2" applyFont="1" applyFill="1" applyBorder="1" applyAlignment="1">
      <alignment horizontal="right" vertical="top" wrapText="1"/>
    </xf>
    <xf numFmtId="179" fontId="56" fillId="0" borderId="0" xfId="2" applyNumberFormat="1" applyFont="1" applyFill="1" applyBorder="1" applyAlignment="1">
      <alignment horizontal="right" vertical="top" wrapText="1"/>
    </xf>
    <xf numFmtId="0" fontId="71" fillId="0" borderId="81" xfId="0" applyFont="1" applyBorder="1" applyAlignment="1">
      <alignment horizontal="center"/>
    </xf>
    <xf numFmtId="0" fontId="0" fillId="0" borderId="36" xfId="0" applyBorder="1"/>
    <xf numFmtId="0" fontId="0" fillId="0" borderId="6" xfId="0" applyBorder="1"/>
    <xf numFmtId="0" fontId="71" fillId="0" borderId="7" xfId="0" applyFont="1" applyBorder="1" applyAlignment="1">
      <alignment horizontal="center" wrapText="1"/>
    </xf>
    <xf numFmtId="43" fontId="58" fillId="0" borderId="0" xfId="0" applyNumberFormat="1" applyFont="1" applyBorder="1"/>
    <xf numFmtId="0" fontId="4" fillId="0" borderId="44" xfId="0" applyFont="1" applyBorder="1"/>
    <xf numFmtId="2" fontId="69" fillId="0" borderId="0" xfId="0" applyNumberFormat="1" applyFont="1"/>
    <xf numFmtId="168" fontId="69" fillId="0" borderId="0" xfId="1" applyNumberFormat="1" applyFont="1"/>
    <xf numFmtId="9" fontId="69" fillId="0" borderId="0" xfId="2" applyFont="1"/>
    <xf numFmtId="0" fontId="69" fillId="0" borderId="44" xfId="0" applyFont="1" applyBorder="1"/>
    <xf numFmtId="0" fontId="69" fillId="0" borderId="80" xfId="0" applyFont="1" applyBorder="1"/>
    <xf numFmtId="0" fontId="69" fillId="0" borderId="45" xfId="0" applyFont="1" applyBorder="1"/>
    <xf numFmtId="2" fontId="69" fillId="0" borderId="83" xfId="0" applyNumberFormat="1" applyFont="1" applyBorder="1"/>
    <xf numFmtId="0" fontId="83" fillId="0" borderId="0" xfId="0" applyFont="1"/>
    <xf numFmtId="43" fontId="65" fillId="0" borderId="6" xfId="1" applyNumberFormat="1" applyFont="1" applyFill="1" applyBorder="1" applyAlignment="1" applyProtection="1">
      <alignment horizontal="right" vertical="center"/>
      <protection locked="0"/>
    </xf>
    <xf numFmtId="0" fontId="10" fillId="0" borderId="0" xfId="57" applyFont="1" applyBorder="1" applyAlignment="1">
      <alignment horizontal="left"/>
    </xf>
    <xf numFmtId="177" fontId="56" fillId="0" borderId="37" xfId="5" applyNumberFormat="1" applyFont="1" applyFill="1" applyBorder="1" applyAlignment="1">
      <alignment horizontal="right" vertical="top" wrapText="1"/>
    </xf>
    <xf numFmtId="180" fontId="42" fillId="0" borderId="0" xfId="55" applyNumberFormat="1" applyBorder="1"/>
    <xf numFmtId="181" fontId="42" fillId="0" borderId="0" xfId="55" applyNumberFormat="1" applyBorder="1"/>
    <xf numFmtId="0" fontId="46" fillId="0" borderId="31" xfId="55" applyFont="1" applyBorder="1" applyAlignment="1">
      <alignment horizontal="center" wrapText="1"/>
    </xf>
    <xf numFmtId="0" fontId="42" fillId="0" borderId="31" xfId="55" applyBorder="1" applyAlignment="1">
      <alignment horizontal="center" wrapText="1"/>
    </xf>
    <xf numFmtId="0" fontId="42" fillId="0" borderId="36" xfId="55" applyBorder="1"/>
    <xf numFmtId="166" fontId="42" fillId="0" borderId="38" xfId="55" applyNumberFormat="1" applyBorder="1"/>
    <xf numFmtId="0" fontId="42" fillId="0" borderId="39" xfId="55" applyBorder="1"/>
    <xf numFmtId="9" fontId="42" fillId="0" borderId="32" xfId="2" applyFont="1" applyBorder="1"/>
    <xf numFmtId="0" fontId="54" fillId="0" borderId="12" xfId="5" applyFont="1" applyBorder="1" applyAlignment="1">
      <alignment vertical="top" wrapText="1"/>
    </xf>
    <xf numFmtId="9" fontId="54" fillId="0" borderId="12" xfId="2" applyFont="1" applyBorder="1" applyAlignment="1">
      <alignment vertical="top" wrapText="1"/>
    </xf>
    <xf numFmtId="0" fontId="58" fillId="0" borderId="0" xfId="0" applyFont="1" applyFill="1" applyBorder="1"/>
    <xf numFmtId="0" fontId="58" fillId="0" borderId="44" xfId="0" applyFont="1" applyFill="1" applyBorder="1"/>
    <xf numFmtId="9" fontId="55" fillId="0" borderId="0" xfId="2" applyFont="1"/>
    <xf numFmtId="0" fontId="57" fillId="0" borderId="14" xfId="5" applyFont="1" applyFill="1" applyBorder="1" applyAlignment="1">
      <alignment horizontal="center" vertical="center" wrapText="1"/>
    </xf>
    <xf numFmtId="9" fontId="0" fillId="0" borderId="0" xfId="0" applyNumberFormat="1"/>
    <xf numFmtId="9" fontId="13" fillId="0" borderId="37" xfId="2" applyFont="1" applyFill="1" applyBorder="1" applyAlignment="1">
      <alignment horizontal="right" vertical="top" wrapText="1"/>
    </xf>
    <xf numFmtId="173" fontId="0" fillId="0" borderId="0" xfId="0" applyNumberFormat="1"/>
    <xf numFmtId="9" fontId="5" fillId="0" borderId="0" xfId="2" applyFont="1" applyFill="1" applyBorder="1" applyAlignment="1" applyProtection="1">
      <alignment horizontal="right" vertical="center"/>
      <protection locked="0"/>
    </xf>
    <xf numFmtId="9" fontId="11" fillId="0" borderId="0" xfId="2" applyFont="1" applyFill="1" applyBorder="1" applyAlignment="1">
      <alignment vertical="center" wrapText="1"/>
    </xf>
    <xf numFmtId="9" fontId="16" fillId="0" borderId="0" xfId="2" applyFont="1" applyFill="1" applyBorder="1" applyAlignment="1">
      <alignment vertical="center" wrapText="1"/>
    </xf>
    <xf numFmtId="9" fontId="13" fillId="0" borderId="0" xfId="2" applyFont="1" applyFill="1" applyBorder="1" applyAlignment="1">
      <alignment horizontal="right" vertical="top" wrapText="1"/>
    </xf>
    <xf numFmtId="10" fontId="69" fillId="0" borderId="0" xfId="2" applyNumberFormat="1" applyFont="1"/>
    <xf numFmtId="39" fontId="69" fillId="0" borderId="0" xfId="1" applyNumberFormat="1" applyFont="1"/>
    <xf numFmtId="39" fontId="69" fillId="0" borderId="44" xfId="1" applyNumberFormat="1" applyFont="1" applyBorder="1"/>
    <xf numFmtId="0" fontId="4" fillId="27" borderId="7" xfId="0" applyFont="1" applyFill="1" applyBorder="1" applyAlignment="1">
      <alignment horizontal="center" vertical="center"/>
    </xf>
    <xf numFmtId="0" fontId="76" fillId="27" borderId="0" xfId="0" applyFont="1" applyFill="1" applyBorder="1"/>
    <xf numFmtId="0" fontId="69" fillId="27" borderId="0" xfId="0" applyFont="1" applyFill="1" applyBorder="1"/>
    <xf numFmtId="0" fontId="0" fillId="27" borderId="0" xfId="0" applyFill="1" applyBorder="1"/>
    <xf numFmtId="0" fontId="3" fillId="0" borderId="0" xfId="0" applyFont="1" applyBorder="1"/>
    <xf numFmtId="0" fontId="0" fillId="0" borderId="37" xfId="0" applyBorder="1" applyAlignment="1">
      <alignment wrapText="1"/>
    </xf>
    <xf numFmtId="0" fontId="3" fillId="0" borderId="37" xfId="0" applyFont="1" applyBorder="1" applyAlignment="1">
      <alignment wrapText="1"/>
    </xf>
    <xf numFmtId="3" fontId="0" fillId="0" borderId="7" xfId="0" applyNumberFormat="1" applyBorder="1"/>
    <xf numFmtId="0" fontId="4" fillId="0" borderId="6" xfId="0" applyFont="1" applyBorder="1"/>
    <xf numFmtId="0" fontId="4" fillId="0" borderId="39" xfId="0" applyFont="1" applyBorder="1"/>
    <xf numFmtId="9" fontId="4" fillId="0" borderId="31" xfId="2" applyFont="1" applyBorder="1"/>
    <xf numFmtId="0" fontId="4" fillId="0" borderId="32" xfId="0" applyFont="1" applyBorder="1"/>
    <xf numFmtId="0" fontId="0" fillId="0" borderId="87" xfId="0" applyBorder="1"/>
    <xf numFmtId="0" fontId="0" fillId="0" borderId="88" xfId="0" applyBorder="1"/>
    <xf numFmtId="0" fontId="0" fillId="0" borderId="89" xfId="0" applyBorder="1"/>
    <xf numFmtId="0" fontId="4" fillId="0" borderId="36" xfId="0" applyFont="1" applyBorder="1"/>
    <xf numFmtId="0" fontId="4" fillId="0" borderId="37" xfId="0" applyFont="1" applyBorder="1"/>
    <xf numFmtId="165" fontId="4" fillId="0" borderId="38" xfId="0" applyNumberFormat="1" applyFont="1" applyBorder="1"/>
    <xf numFmtId="0" fontId="0" fillId="0" borderId="38" xfId="0" applyBorder="1"/>
    <xf numFmtId="0" fontId="0" fillId="0" borderId="19" xfId="0" applyBorder="1"/>
    <xf numFmtId="0" fontId="0" fillId="0" borderId="36" xfId="0" applyBorder="1" applyAlignment="1">
      <alignment wrapText="1"/>
    </xf>
    <xf numFmtId="0" fontId="0" fillId="0" borderId="80" xfId="0" applyBorder="1"/>
    <xf numFmtId="0" fontId="0" fillId="0" borderId="83" xfId="0" applyBorder="1"/>
    <xf numFmtId="0" fontId="3" fillId="0" borderId="6" xfId="0" applyFont="1" applyBorder="1"/>
    <xf numFmtId="9" fontId="4" fillId="0" borderId="39" xfId="2" applyFont="1" applyBorder="1"/>
    <xf numFmtId="0" fontId="0" fillId="0" borderId="84" xfId="0" applyBorder="1"/>
    <xf numFmtId="0" fontId="4" fillId="0" borderId="38" xfId="0" applyFont="1" applyBorder="1"/>
    <xf numFmtId="0" fontId="0" fillId="0" borderId="38" xfId="0" applyBorder="1" applyAlignment="1">
      <alignment vertical="top" wrapText="1"/>
    </xf>
    <xf numFmtId="0" fontId="59" fillId="0" borderId="0" xfId="0" applyFont="1" applyBorder="1"/>
    <xf numFmtId="168" fontId="58" fillId="0" borderId="39" xfId="1" applyNumberFormat="1" applyFont="1" applyBorder="1"/>
    <xf numFmtId="37" fontId="58" fillId="0" borderId="0" xfId="0" applyNumberFormat="1" applyFont="1" applyBorder="1"/>
    <xf numFmtId="1" fontId="58" fillId="0" borderId="6" xfId="0" applyNumberFormat="1" applyFont="1" applyBorder="1"/>
    <xf numFmtId="168" fontId="58" fillId="0" borderId="0" xfId="0" applyNumberFormat="1" applyFont="1" applyBorder="1"/>
    <xf numFmtId="168" fontId="66" fillId="0" borderId="6" xfId="0" applyNumberFormat="1" applyFont="1" applyBorder="1"/>
    <xf numFmtId="168" fontId="66" fillId="0" borderId="0" xfId="1" applyNumberFormat="1" applyFont="1" applyFill="1" applyBorder="1" applyAlignment="1" applyProtection="1">
      <alignment horizontal="right" vertical="center"/>
      <protection locked="0"/>
    </xf>
    <xf numFmtId="168" fontId="66" fillId="0" borderId="31" xfId="1" applyNumberFormat="1" applyFont="1" applyFill="1" applyBorder="1" applyAlignment="1" applyProtection="1">
      <alignment horizontal="right" vertical="center"/>
      <protection locked="0"/>
    </xf>
    <xf numFmtId="0" fontId="0" fillId="0" borderId="0" xfId="0" applyAlignment="1">
      <alignment wrapText="1"/>
    </xf>
    <xf numFmtId="0" fontId="86" fillId="0" borderId="0" xfId="0" applyFont="1" applyAlignment="1">
      <alignment wrapText="1"/>
    </xf>
    <xf numFmtId="0" fontId="0" fillId="0" borderId="90" xfId="0" applyBorder="1" applyAlignment="1">
      <alignment wrapText="1"/>
    </xf>
    <xf numFmtId="0" fontId="87" fillId="0" borderId="0" xfId="0" applyFont="1" applyAlignment="1">
      <alignment wrapText="1"/>
    </xf>
    <xf numFmtId="0" fontId="87" fillId="0" borderId="90" xfId="0" applyFont="1" applyBorder="1" applyAlignment="1">
      <alignment wrapText="1"/>
    </xf>
    <xf numFmtId="0" fontId="0" fillId="0" borderId="90" xfId="0" applyBorder="1" applyAlignment="1">
      <alignment vertical="top" wrapText="1"/>
    </xf>
    <xf numFmtId="0" fontId="86" fillId="0" borderId="0" xfId="0" applyFont="1" applyAlignment="1">
      <alignment vertical="top" wrapText="1"/>
    </xf>
    <xf numFmtId="0" fontId="0" fillId="0" borderId="0" xfId="0" applyAlignment="1">
      <alignment vertical="top"/>
    </xf>
    <xf numFmtId="0" fontId="7" fillId="0" borderId="0" xfId="3" applyAlignment="1" applyProtection="1">
      <alignment vertical="top"/>
    </xf>
    <xf numFmtId="43" fontId="5" fillId="0" borderId="0" xfId="1" applyNumberFormat="1" applyFont="1" applyFill="1" applyBorder="1" applyAlignment="1" applyProtection="1">
      <alignment horizontal="right" vertical="center"/>
      <protection locked="0"/>
    </xf>
    <xf numFmtId="0" fontId="86" fillId="2" borderId="0" xfId="0" applyFont="1" applyFill="1" applyAlignment="1">
      <alignment vertical="top" wrapText="1"/>
    </xf>
    <xf numFmtId="0" fontId="86" fillId="29" borderId="0" xfId="0" applyFont="1" applyFill="1" applyAlignment="1">
      <alignment vertical="top" wrapText="1"/>
    </xf>
    <xf numFmtId="168" fontId="5" fillId="0" borderId="31" xfId="1" applyNumberFormat="1" applyFont="1" applyFill="1" applyBorder="1" applyAlignment="1" applyProtection="1">
      <alignment horizontal="right" vertical="center"/>
      <protection locked="0"/>
    </xf>
    <xf numFmtId="43" fontId="5" fillId="0" borderId="6" xfId="1" applyNumberFormat="1" applyFont="1" applyFill="1" applyBorder="1" applyAlignment="1" applyProtection="1">
      <alignment horizontal="right" vertical="center"/>
      <protection locked="0"/>
    </xf>
    <xf numFmtId="168" fontId="58" fillId="0" borderId="6" xfId="0" applyNumberFormat="1" applyFont="1" applyBorder="1" applyAlignment="1">
      <alignment vertical="center"/>
    </xf>
    <xf numFmtId="0" fontId="58" fillId="0" borderId="0" xfId="0" applyFont="1" applyBorder="1" applyAlignment="1">
      <alignment horizontal="center"/>
    </xf>
    <xf numFmtId="168" fontId="58" fillId="0" borderId="31" xfId="1" applyNumberFormat="1" applyFont="1" applyBorder="1"/>
    <xf numFmtId="168" fontId="58" fillId="0" borderId="31" xfId="0" applyNumberFormat="1" applyFont="1" applyBorder="1"/>
    <xf numFmtId="0" fontId="86" fillId="28" borderId="0" xfId="0" applyFont="1" applyFill="1" applyAlignment="1">
      <alignment vertical="top" wrapText="1"/>
    </xf>
    <xf numFmtId="0" fontId="8" fillId="0" borderId="0" xfId="46" applyFont="1" applyAlignment="1"/>
    <xf numFmtId="182" fontId="8" fillId="0" borderId="0" xfId="46" applyNumberFormat="1" applyFont="1" applyBorder="1" applyAlignment="1">
      <alignment horizontal="center"/>
    </xf>
    <xf numFmtId="0" fontId="8" fillId="0" borderId="0" xfId="46" applyFont="1" applyBorder="1" applyAlignment="1">
      <alignment horizontal="center" vertical="center"/>
    </xf>
    <xf numFmtId="0" fontId="8" fillId="0" borderId="0" xfId="46" applyFont="1" applyBorder="1" applyAlignment="1">
      <alignment vertical="center"/>
    </xf>
    <xf numFmtId="0" fontId="10" fillId="0" borderId="0" xfId="46" applyFont="1" applyBorder="1" applyAlignment="1">
      <alignment horizontal="center" wrapText="1"/>
    </xf>
    <xf numFmtId="10" fontId="8" fillId="0" borderId="0" xfId="51" applyNumberFormat="1" applyFont="1" applyBorder="1" applyAlignment="1"/>
    <xf numFmtId="0" fontId="8" fillId="0" borderId="103" xfId="46" applyFont="1" applyBorder="1" applyAlignment="1">
      <alignment horizontal="center" vertical="center"/>
    </xf>
    <xf numFmtId="0" fontId="8" fillId="0" borderId="105" xfId="46" applyFont="1" applyBorder="1" applyAlignment="1">
      <alignment horizontal="center" vertical="center"/>
    </xf>
    <xf numFmtId="9" fontId="8" fillId="0" borderId="109" xfId="51" applyNumberFormat="1" applyFont="1" applyFill="1" applyBorder="1" applyAlignment="1"/>
    <xf numFmtId="9" fontId="8" fillId="0" borderId="61" xfId="51" applyNumberFormat="1" applyFont="1" applyFill="1" applyBorder="1" applyAlignment="1"/>
    <xf numFmtId="9" fontId="8" fillId="0" borderId="9" xfId="51" applyNumberFormat="1" applyFont="1" applyFill="1" applyBorder="1" applyAlignment="1"/>
    <xf numFmtId="9" fontId="8" fillId="0" borderId="7" xfId="51" applyNumberFormat="1" applyFont="1" applyFill="1" applyBorder="1" applyAlignment="1"/>
    <xf numFmtId="9" fontId="8" fillId="0" borderId="10" xfId="51" applyNumberFormat="1" applyFont="1" applyFill="1" applyBorder="1" applyAlignment="1"/>
    <xf numFmtId="0" fontId="8" fillId="0" borderId="0" xfId="46" applyFont="1" applyBorder="1" applyAlignment="1">
      <alignment horizontal="center" vertical="center" wrapText="1"/>
    </xf>
    <xf numFmtId="9" fontId="8" fillId="0" borderId="107" xfId="51" applyNumberFormat="1" applyFont="1" applyFill="1" applyBorder="1" applyAlignment="1"/>
    <xf numFmtId="9" fontId="8" fillId="0" borderId="105" xfId="51" applyNumberFormat="1" applyFont="1" applyFill="1" applyBorder="1" applyAlignment="1"/>
    <xf numFmtId="182" fontId="8" fillId="0" borderId="0" xfId="46" applyNumberFormat="1" applyFont="1" applyBorder="1" applyAlignment="1">
      <alignment horizontal="center" vertical="center" wrapText="1"/>
    </xf>
    <xf numFmtId="0" fontId="8" fillId="0" borderId="0" xfId="46" applyFont="1" applyBorder="1" applyAlignment="1"/>
    <xf numFmtId="10" fontId="8" fillId="0" borderId="0" xfId="51" applyNumberFormat="1" applyFont="1" applyBorder="1" applyAlignment="1">
      <alignment horizontal="right"/>
    </xf>
    <xf numFmtId="182" fontId="8" fillId="0" borderId="0" xfId="51" applyNumberFormat="1" applyFont="1" applyBorder="1" applyAlignment="1"/>
    <xf numFmtId="182" fontId="107" fillId="0" borderId="0" xfId="46" applyNumberFormat="1" applyFont="1" applyFill="1" applyBorder="1" applyAlignment="1">
      <alignment horizontal="right" vertical="center"/>
    </xf>
    <xf numFmtId="182" fontId="108" fillId="0" borderId="0" xfId="46" applyNumberFormat="1" applyFont="1" applyBorder="1" applyAlignment="1"/>
    <xf numFmtId="0" fontId="8" fillId="0" borderId="0" xfId="46" applyFont="1">
      <alignment vertical="center"/>
    </xf>
    <xf numFmtId="0" fontId="8" fillId="0" borderId="0" xfId="46" applyFont="1" applyBorder="1">
      <alignment vertical="center"/>
    </xf>
    <xf numFmtId="0" fontId="8" fillId="0" borderId="0" xfId="46" applyFont="1" applyFill="1" applyBorder="1">
      <alignment vertical="center"/>
    </xf>
    <xf numFmtId="0" fontId="8" fillId="0" borderId="9" xfId="46" applyFont="1" applyBorder="1" applyAlignment="1">
      <alignment horizontal="right" vertical="center"/>
    </xf>
    <xf numFmtId="0" fontId="8" fillId="0" borderId="9" xfId="46" applyFont="1" applyBorder="1">
      <alignment vertical="center"/>
    </xf>
    <xf numFmtId="165" fontId="8" fillId="0" borderId="0" xfId="46" applyNumberFormat="1" applyFont="1" applyFill="1" applyBorder="1" applyAlignment="1">
      <alignment vertical="center"/>
    </xf>
    <xf numFmtId="1" fontId="8" fillId="0" borderId="0" xfId="46" applyNumberFormat="1" applyFont="1" applyFill="1" applyBorder="1">
      <alignment vertical="center"/>
    </xf>
    <xf numFmtId="0" fontId="8" fillId="0" borderId="0" xfId="46" applyFont="1" applyFill="1">
      <alignment vertical="center"/>
    </xf>
    <xf numFmtId="0" fontId="52" fillId="0" borderId="0" xfId="0" applyFont="1"/>
    <xf numFmtId="2" fontId="10" fillId="0" borderId="0" xfId="46" applyNumberFormat="1" applyFont="1" applyFill="1" applyBorder="1" applyAlignment="1">
      <alignment horizontal="center" vertical="center" wrapText="1"/>
    </xf>
    <xf numFmtId="0" fontId="111" fillId="0" borderId="0" xfId="46" applyFont="1" applyFill="1" applyBorder="1" applyAlignment="1">
      <alignment vertical="center"/>
    </xf>
    <xf numFmtId="184" fontId="8" fillId="0" borderId="0" xfId="34" applyNumberFormat="1" applyFont="1" applyBorder="1" applyAlignment="1">
      <alignment vertical="center"/>
    </xf>
    <xf numFmtId="168" fontId="8" fillId="0" borderId="0" xfId="46" applyNumberFormat="1" applyFont="1" applyBorder="1">
      <alignment vertical="center"/>
    </xf>
    <xf numFmtId="0" fontId="111" fillId="0" borderId="0" xfId="46" applyFont="1" applyFill="1" applyBorder="1" applyAlignment="1">
      <alignment horizontal="center" vertical="center" wrapText="1"/>
    </xf>
    <xf numFmtId="165" fontId="8" fillId="0" borderId="0" xfId="46" applyNumberFormat="1" applyFont="1" applyBorder="1">
      <alignment vertical="center"/>
    </xf>
    <xf numFmtId="0" fontId="8" fillId="0" borderId="59" xfId="46" applyFont="1" applyFill="1" applyBorder="1" applyAlignment="1">
      <alignment horizontal="right" wrapText="1"/>
    </xf>
    <xf numFmtId="0" fontId="8" fillId="0" borderId="9" xfId="46" applyFont="1" applyFill="1" applyBorder="1" applyAlignment="1">
      <alignment horizontal="right" wrapText="1"/>
    </xf>
    <xf numFmtId="0" fontId="8" fillId="0" borderId="104" xfId="46" applyFont="1" applyFill="1" applyBorder="1" applyAlignment="1">
      <alignment horizontal="right" wrapText="1"/>
    </xf>
    <xf numFmtId="0" fontId="8" fillId="0" borderId="71" xfId="46" applyFont="1" applyFill="1" applyBorder="1" applyAlignment="1">
      <alignment horizontal="right" wrapText="1"/>
    </xf>
    <xf numFmtId="182" fontId="8" fillId="0" borderId="59" xfId="51" applyNumberFormat="1" applyFont="1" applyFill="1" applyBorder="1" applyAlignment="1"/>
    <xf numFmtId="182" fontId="8" fillId="0" borderId="104" xfId="51" applyNumberFormat="1" applyFont="1" applyFill="1" applyBorder="1" applyAlignment="1"/>
    <xf numFmtId="182" fontId="8" fillId="0" borderId="102" xfId="51" applyNumberFormat="1" applyFont="1" applyFill="1" applyBorder="1" applyAlignment="1"/>
    <xf numFmtId="182" fontId="8" fillId="0" borderId="6" xfId="51" applyNumberFormat="1" applyFont="1" applyFill="1" applyBorder="1" applyAlignment="1"/>
    <xf numFmtId="182" fontId="8" fillId="0" borderId="110" xfId="51" applyNumberFormat="1" applyFont="1" applyFill="1" applyBorder="1" applyAlignment="1"/>
    <xf numFmtId="182" fontId="8" fillId="0" borderId="9" xfId="51" applyNumberFormat="1" applyFont="1" applyBorder="1" applyAlignment="1"/>
    <xf numFmtId="182" fontId="8" fillId="0" borderId="6" xfId="51" applyNumberFormat="1" applyFont="1" applyBorder="1" applyAlignment="1"/>
    <xf numFmtId="182" fontId="8" fillId="0" borderId="7" xfId="51" applyNumberFormat="1" applyFont="1" applyBorder="1" applyAlignment="1"/>
    <xf numFmtId="182" fontId="8" fillId="0" borderId="10" xfId="51" applyNumberFormat="1" applyFont="1" applyBorder="1" applyAlignment="1"/>
    <xf numFmtId="182" fontId="8" fillId="0" borderId="104" xfId="51" applyNumberFormat="1" applyFont="1" applyBorder="1" applyAlignment="1"/>
    <xf numFmtId="182" fontId="8" fillId="0" borderId="106" xfId="51" applyNumberFormat="1" applyFont="1" applyBorder="1" applyAlignment="1"/>
    <xf numFmtId="182" fontId="8" fillId="0" borderId="110" xfId="51" applyNumberFormat="1" applyFont="1" applyBorder="1" applyAlignment="1"/>
    <xf numFmtId="182" fontId="8" fillId="0" borderId="107" xfId="51" applyNumberFormat="1" applyFont="1" applyBorder="1" applyAlignment="1"/>
    <xf numFmtId="182" fontId="8" fillId="0" borderId="105" xfId="51" applyNumberFormat="1" applyFont="1" applyBorder="1" applyAlignment="1"/>
    <xf numFmtId="0" fontId="65" fillId="0" borderId="0" xfId="0" applyNumberFormat="1" applyFont="1" applyFill="1" applyBorder="1" applyAlignment="1">
      <alignment horizontal="right" vertical="center" wrapText="1"/>
    </xf>
    <xf numFmtId="0" fontId="62" fillId="0" borderId="0" xfId="0" applyFont="1" applyBorder="1" applyAlignment="1">
      <alignment horizontal="center"/>
    </xf>
    <xf numFmtId="43" fontId="5" fillId="0" borderId="31" xfId="1" applyNumberFormat="1" applyFont="1" applyFill="1" applyBorder="1" applyAlignment="1" applyProtection="1">
      <alignment horizontal="right" vertical="center"/>
      <protection locked="0"/>
    </xf>
    <xf numFmtId="0" fontId="9" fillId="27" borderId="111" xfId="0" applyFont="1" applyFill="1" applyBorder="1" applyAlignment="1">
      <alignment horizontal="center" vertical="center"/>
    </xf>
    <xf numFmtId="168" fontId="0" fillId="0" borderId="0" xfId="1" applyNumberFormat="1" applyFont="1" applyBorder="1"/>
    <xf numFmtId="0" fontId="0" fillId="0" borderId="109" xfId="0" applyBorder="1" applyAlignment="1">
      <alignment horizontal="center"/>
    </xf>
    <xf numFmtId="0" fontId="8" fillId="0" borderId="0" xfId="46" applyFont="1" applyFill="1" applyBorder="1" applyAlignment="1">
      <alignment horizontal="right" wrapText="1"/>
    </xf>
    <xf numFmtId="168" fontId="0" fillId="0" borderId="0" xfId="0" applyNumberFormat="1"/>
    <xf numFmtId="0" fontId="58" fillId="0" borderId="81" xfId="0" applyFont="1" applyBorder="1" applyAlignment="1">
      <alignment horizontal="center"/>
    </xf>
    <xf numFmtId="0" fontId="0" fillId="0" borderId="0" xfId="0" applyAlignment="1">
      <alignment horizontal="right"/>
    </xf>
    <xf numFmtId="0" fontId="58" fillId="0" borderId="59" xfId="0" applyFont="1" applyBorder="1" applyAlignment="1">
      <alignment horizontal="center"/>
    </xf>
    <xf numFmtId="0" fontId="59" fillId="0" borderId="81" xfId="0" applyFont="1" applyBorder="1" applyAlignment="1">
      <alignment horizontal="center"/>
    </xf>
    <xf numFmtId="0" fontId="4" fillId="0" borderId="61" xfId="0" applyFont="1" applyBorder="1" applyAlignment="1">
      <alignment horizontal="center"/>
    </xf>
    <xf numFmtId="168" fontId="4" fillId="0" borderId="0" xfId="1" applyNumberFormat="1" applyFont="1" applyBorder="1"/>
    <xf numFmtId="168" fontId="4" fillId="0" borderId="106" xfId="1" applyNumberFormat="1" applyFont="1" applyBorder="1"/>
    <xf numFmtId="0" fontId="4" fillId="0" borderId="81" xfId="0" applyFont="1" applyBorder="1" applyAlignment="1">
      <alignment horizontal="center"/>
    </xf>
    <xf numFmtId="10" fontId="0" fillId="0" borderId="0" xfId="0" applyNumberFormat="1"/>
    <xf numFmtId="0" fontId="59" fillId="0" borderId="102" xfId="0" applyFont="1" applyBorder="1" applyAlignment="1">
      <alignment horizontal="center"/>
    </xf>
    <xf numFmtId="168" fontId="4" fillId="0" borderId="6" xfId="1" applyNumberFormat="1" applyFont="1" applyBorder="1"/>
    <xf numFmtId="0" fontId="4" fillId="0" borderId="0" xfId="0" applyFont="1" applyAlignment="1">
      <alignment vertical="top"/>
    </xf>
    <xf numFmtId="172" fontId="5" fillId="0" borderId="6" xfId="4" applyNumberFormat="1" applyBorder="1"/>
    <xf numFmtId="172" fontId="5" fillId="0" borderId="36" xfId="4" applyNumberFormat="1" applyBorder="1"/>
    <xf numFmtId="0" fontId="5" fillId="0" borderId="0" xfId="4"/>
    <xf numFmtId="0" fontId="9" fillId="0" borderId="0" xfId="4" applyFont="1"/>
    <xf numFmtId="0" fontId="58" fillId="0" borderId="0" xfId="107" applyFont="1" applyBorder="1" applyAlignment="1">
      <alignment horizontal="center"/>
    </xf>
    <xf numFmtId="0" fontId="5" fillId="0" borderId="0" xfId="4" applyFont="1"/>
    <xf numFmtId="2" fontId="113" fillId="0" borderId="0" xfId="4" applyNumberFormat="1" applyFont="1" applyAlignment="1">
      <alignment horizontal="right"/>
    </xf>
    <xf numFmtId="0" fontId="114" fillId="0" borderId="0" xfId="112" applyAlignment="1" applyProtection="1"/>
    <xf numFmtId="0" fontId="83" fillId="0" borderId="37" xfId="0" applyFont="1" applyBorder="1"/>
    <xf numFmtId="43" fontId="0" fillId="0" borderId="0" xfId="0" applyNumberFormat="1"/>
    <xf numFmtId="165" fontId="8" fillId="0" borderId="0" xfId="46" applyNumberFormat="1" applyFont="1" applyBorder="1" applyAlignment="1">
      <alignment vertical="center"/>
    </xf>
    <xf numFmtId="0" fontId="53" fillId="0" borderId="123" xfId="0" applyNumberFormat="1" applyFont="1" applyFill="1" applyBorder="1" applyAlignment="1">
      <alignment horizontal="center" vertical="center" wrapText="1"/>
    </xf>
    <xf numFmtId="0" fontId="53" fillId="0" borderId="124" xfId="0" applyNumberFormat="1" applyFont="1" applyFill="1" applyBorder="1" applyAlignment="1">
      <alignment horizontal="center" vertical="center" wrapText="1"/>
    </xf>
    <xf numFmtId="0" fontId="65" fillId="0" borderId="125" xfId="0" applyNumberFormat="1" applyFont="1" applyFill="1" applyBorder="1" applyAlignment="1">
      <alignment horizontal="right" vertical="center" wrapText="1"/>
    </xf>
    <xf numFmtId="0" fontId="65" fillId="0" borderId="126" xfId="0" applyNumberFormat="1" applyFont="1" applyFill="1" applyBorder="1" applyAlignment="1">
      <alignment horizontal="right" vertical="center" wrapText="1"/>
    </xf>
    <xf numFmtId="0" fontId="65" fillId="0" borderId="127" xfId="0" applyNumberFormat="1" applyFont="1" applyFill="1" applyBorder="1" applyAlignment="1">
      <alignment horizontal="right" vertical="center" wrapText="1"/>
    </xf>
    <xf numFmtId="0" fontId="65" fillId="0" borderId="128" xfId="0" applyNumberFormat="1" applyFont="1" applyFill="1" applyBorder="1" applyAlignment="1">
      <alignment horizontal="right" vertical="center" wrapText="1"/>
    </xf>
    <xf numFmtId="168" fontId="65" fillId="0" borderId="127" xfId="0" applyNumberFormat="1" applyFont="1" applyFill="1" applyBorder="1" applyAlignment="1">
      <alignment horizontal="right" vertical="center" wrapText="1"/>
    </xf>
    <xf numFmtId="168" fontId="65" fillId="0" borderId="121" xfId="0" applyNumberFormat="1" applyFont="1" applyFill="1" applyBorder="1" applyAlignment="1">
      <alignment horizontal="right" vertical="center" wrapText="1"/>
    </xf>
    <xf numFmtId="168" fontId="65" fillId="0" borderId="122" xfId="1" applyNumberFormat="1" applyFont="1" applyFill="1" applyBorder="1" applyAlignment="1">
      <alignment horizontal="right" vertical="center" wrapText="1"/>
    </xf>
    <xf numFmtId="0" fontId="53" fillId="0" borderId="121" xfId="0" applyNumberFormat="1" applyFont="1" applyFill="1" applyBorder="1" applyAlignment="1">
      <alignment horizontal="center" vertical="center" wrapText="1"/>
    </xf>
    <xf numFmtId="0" fontId="53" fillId="0" borderId="122" xfId="0" applyNumberFormat="1" applyFont="1" applyFill="1" applyBorder="1" applyAlignment="1">
      <alignment horizontal="center" vertical="center" wrapText="1"/>
    </xf>
    <xf numFmtId="0" fontId="58" fillId="0" borderId="111" xfId="0" applyFont="1" applyFill="1" applyBorder="1"/>
    <xf numFmtId="0" fontId="58" fillId="0" borderId="111" xfId="0" applyFont="1" applyBorder="1"/>
    <xf numFmtId="0" fontId="58" fillId="0" borderId="125" xfId="0" applyFont="1" applyBorder="1"/>
    <xf numFmtId="0" fontId="58" fillId="0" borderId="126" xfId="0" applyFont="1" applyBorder="1"/>
    <xf numFmtId="0" fontId="58" fillId="0" borderId="127" xfId="0" applyFont="1" applyBorder="1"/>
    <xf numFmtId="0" fontId="58" fillId="0" borderId="128" xfId="0" applyFont="1" applyBorder="1"/>
    <xf numFmtId="168" fontId="58" fillId="0" borderId="127" xfId="0" applyNumberFormat="1" applyFont="1" applyBorder="1"/>
    <xf numFmtId="168" fontId="58" fillId="0" borderId="121" xfId="0" applyNumberFormat="1" applyFont="1" applyBorder="1"/>
    <xf numFmtId="0" fontId="58" fillId="0" borderId="127" xfId="0" applyFont="1" applyFill="1" applyBorder="1"/>
    <xf numFmtId="0" fontId="58" fillId="0" borderId="128" xfId="0" applyFont="1" applyFill="1" applyBorder="1"/>
    <xf numFmtId="168" fontId="58" fillId="0" borderId="121" xfId="1" applyNumberFormat="1" applyFont="1" applyBorder="1"/>
    <xf numFmtId="165" fontId="58" fillId="0" borderId="6" xfId="0" applyNumberFormat="1" applyFont="1" applyBorder="1"/>
    <xf numFmtId="2" fontId="58" fillId="0" borderId="6" xfId="0" applyNumberFormat="1" applyFont="1" applyFill="1" applyBorder="1"/>
    <xf numFmtId="2" fontId="58" fillId="0" borderId="7" xfId="0" applyNumberFormat="1" applyFont="1" applyFill="1" applyBorder="1"/>
    <xf numFmtId="0" fontId="67" fillId="0" borderId="37" xfId="0" applyFont="1" applyFill="1" applyBorder="1" applyAlignment="1">
      <alignment vertical="center"/>
    </xf>
    <xf numFmtId="0" fontId="67" fillId="0" borderId="0" xfId="0" applyFont="1" applyFill="1" applyBorder="1" applyAlignment="1">
      <alignment vertical="center"/>
    </xf>
    <xf numFmtId="0" fontId="67" fillId="0" borderId="0" xfId="0" applyFont="1" applyFill="1" applyBorder="1" applyAlignment="1">
      <alignment vertical="center" wrapText="1"/>
    </xf>
    <xf numFmtId="0" fontId="67" fillId="0" borderId="0" xfId="57" applyFont="1" applyBorder="1" applyAlignment="1">
      <alignment wrapText="1"/>
    </xf>
    <xf numFmtId="0" fontId="67" fillId="0" borderId="31" xfId="0" applyFont="1" applyFill="1" applyBorder="1" applyAlignment="1">
      <alignment vertical="center" wrapText="1"/>
    </xf>
    <xf numFmtId="0" fontId="59" fillId="0" borderId="0" xfId="0" applyFont="1" applyBorder="1" applyAlignment="1">
      <alignment vertical="center"/>
    </xf>
    <xf numFmtId="168" fontId="58" fillId="0" borderId="32" xfId="1" applyNumberFormat="1" applyFont="1" applyBorder="1" applyAlignment="1">
      <alignment vertical="center"/>
    </xf>
    <xf numFmtId="168" fontId="65" fillId="0" borderId="32" xfId="1" applyNumberFormat="1" applyFont="1" applyFill="1" applyBorder="1" applyAlignment="1">
      <alignment horizontal="right" vertical="center" wrapText="1"/>
    </xf>
    <xf numFmtId="168" fontId="66" fillId="0" borderId="39" xfId="1" applyNumberFormat="1" applyFont="1" applyBorder="1"/>
    <xf numFmtId="2" fontId="65" fillId="0" borderId="0" xfId="0" applyNumberFormat="1" applyFont="1" applyFill="1" applyBorder="1" applyAlignment="1">
      <alignment horizontal="right" vertical="center" wrapText="1"/>
    </xf>
    <xf numFmtId="168" fontId="66" fillId="0" borderId="39" xfId="0" applyNumberFormat="1" applyFont="1" applyBorder="1"/>
    <xf numFmtId="1" fontId="66" fillId="0" borderId="6" xfId="0" applyNumberFormat="1" applyFont="1" applyBorder="1"/>
    <xf numFmtId="168" fontId="67" fillId="0" borderId="31" xfId="1" applyNumberFormat="1" applyFont="1" applyFill="1" applyBorder="1" applyAlignment="1" applyProtection="1">
      <alignment horizontal="right" vertical="center"/>
      <protection locked="0"/>
    </xf>
    <xf numFmtId="172" fontId="5" fillId="0" borderId="0" xfId="4" applyNumberFormat="1" applyBorder="1"/>
    <xf numFmtId="0" fontId="5" fillId="0" borderId="0" xfId="4" applyBorder="1"/>
    <xf numFmtId="0" fontId="5" fillId="0" borderId="0" xfId="4" applyBorder="1" applyAlignment="1">
      <alignment horizontal="center"/>
    </xf>
    <xf numFmtId="172" fontId="0" fillId="0" borderId="0" xfId="0" applyNumberFormat="1" applyBorder="1"/>
    <xf numFmtId="0" fontId="113" fillId="0" borderId="0" xfId="4" applyFont="1" applyBorder="1" applyAlignment="1">
      <alignment horizontal="right"/>
    </xf>
    <xf numFmtId="4" fontId="113" fillId="0" borderId="0" xfId="4" applyNumberFormat="1" applyFont="1" applyBorder="1"/>
    <xf numFmtId="0" fontId="0" fillId="0" borderId="111" xfId="0" applyBorder="1"/>
    <xf numFmtId="0" fontId="5" fillId="0" borderId="111" xfId="4" applyBorder="1"/>
    <xf numFmtId="172" fontId="5" fillId="0" borderId="111" xfId="4" applyNumberFormat="1" applyBorder="1"/>
    <xf numFmtId="172" fontId="0" fillId="0" borderId="111" xfId="0" applyNumberFormat="1" applyBorder="1"/>
    <xf numFmtId="0" fontId="5" fillId="0" borderId="31" xfId="4" applyBorder="1"/>
    <xf numFmtId="172" fontId="0" fillId="0" borderId="31" xfId="0" applyNumberFormat="1" applyBorder="1"/>
    <xf numFmtId="4" fontId="113" fillId="0" borderId="7" xfId="4" applyNumberFormat="1" applyFont="1" applyBorder="1"/>
    <xf numFmtId="0" fontId="0" fillId="0" borderId="41" xfId="0" applyBorder="1"/>
    <xf numFmtId="168" fontId="113" fillId="0" borderId="41" xfId="34" applyNumberFormat="1" applyFont="1" applyBorder="1" applyAlignment="1">
      <alignment horizontal="right"/>
    </xf>
    <xf numFmtId="43" fontId="65" fillId="0" borderId="39" xfId="1" applyNumberFormat="1" applyFont="1" applyFill="1" applyBorder="1" applyAlignment="1" applyProtection="1">
      <alignment horizontal="right" vertical="center"/>
      <protection locked="0"/>
    </xf>
    <xf numFmtId="43" fontId="65" fillId="0" borderId="31" xfId="1" applyNumberFormat="1" applyFont="1" applyFill="1" applyBorder="1" applyAlignment="1" applyProtection="1">
      <alignment horizontal="right" vertical="center"/>
      <protection locked="0"/>
    </xf>
    <xf numFmtId="43" fontId="59" fillId="0" borderId="74" xfId="0" applyNumberFormat="1" applyFont="1" applyBorder="1" applyAlignment="1">
      <alignment vertical="center"/>
    </xf>
    <xf numFmtId="43" fontId="65" fillId="0" borderId="121" xfId="0" applyNumberFormat="1" applyFont="1" applyFill="1" applyBorder="1" applyAlignment="1">
      <alignment horizontal="right" vertical="center" wrapText="1"/>
    </xf>
    <xf numFmtId="43" fontId="58" fillId="0" borderId="31" xfId="1" applyNumberFormat="1" applyFont="1" applyBorder="1" applyAlignment="1">
      <alignment vertical="center"/>
    </xf>
    <xf numFmtId="43" fontId="58" fillId="0" borderId="121" xfId="0" applyNumberFormat="1" applyFont="1" applyBorder="1"/>
    <xf numFmtId="0" fontId="0" fillId="0" borderId="0" xfId="0"/>
    <xf numFmtId="0" fontId="0" fillId="0" borderId="39" xfId="0" applyBorder="1"/>
    <xf numFmtId="0" fontId="0" fillId="0" borderId="32" xfId="0" applyBorder="1"/>
    <xf numFmtId="168" fontId="0" fillId="0" borderId="32" xfId="1" applyNumberFormat="1" applyFont="1" applyBorder="1"/>
    <xf numFmtId="168" fontId="0" fillId="0" borderId="111" xfId="1" applyNumberFormat="1" applyFont="1" applyBorder="1"/>
    <xf numFmtId="0" fontId="121" fillId="0" borderId="111" xfId="0" applyFont="1" applyBorder="1"/>
    <xf numFmtId="3" fontId="0" fillId="0" borderId="31" xfId="0" applyNumberFormat="1" applyBorder="1"/>
    <xf numFmtId="0" fontId="4" fillId="0" borderId="136" xfId="0" applyFont="1" applyBorder="1" applyAlignment="1">
      <alignment horizontal="center"/>
    </xf>
    <xf numFmtId="0" fontId="59" fillId="0" borderId="136" xfId="0" applyFont="1" applyBorder="1" applyAlignment="1">
      <alignment horizontal="center"/>
    </xf>
    <xf numFmtId="9" fontId="0" fillId="0" borderId="32" xfId="2" applyFont="1" applyBorder="1"/>
    <xf numFmtId="0" fontId="0" fillId="0" borderId="0" xfId="0"/>
    <xf numFmtId="0" fontId="8" fillId="0" borderId="131" xfId="46" applyFont="1" applyFill="1" applyBorder="1" applyAlignment="1">
      <alignment horizontal="center" vertical="center"/>
    </xf>
    <xf numFmtId="0" fontId="8" fillId="0" borderId="43" xfId="46" applyFont="1" applyFill="1" applyBorder="1" applyAlignment="1">
      <alignment horizontal="center" vertical="center"/>
    </xf>
    <xf numFmtId="0" fontId="8" fillId="0" borderId="38" xfId="46" applyFont="1" applyFill="1" applyBorder="1" applyAlignment="1">
      <alignment horizontal="center" vertical="center"/>
    </xf>
    <xf numFmtId="0" fontId="8" fillId="0" borderId="136" xfId="46" applyFont="1" applyFill="1" applyBorder="1" applyAlignment="1">
      <alignment horizontal="center" vertical="center"/>
    </xf>
    <xf numFmtId="0" fontId="8" fillId="0" borderId="136" xfId="46" applyFont="1" applyBorder="1" applyAlignment="1">
      <alignment horizontal="left"/>
    </xf>
    <xf numFmtId="0" fontId="48" fillId="0" borderId="137" xfId="46" applyFont="1" applyBorder="1" applyAlignment="1">
      <alignment horizontal="right"/>
    </xf>
    <xf numFmtId="0" fontId="8" fillId="0" borderId="137" xfId="46" applyFont="1" applyFill="1" applyBorder="1" applyAlignment="1">
      <alignment horizontal="center" vertical="center"/>
    </xf>
    <xf numFmtId="0" fontId="0" fillId="0" borderId="111" xfId="0" applyBorder="1" applyAlignment="1">
      <alignment wrapText="1"/>
    </xf>
    <xf numFmtId="9" fontId="0" fillId="0" borderId="0" xfId="2" applyFont="1" applyBorder="1"/>
    <xf numFmtId="9" fontId="0" fillId="0" borderId="31" xfId="2" applyFont="1" applyBorder="1"/>
    <xf numFmtId="186" fontId="65" fillId="0" borderId="7" xfId="1" applyNumberFormat="1" applyFont="1" applyFill="1" applyBorder="1" applyAlignment="1" applyProtection="1">
      <alignment horizontal="right" vertical="center"/>
      <protection locked="0"/>
    </xf>
    <xf numFmtId="43" fontId="65" fillId="0" borderId="7" xfId="1" applyNumberFormat="1" applyFont="1" applyFill="1" applyBorder="1" applyAlignment="1" applyProtection="1">
      <alignment horizontal="right" vertical="center"/>
      <protection locked="0"/>
    </xf>
    <xf numFmtId="165" fontId="68" fillId="0" borderId="31" xfId="5" applyNumberFormat="1" applyFont="1" applyFill="1" applyBorder="1" applyAlignment="1">
      <alignment horizontal="right" vertical="top" wrapText="1"/>
    </xf>
    <xf numFmtId="4" fontId="16" fillId="0" borderId="0" xfId="5" applyNumberFormat="1" applyFont="1" applyFill="1" applyBorder="1" applyAlignment="1">
      <alignment horizontal="right" vertical="top" wrapText="1"/>
    </xf>
    <xf numFmtId="165" fontId="68" fillId="0" borderId="111" xfId="5" applyNumberFormat="1" applyFont="1" applyFill="1" applyBorder="1" applyAlignment="1">
      <alignment horizontal="right" vertical="top" wrapText="1"/>
    </xf>
    <xf numFmtId="165" fontId="56" fillId="0" borderId="111" xfId="5" applyNumberFormat="1" applyFont="1" applyFill="1" applyBorder="1" applyAlignment="1">
      <alignment horizontal="right" vertical="top" wrapText="1"/>
    </xf>
    <xf numFmtId="9" fontId="68" fillId="0" borderId="38" xfId="2" applyFont="1" applyFill="1" applyBorder="1" applyAlignment="1">
      <alignment horizontal="right" vertical="top" wrapText="1"/>
    </xf>
    <xf numFmtId="4" fontId="122" fillId="0" borderId="31" xfId="0" applyNumberFormat="1" applyFont="1" applyBorder="1"/>
    <xf numFmtId="0" fontId="0" fillId="0" borderId="0" xfId="0"/>
    <xf numFmtId="37" fontId="8" fillId="0" borderId="37" xfId="57" applyNumberFormat="1" applyFont="1" applyFill="1" applyBorder="1" applyAlignment="1" applyProtection="1">
      <alignment vertical="center"/>
    </xf>
    <xf numFmtId="37" fontId="8" fillId="0" borderId="0" xfId="57" applyNumberFormat="1" applyFont="1" applyFill="1" applyBorder="1" applyAlignment="1" applyProtection="1">
      <alignment vertical="center"/>
    </xf>
    <xf numFmtId="168" fontId="8" fillId="0" borderId="0" xfId="60" applyNumberFormat="1" applyFont="1" applyBorder="1" applyAlignment="1">
      <alignment vertical="center"/>
    </xf>
    <xf numFmtId="168" fontId="50" fillId="0" borderId="0" xfId="60" applyNumberFormat="1" applyFont="1" applyBorder="1" applyAlignment="1">
      <alignment vertical="center"/>
    </xf>
    <xf numFmtId="37" fontId="8" fillId="0" borderId="44" xfId="57" applyNumberFormat="1" applyFont="1" applyBorder="1" applyAlignment="1">
      <alignment vertical="center"/>
    </xf>
    <xf numFmtId="0" fontId="123" fillId="0" borderId="19" xfId="57" applyFont="1" applyBorder="1"/>
    <xf numFmtId="187" fontId="10" fillId="0" borderId="0" xfId="57" applyNumberFormat="1" applyFont="1" applyBorder="1" applyAlignment="1">
      <alignment horizontal="right" vertical="center" readingOrder="1"/>
    </xf>
    <xf numFmtId="174" fontId="13" fillId="0" borderId="37" xfId="5" applyNumberFormat="1" applyFont="1" applyFill="1" applyBorder="1" applyAlignment="1">
      <alignment horizontal="right" vertical="top" wrapText="1"/>
    </xf>
    <xf numFmtId="186" fontId="65" fillId="0" borderId="32" xfId="1" applyNumberFormat="1" applyFont="1" applyFill="1" applyBorder="1" applyAlignment="1" applyProtection="1">
      <alignment horizontal="right" vertical="center"/>
      <protection locked="0"/>
    </xf>
    <xf numFmtId="2" fontId="56" fillId="0" borderId="16" xfId="5" applyNumberFormat="1" applyFont="1" applyFill="1" applyBorder="1" applyAlignment="1">
      <alignment horizontal="right" vertical="top" wrapText="1"/>
    </xf>
    <xf numFmtId="165" fontId="0" fillId="0" borderId="0" xfId="0" applyNumberFormat="1"/>
    <xf numFmtId="165" fontId="0" fillId="0" borderId="31" xfId="0" applyNumberFormat="1" applyBorder="1"/>
    <xf numFmtId="165" fontId="69" fillId="0" borderId="44" xfId="0" applyNumberFormat="1" applyFont="1" applyBorder="1"/>
    <xf numFmtId="1" fontId="69" fillId="0" borderId="44" xfId="0" applyNumberFormat="1" applyFont="1" applyBorder="1"/>
    <xf numFmtId="169" fontId="125" fillId="0" borderId="44" xfId="55" applyNumberFormat="1" applyFont="1" applyBorder="1" applyAlignment="1">
      <alignment horizontal="right" vertical="center"/>
    </xf>
    <xf numFmtId="39" fontId="69" fillId="0" borderId="0" xfId="1" applyNumberFormat="1" applyFont="1" applyAlignment="1">
      <alignment horizontal="right"/>
    </xf>
    <xf numFmtId="37" fontId="69" fillId="0" borderId="0" xfId="1" applyNumberFormat="1" applyFont="1" applyAlignment="1">
      <alignment horizontal="right"/>
    </xf>
    <xf numFmtId="39" fontId="69" fillId="0" borderId="44" xfId="1" applyNumberFormat="1" applyFont="1" applyBorder="1" applyAlignment="1">
      <alignment horizontal="right"/>
    </xf>
    <xf numFmtId="37" fontId="125" fillId="0" borderId="44" xfId="1" applyNumberFormat="1" applyFont="1" applyBorder="1" applyAlignment="1">
      <alignment horizontal="right"/>
    </xf>
    <xf numFmtId="39" fontId="125" fillId="0" borderId="44" xfId="1" applyNumberFormat="1" applyFont="1" applyBorder="1" applyAlignment="1">
      <alignment horizontal="right"/>
    </xf>
    <xf numFmtId="165" fontId="126" fillId="0" borderId="31" xfId="0" applyNumberFormat="1" applyFont="1" applyBorder="1"/>
    <xf numFmtId="0" fontId="127" fillId="0" borderId="0" xfId="5" applyFont="1" applyFill="1" applyBorder="1" applyAlignment="1">
      <alignment horizontal="right" vertical="top" wrapText="1"/>
    </xf>
    <xf numFmtId="173" fontId="124" fillId="0" borderId="0" xfId="4" applyNumberFormat="1" applyFont="1" applyBorder="1" applyAlignment="1" applyProtection="1">
      <alignment horizontal="right" vertical="top" wrapText="1" readingOrder="1"/>
      <protection locked="0"/>
    </xf>
    <xf numFmtId="173" fontId="124" fillId="0" borderId="0" xfId="4" applyNumberFormat="1" applyFont="1" applyAlignment="1" applyProtection="1">
      <alignment horizontal="right" vertical="top" wrapText="1" readingOrder="1"/>
      <protection locked="0"/>
    </xf>
    <xf numFmtId="43" fontId="65" fillId="0" borderId="32" xfId="1" applyNumberFormat="1" applyFont="1" applyFill="1" applyBorder="1" applyAlignment="1" applyProtection="1">
      <alignment horizontal="right" vertical="center"/>
      <protection locked="0"/>
    </xf>
    <xf numFmtId="165" fontId="4" fillId="0" borderId="31" xfId="0" applyNumberFormat="1" applyFont="1" applyBorder="1"/>
    <xf numFmtId="188" fontId="13" fillId="0" borderId="37" xfId="5" applyNumberFormat="1" applyFont="1" applyFill="1" applyBorder="1" applyAlignment="1">
      <alignment horizontal="right" vertical="top" wrapText="1"/>
    </xf>
    <xf numFmtId="188" fontId="19" fillId="0" borderId="37" xfId="5" applyNumberFormat="1" applyFont="1" applyFill="1" applyBorder="1" applyAlignment="1">
      <alignment horizontal="right" vertical="top" wrapText="1"/>
    </xf>
    <xf numFmtId="186" fontId="58" fillId="0" borderId="31" xfId="1" applyNumberFormat="1" applyFont="1" applyBorder="1" applyAlignment="1">
      <alignment vertical="center"/>
    </xf>
    <xf numFmtId="1" fontId="42" fillId="0" borderId="0" xfId="55" applyNumberFormat="1" applyAlignment="1">
      <alignment horizontal="center"/>
    </xf>
    <xf numFmtId="166" fontId="42" fillId="0" borderId="0" xfId="55" applyNumberFormat="1" applyAlignment="1">
      <alignment horizontal="center"/>
    </xf>
    <xf numFmtId="9" fontId="42" fillId="0" borderId="0" xfId="2" applyFont="1" applyAlignment="1">
      <alignment horizontal="center"/>
    </xf>
    <xf numFmtId="168" fontId="58" fillId="0" borderId="75" xfId="1" applyNumberFormat="1" applyFont="1" applyBorder="1"/>
    <xf numFmtId="168" fontId="58" fillId="0" borderId="77" xfId="1" applyNumberFormat="1" applyFont="1" applyBorder="1"/>
    <xf numFmtId="1" fontId="11" fillId="0" borderId="0" xfId="7" applyNumberFormat="1" applyFont="1" applyFill="1" applyAlignment="1">
      <alignment vertical="center" wrapText="1"/>
    </xf>
    <xf numFmtId="0" fontId="128" fillId="0" borderId="0" xfId="7" applyFont="1" applyFill="1" applyBorder="1" applyAlignment="1">
      <alignment vertical="top" wrapText="1"/>
    </xf>
    <xf numFmtId="178" fontId="65" fillId="0" borderId="0" xfId="0" applyNumberFormat="1" applyFont="1" applyFill="1" applyBorder="1" applyAlignment="1">
      <alignment horizontal="right" vertical="center" wrapText="1"/>
    </xf>
    <xf numFmtId="43" fontId="65" fillId="0" borderId="31" xfId="1" applyNumberFormat="1" applyFont="1" applyFill="1" applyBorder="1" applyAlignment="1">
      <alignment horizontal="right" vertical="center" wrapText="1"/>
    </xf>
    <xf numFmtId="168" fontId="65" fillId="0" borderId="128" xfId="1" applyNumberFormat="1" applyFont="1" applyFill="1" applyBorder="1" applyAlignment="1">
      <alignment horizontal="right" vertical="center" wrapText="1"/>
    </xf>
    <xf numFmtId="178" fontId="65" fillId="0" borderId="7" xfId="0" applyNumberFormat="1" applyFont="1" applyFill="1" applyBorder="1" applyAlignment="1">
      <alignment horizontal="right" vertical="center" wrapText="1"/>
    </xf>
    <xf numFmtId="1" fontId="65" fillId="0" borderId="7" xfId="0" applyNumberFormat="1" applyFont="1" applyFill="1" applyBorder="1" applyAlignment="1">
      <alignment horizontal="right" vertical="center" wrapText="1"/>
    </xf>
    <xf numFmtId="1" fontId="58" fillId="0" borderId="122" xfId="0" applyNumberFormat="1" applyFont="1" applyBorder="1"/>
    <xf numFmtId="43" fontId="58" fillId="0" borderId="32" xfId="0" applyNumberFormat="1" applyFont="1" applyBorder="1"/>
    <xf numFmtId="168" fontId="75" fillId="0" borderId="18" xfId="1" applyNumberFormat="1" applyFont="1" applyFill="1" applyBorder="1" applyAlignment="1">
      <alignment vertical="center"/>
    </xf>
    <xf numFmtId="186" fontId="75" fillId="0" borderId="18" xfId="1" applyNumberFormat="1" applyFont="1" applyFill="1" applyBorder="1" applyAlignment="1">
      <alignment vertical="center"/>
    </xf>
    <xf numFmtId="168" fontId="75" fillId="0" borderId="86" xfId="1" applyNumberFormat="1" applyFont="1" applyFill="1" applyBorder="1" applyAlignment="1">
      <alignment vertical="center"/>
    </xf>
    <xf numFmtId="1" fontId="75" fillId="0" borderId="19" xfId="0" applyNumberFormat="1" applyFont="1" applyBorder="1" applyAlignment="1">
      <alignment vertical="center"/>
    </xf>
    <xf numFmtId="1" fontId="65" fillId="0" borderId="32" xfId="0" applyNumberFormat="1" applyFont="1" applyFill="1" applyBorder="1" applyAlignment="1">
      <alignment horizontal="right" vertical="center" wrapText="1"/>
    </xf>
    <xf numFmtId="2" fontId="58" fillId="0" borderId="31" xfId="0" applyNumberFormat="1" applyFont="1" applyBorder="1"/>
    <xf numFmtId="169" fontId="4" fillId="0" borderId="0" xfId="0" applyNumberFormat="1" applyFont="1" applyAlignment="1">
      <alignment horizontal="center" vertical="center"/>
    </xf>
    <xf numFmtId="1" fontId="4" fillId="0" borderId="31" xfId="0" applyNumberFormat="1" applyFont="1" applyBorder="1" applyAlignment="1">
      <alignment horizontal="center" vertical="center"/>
    </xf>
    <xf numFmtId="1" fontId="4" fillId="0" borderId="31" xfId="0" applyNumberFormat="1" applyFont="1" applyBorder="1" applyAlignment="1">
      <alignment horizontal="center"/>
    </xf>
    <xf numFmtId="1" fontId="58" fillId="0" borderId="0" xfId="0" applyNumberFormat="1" applyFont="1" applyBorder="1"/>
    <xf numFmtId="1" fontId="58" fillId="0" borderId="31" xfId="0" applyNumberFormat="1" applyFont="1" applyBorder="1"/>
    <xf numFmtId="1" fontId="58" fillId="0" borderId="128" xfId="0" applyNumberFormat="1" applyFont="1" applyBorder="1"/>
    <xf numFmtId="1" fontId="4" fillId="0" borderId="6" xfId="0" applyNumberFormat="1" applyFont="1" applyBorder="1"/>
    <xf numFmtId="169" fontId="4" fillId="0" borderId="0" xfId="0" applyNumberFormat="1" applyFont="1" applyBorder="1" applyAlignment="1">
      <alignment horizontal="center"/>
    </xf>
    <xf numFmtId="43" fontId="4" fillId="0" borderId="115" xfId="1" applyNumberFormat="1" applyFont="1" applyBorder="1"/>
    <xf numFmtId="43" fontId="4" fillId="0" borderId="61" xfId="1" applyNumberFormat="1" applyFont="1" applyBorder="1"/>
    <xf numFmtId="43" fontId="4" fillId="0" borderId="134" xfId="1" applyNumberFormat="1" applyFont="1" applyBorder="1"/>
    <xf numFmtId="43" fontId="4" fillId="0" borderId="59" xfId="1" applyNumberFormat="1" applyFont="1" applyBorder="1"/>
    <xf numFmtId="43" fontId="4" fillId="0" borderId="9" xfId="1" applyNumberFormat="1" applyFont="1" applyBorder="1"/>
    <xf numFmtId="43" fontId="4" fillId="0" borderId="11" xfId="1" applyNumberFormat="1" applyFont="1" applyBorder="1"/>
    <xf numFmtId="168" fontId="4" fillId="0" borderId="136" xfId="1" applyNumberFormat="1" applyFont="1" applyBorder="1"/>
    <xf numFmtId="168" fontId="4" fillId="0" borderId="137" xfId="1" applyNumberFormat="1" applyFont="1" applyBorder="1"/>
    <xf numFmtId="168" fontId="4" fillId="0" borderId="133" xfId="1" applyNumberFormat="1" applyFont="1" applyBorder="1"/>
    <xf numFmtId="1" fontId="113" fillId="0" borderId="0" xfId="4" applyNumberFormat="1" applyFont="1" applyAlignment="1">
      <alignment horizontal="right"/>
    </xf>
    <xf numFmtId="3" fontId="113" fillId="0" borderId="38" xfId="4" applyNumberFormat="1" applyFont="1" applyBorder="1"/>
    <xf numFmtId="3" fontId="113" fillId="0" borderId="111" xfId="4" applyNumberFormat="1" applyFont="1" applyBorder="1"/>
    <xf numFmtId="165" fontId="113" fillId="0" borderId="0" xfId="4" applyNumberFormat="1" applyFont="1" applyBorder="1" applyAlignment="1"/>
    <xf numFmtId="165" fontId="113" fillId="0" borderId="7" xfId="4" applyNumberFormat="1" applyFont="1" applyBorder="1" applyAlignment="1"/>
    <xf numFmtId="182" fontId="8" fillId="0" borderId="6" xfId="2" applyNumberFormat="1" applyFont="1" applyBorder="1" applyAlignment="1">
      <alignment vertical="center"/>
    </xf>
    <xf numFmtId="0" fontId="50" fillId="0" borderId="115" xfId="0" applyFont="1" applyBorder="1"/>
    <xf numFmtId="2" fontId="58" fillId="0" borderId="122" xfId="0" applyNumberFormat="1" applyFont="1" applyBorder="1"/>
    <xf numFmtId="2" fontId="129" fillId="0" borderId="128" xfId="0" applyNumberFormat="1" applyFont="1" applyBorder="1"/>
    <xf numFmtId="1" fontId="129" fillId="0" borderId="128" xfId="0" applyNumberFormat="1" applyFont="1" applyBorder="1"/>
    <xf numFmtId="2" fontId="8" fillId="0" borderId="31" xfId="5" applyNumberFormat="1" applyFont="1" applyFill="1" applyBorder="1" applyAlignment="1">
      <alignment horizontal="right" vertical="top" wrapText="1"/>
    </xf>
    <xf numFmtId="165" fontId="8" fillId="0" borderId="36" xfId="5" applyNumberFormat="1" applyFont="1" applyFill="1" applyBorder="1" applyAlignment="1">
      <alignment horizontal="right" vertical="top" wrapText="1"/>
    </xf>
    <xf numFmtId="165" fontId="8" fillId="0" borderId="111" xfId="5" applyNumberFormat="1" applyFont="1" applyFill="1" applyBorder="1" applyAlignment="1">
      <alignment horizontal="right" vertical="top" wrapText="1"/>
    </xf>
    <xf numFmtId="165" fontId="68" fillId="0" borderId="37" xfId="5" applyNumberFormat="1" applyFont="1" applyFill="1" applyBorder="1" applyAlignment="1">
      <alignment horizontal="right" vertical="top" wrapText="1"/>
    </xf>
    <xf numFmtId="165" fontId="130" fillId="0" borderId="37" xfId="5" applyNumberFormat="1" applyFont="1" applyFill="1" applyBorder="1" applyAlignment="1">
      <alignment horizontal="right" vertical="top" wrapText="1"/>
    </xf>
    <xf numFmtId="165" fontId="130" fillId="0" borderId="31" xfId="5" applyNumberFormat="1" applyFont="1" applyFill="1" applyBorder="1" applyAlignment="1">
      <alignment horizontal="right" vertical="top" wrapText="1"/>
    </xf>
    <xf numFmtId="169" fontId="42" fillId="0" borderId="0" xfId="55" applyNumberFormat="1" applyFont="1" applyBorder="1"/>
    <xf numFmtId="169" fontId="131" fillId="0" borderId="0" xfId="55" applyNumberFormat="1" applyFont="1" applyBorder="1"/>
    <xf numFmtId="169" fontId="46" fillId="0" borderId="31" xfId="55" applyNumberFormat="1" applyFont="1" applyBorder="1"/>
    <xf numFmtId="43" fontId="5" fillId="0" borderId="36" xfId="1" applyNumberFormat="1" applyFont="1" applyFill="1" applyBorder="1" applyAlignment="1" applyProtection="1">
      <alignment horizontal="right" vertical="center"/>
      <protection locked="0"/>
    </xf>
    <xf numFmtId="43" fontId="5" fillId="0" borderId="39" xfId="1" applyNumberFormat="1" applyFont="1" applyFill="1" applyBorder="1" applyAlignment="1" applyProtection="1">
      <alignment horizontal="right" vertical="center"/>
      <protection locked="0"/>
    </xf>
    <xf numFmtId="43" fontId="5" fillId="0" borderId="111" xfId="1" applyNumberFormat="1" applyFont="1" applyFill="1" applyBorder="1" applyAlignment="1" applyProtection="1">
      <alignment horizontal="right" vertical="center"/>
      <protection locked="0"/>
    </xf>
    <xf numFmtId="43" fontId="0" fillId="0" borderId="0" xfId="0" applyNumberFormat="1" applyBorder="1"/>
    <xf numFmtId="43" fontId="0" fillId="0" borderId="111" xfId="0" applyNumberFormat="1" applyBorder="1"/>
    <xf numFmtId="43" fontId="0" fillId="0" borderId="31" xfId="0" applyNumberFormat="1" applyBorder="1"/>
    <xf numFmtId="43" fontId="4" fillId="0" borderId="136" xfId="1" applyNumberFormat="1" applyFont="1" applyBorder="1"/>
    <xf numFmtId="43" fontId="4" fillId="0" borderId="0" xfId="1" applyNumberFormat="1" applyFont="1" applyBorder="1"/>
    <xf numFmtId="43" fontId="4" fillId="0" borderId="12" xfId="1" applyNumberFormat="1" applyFont="1" applyBorder="1"/>
    <xf numFmtId="43" fontId="0" fillId="0" borderId="36" xfId="1" applyNumberFormat="1" applyFont="1" applyBorder="1"/>
    <xf numFmtId="43" fontId="0" fillId="0" borderId="38" xfId="1" applyNumberFormat="1" applyFont="1" applyBorder="1"/>
    <xf numFmtId="43" fontId="0" fillId="0" borderId="6" xfId="1" applyNumberFormat="1" applyFont="1" applyBorder="1"/>
    <xf numFmtId="43" fontId="0" fillId="0" borderId="7" xfId="1" applyNumberFormat="1" applyFont="1" applyBorder="1"/>
    <xf numFmtId="43" fontId="0" fillId="0" borderId="39" xfId="1" applyNumberFormat="1" applyFont="1" applyBorder="1"/>
    <xf numFmtId="43" fontId="0" fillId="0" borderId="32" xfId="1" applyNumberFormat="1" applyFont="1" applyBorder="1"/>
    <xf numFmtId="168" fontId="5" fillId="0" borderId="36" xfId="1" applyNumberFormat="1" applyFont="1" applyFill="1" applyBorder="1" applyAlignment="1" applyProtection="1">
      <alignment horizontal="right" vertical="center"/>
      <protection locked="0"/>
    </xf>
    <xf numFmtId="168" fontId="5" fillId="0" borderId="6" xfId="1" applyNumberFormat="1" applyFont="1" applyFill="1" applyBorder="1" applyAlignment="1" applyProtection="1">
      <alignment horizontal="right" vertical="center"/>
      <protection locked="0"/>
    </xf>
    <xf numFmtId="168" fontId="5" fillId="0" borderId="39" xfId="1" applyNumberFormat="1" applyFont="1" applyFill="1" applyBorder="1" applyAlignment="1" applyProtection="1">
      <alignment horizontal="right" vertical="center"/>
      <protection locked="0"/>
    </xf>
    <xf numFmtId="168" fontId="5" fillId="0" borderId="111" xfId="1" applyNumberFormat="1" applyFont="1" applyFill="1" applyBorder="1" applyAlignment="1" applyProtection="1">
      <alignment horizontal="right" vertical="center"/>
      <protection locked="0"/>
    </xf>
    <xf numFmtId="1" fontId="0" fillId="0" borderId="0" xfId="0" applyNumberFormat="1" applyBorder="1"/>
    <xf numFmtId="1" fontId="0" fillId="0" borderId="111" xfId="0" applyNumberFormat="1" applyBorder="1"/>
    <xf numFmtId="1" fontId="0" fillId="0" borderId="31" xfId="0" applyNumberFormat="1" applyBorder="1"/>
    <xf numFmtId="168" fontId="4" fillId="0" borderId="12" xfId="1" applyNumberFormat="1" applyFont="1" applyBorder="1"/>
    <xf numFmtId="168" fontId="0" fillId="0" borderId="36" xfId="1" applyNumberFormat="1" applyFont="1" applyBorder="1"/>
    <xf numFmtId="168" fontId="0" fillId="0" borderId="6" xfId="1" applyNumberFormat="1" applyFont="1" applyBorder="1"/>
    <xf numFmtId="168" fontId="0" fillId="0" borderId="39" xfId="1" applyNumberFormat="1" applyFont="1" applyBorder="1"/>
    <xf numFmtId="0" fontId="0" fillId="0" borderId="0" xfId="0"/>
    <xf numFmtId="0" fontId="5" fillId="0" borderId="0" xfId="4"/>
    <xf numFmtId="3" fontId="54" fillId="0" borderId="38" xfId="4" applyNumberFormat="1" applyFont="1" applyBorder="1"/>
    <xf numFmtId="3" fontId="54" fillId="0" borderId="7" xfId="4" applyNumberFormat="1" applyFont="1" applyBorder="1"/>
    <xf numFmtId="3" fontId="54" fillId="0" borderId="111" xfId="4" applyNumberFormat="1" applyFont="1" applyBorder="1" applyAlignment="1">
      <alignment horizontal="right"/>
    </xf>
    <xf numFmtId="3" fontId="54" fillId="0" borderId="0" xfId="4" applyNumberFormat="1" applyFont="1" applyBorder="1" applyAlignment="1">
      <alignment horizontal="right"/>
    </xf>
    <xf numFmtId="3" fontId="54" fillId="0" borderId="31" xfId="4" applyNumberFormat="1" applyFont="1" applyBorder="1" applyAlignment="1">
      <alignment horizontal="right"/>
    </xf>
    <xf numFmtId="4" fontId="9" fillId="0" borderId="0" xfId="4" applyNumberFormat="1" applyFont="1" applyBorder="1"/>
    <xf numFmtId="1" fontId="9" fillId="0" borderId="0" xfId="4" applyNumberFormat="1" applyFont="1" applyBorder="1" applyAlignment="1">
      <alignment horizontal="right"/>
    </xf>
    <xf numFmtId="4" fontId="9" fillId="0" borderId="6" xfId="4" applyNumberFormat="1" applyFont="1" applyBorder="1"/>
    <xf numFmtId="1" fontId="9" fillId="0" borderId="6" xfId="4" applyNumberFormat="1" applyFont="1" applyBorder="1" applyAlignment="1">
      <alignment horizontal="right"/>
    </xf>
    <xf numFmtId="172" fontId="5" fillId="0" borderId="111" xfId="4" applyNumberFormat="1" applyBorder="1" applyAlignment="1">
      <alignment horizontal="right"/>
    </xf>
    <xf numFmtId="172" fontId="5" fillId="0" borderId="0" xfId="4" applyNumberFormat="1" applyBorder="1" applyAlignment="1">
      <alignment horizontal="right"/>
    </xf>
    <xf numFmtId="172" fontId="5" fillId="0" borderId="31" xfId="4" applyNumberFormat="1" applyBorder="1" applyAlignment="1">
      <alignment horizontal="right"/>
    </xf>
    <xf numFmtId="185" fontId="11" fillId="0" borderId="43" xfId="4" applyNumberFormat="1" applyFont="1" applyBorder="1" applyAlignment="1" applyProtection="1">
      <alignment horizontal="right" vertical="top" wrapText="1" readingOrder="1"/>
      <protection locked="0"/>
    </xf>
    <xf numFmtId="185" fontId="11" fillId="0" borderId="42" xfId="4" applyNumberFormat="1" applyFont="1" applyBorder="1" applyAlignment="1" applyProtection="1">
      <alignment horizontal="right" vertical="top" wrapText="1" readingOrder="1"/>
      <protection locked="0"/>
    </xf>
    <xf numFmtId="185" fontId="11" fillId="0" borderId="41" xfId="4" applyNumberFormat="1" applyFont="1" applyBorder="1" applyAlignment="1" applyProtection="1">
      <alignment horizontal="right" vertical="top" wrapText="1" readingOrder="1"/>
      <protection locked="0"/>
    </xf>
    <xf numFmtId="3" fontId="9" fillId="0" borderId="42" xfId="4" applyNumberFormat="1" applyFont="1" applyBorder="1"/>
    <xf numFmtId="4" fontId="9" fillId="0" borderId="42" xfId="4" applyNumberFormat="1" applyFont="1" applyBorder="1"/>
    <xf numFmtId="2" fontId="9" fillId="0" borderId="42" xfId="4" applyNumberFormat="1" applyFont="1" applyBorder="1" applyAlignment="1">
      <alignment horizontal="right"/>
    </xf>
    <xf numFmtId="0" fontId="78" fillId="0" borderId="0" xfId="46" applyFont="1">
      <alignment vertical="center"/>
    </xf>
    <xf numFmtId="0" fontId="137" fillId="37" borderId="19" xfId="46" applyFont="1" applyFill="1" applyBorder="1" applyAlignment="1">
      <alignment horizontal="center" vertical="center"/>
    </xf>
    <xf numFmtId="172" fontId="9" fillId="0" borderId="36" xfId="4" applyNumberFormat="1" applyFont="1" applyBorder="1"/>
    <xf numFmtId="172" fontId="9" fillId="0" borderId="111" xfId="4" applyNumberFormat="1" applyFont="1" applyBorder="1"/>
    <xf numFmtId="0" fontId="8" fillId="0" borderId="59" xfId="46" applyFont="1" applyFill="1" applyBorder="1">
      <alignment vertical="center"/>
    </xf>
    <xf numFmtId="0" fontId="8" fillId="0" borderId="61" xfId="46" applyFont="1" applyBorder="1">
      <alignment vertical="center"/>
    </xf>
    <xf numFmtId="0" fontId="10" fillId="0" borderId="9" xfId="46" applyFont="1" applyFill="1" applyBorder="1" applyAlignment="1">
      <alignment horizontal="right" vertical="center"/>
    </xf>
    <xf numFmtId="0" fontId="8" fillId="0" borderId="115" xfId="46" applyFont="1" applyFill="1" applyBorder="1">
      <alignment vertical="center"/>
    </xf>
    <xf numFmtId="0" fontId="142" fillId="0" borderId="9" xfId="46" applyFont="1" applyBorder="1">
      <alignment vertical="center"/>
    </xf>
    <xf numFmtId="0" fontId="50" fillId="0" borderId="0" xfId="0" applyFont="1" applyBorder="1"/>
    <xf numFmtId="2" fontId="8" fillId="0" borderId="0" xfId="46" applyNumberFormat="1" applyFont="1" applyBorder="1" applyAlignment="1">
      <alignment vertical="center"/>
    </xf>
    <xf numFmtId="2" fontId="8" fillId="0" borderId="0" xfId="46" applyNumberFormat="1" applyFont="1" applyBorder="1">
      <alignment vertical="center"/>
    </xf>
    <xf numFmtId="178" fontId="8" fillId="0" borderId="0" xfId="2" applyNumberFormat="1" applyFont="1" applyBorder="1" applyAlignment="1">
      <alignment vertical="center"/>
    </xf>
    <xf numFmtId="190" fontId="113" fillId="0" borderId="39" xfId="34" applyNumberFormat="1" applyFont="1" applyBorder="1" applyAlignment="1">
      <alignment horizontal="right"/>
    </xf>
    <xf numFmtId="190" fontId="113" fillId="0" borderId="32" xfId="34" applyNumberFormat="1" applyFont="1" applyBorder="1" applyAlignment="1">
      <alignment horizontal="right"/>
    </xf>
    <xf numFmtId="190" fontId="113" fillId="0" borderId="31" xfId="34" applyNumberFormat="1" applyFont="1" applyBorder="1" applyAlignment="1">
      <alignment horizontal="right"/>
    </xf>
    <xf numFmtId="2" fontId="8" fillId="0" borderId="71" xfId="46" applyNumberFormat="1" applyFont="1" applyBorder="1">
      <alignment vertical="center"/>
    </xf>
    <xf numFmtId="2" fontId="8" fillId="0" borderId="36" xfId="46" applyNumberFormat="1" applyFont="1" applyBorder="1">
      <alignment vertical="center"/>
    </xf>
    <xf numFmtId="2" fontId="8" fillId="0" borderId="9" xfId="46" applyNumberFormat="1" applyFont="1" applyBorder="1">
      <alignment vertical="center"/>
    </xf>
    <xf numFmtId="2" fontId="8" fillId="0" borderId="6" xfId="46" applyNumberFormat="1" applyFont="1" applyBorder="1">
      <alignment vertical="center"/>
    </xf>
    <xf numFmtId="2" fontId="8" fillId="0" borderId="133" xfId="46" applyNumberFormat="1" applyFont="1" applyBorder="1">
      <alignment vertical="center"/>
    </xf>
    <xf numFmtId="0" fontId="11" fillId="0" borderId="0" xfId="0" applyFont="1"/>
    <xf numFmtId="2" fontId="11" fillId="0" borderId="9" xfId="0" applyNumberFormat="1" applyFont="1" applyBorder="1"/>
    <xf numFmtId="2" fontId="11" fillId="0" borderId="144" xfId="0" applyNumberFormat="1" applyFont="1" applyBorder="1"/>
    <xf numFmtId="165" fontId="8" fillId="0" borderId="155" xfId="46" applyNumberFormat="1" applyFont="1" applyBorder="1" applyAlignment="1">
      <alignment vertical="center"/>
    </xf>
    <xf numFmtId="0" fontId="10" fillId="0" borderId="158" xfId="46" applyFont="1" applyFill="1" applyBorder="1" applyAlignment="1">
      <alignment horizontal="right" wrapText="1"/>
    </xf>
    <xf numFmtId="165" fontId="8" fillId="0" borderId="156" xfId="46" applyNumberFormat="1" applyFont="1" applyBorder="1" applyAlignment="1">
      <alignment vertical="center"/>
    </xf>
    <xf numFmtId="0" fontId="11" fillId="0" borderId="157" xfId="0" applyFont="1" applyBorder="1"/>
    <xf numFmtId="2" fontId="13" fillId="0" borderId="158" xfId="0" applyNumberFormat="1" applyFont="1" applyBorder="1"/>
    <xf numFmtId="2" fontId="8" fillId="0" borderId="156" xfId="46" applyNumberFormat="1" applyFont="1" applyBorder="1" applyAlignment="1">
      <alignment vertical="center"/>
    </xf>
    <xf numFmtId="2" fontId="11" fillId="0" borderId="0" xfId="0" applyNumberFormat="1" applyFont="1" applyBorder="1"/>
    <xf numFmtId="2" fontId="13" fillId="0" borderId="156" xfId="0" applyNumberFormat="1" applyFont="1" applyBorder="1"/>
    <xf numFmtId="0" fontId="142" fillId="0" borderId="9" xfId="46" applyFont="1" applyFill="1" applyBorder="1" applyAlignment="1">
      <alignment horizontal="right"/>
    </xf>
    <xf numFmtId="0" fontId="142" fillId="0" borderId="145" xfId="46" applyFont="1" applyFill="1" applyBorder="1" applyAlignment="1">
      <alignment horizontal="right" vertical="center"/>
    </xf>
    <xf numFmtId="2" fontId="142" fillId="0" borderId="145" xfId="46" applyNumberFormat="1" applyFont="1" applyBorder="1" applyAlignment="1">
      <alignment horizontal="right" vertical="center"/>
    </xf>
    <xf numFmtId="2" fontId="142" fillId="0" borderId="74" xfId="46" applyNumberFormat="1" applyFont="1" applyBorder="1" applyAlignment="1">
      <alignment horizontal="right" vertical="center"/>
    </xf>
    <xf numFmtId="2" fontId="142" fillId="0" borderId="146" xfId="46" applyNumberFormat="1" applyFont="1" applyBorder="1" applyAlignment="1">
      <alignment horizontal="right" vertical="center"/>
    </xf>
    <xf numFmtId="2" fontId="142" fillId="0" borderId="142" xfId="46" applyNumberFormat="1" applyFont="1" applyFill="1" applyBorder="1" applyAlignment="1">
      <alignment horizontal="right" vertical="center" wrapText="1"/>
    </xf>
    <xf numFmtId="0" fontId="0" fillId="0" borderId="156" xfId="0" applyBorder="1"/>
    <xf numFmtId="0" fontId="0" fillId="0" borderId="157" xfId="0" applyBorder="1"/>
    <xf numFmtId="0" fontId="0" fillId="0" borderId="0" xfId="0"/>
    <xf numFmtId="0" fontId="0" fillId="0" borderId="0" xfId="0"/>
    <xf numFmtId="9" fontId="56" fillId="0" borderId="0" xfId="2" applyNumberFormat="1" applyFont="1" applyFill="1" applyBorder="1" applyAlignment="1">
      <alignment horizontal="right" vertical="top" wrapText="1"/>
    </xf>
    <xf numFmtId="0" fontId="147" fillId="0" borderId="0" xfId="0" applyFont="1" applyAlignment="1">
      <alignment horizontal="right"/>
    </xf>
    <xf numFmtId="0" fontId="149" fillId="0" borderId="36" xfId="0" applyFont="1" applyBorder="1" applyAlignment="1">
      <alignment horizontal="right"/>
    </xf>
    <xf numFmtId="0" fontId="149" fillId="0" borderId="6" xfId="0" applyFont="1" applyBorder="1" applyAlignment="1">
      <alignment horizontal="right"/>
    </xf>
    <xf numFmtId="0" fontId="149" fillId="0" borderId="39" xfId="0" applyFont="1" applyBorder="1" applyAlignment="1">
      <alignment horizontal="right"/>
    </xf>
    <xf numFmtId="0" fontId="149" fillId="0" borderId="0" xfId="0" applyFont="1" applyAlignment="1">
      <alignment horizontal="right"/>
    </xf>
    <xf numFmtId="0" fontId="6" fillId="0" borderId="0" xfId="46" applyFont="1" applyFill="1" applyBorder="1" applyAlignment="1">
      <alignment horizontal="right" wrapText="1"/>
    </xf>
    <xf numFmtId="43" fontId="0" fillId="0" borderId="0" xfId="1" applyFont="1"/>
    <xf numFmtId="168" fontId="0" fillId="0" borderId="38" xfId="1" applyNumberFormat="1" applyFont="1" applyBorder="1"/>
    <xf numFmtId="168" fontId="0" fillId="0" borderId="7" xfId="1" applyNumberFormat="1" applyFont="1" applyBorder="1"/>
    <xf numFmtId="168" fontId="0" fillId="0" borderId="32" xfId="1" applyNumberFormat="1" applyFont="1" applyBorder="1"/>
    <xf numFmtId="0" fontId="0" fillId="0" borderId="0" xfId="0"/>
    <xf numFmtId="0" fontId="0" fillId="0" borderId="0" xfId="0" applyBorder="1" applyAlignment="1">
      <alignment horizontal="right"/>
    </xf>
    <xf numFmtId="165" fontId="137" fillId="0" borderId="0" xfId="2" applyNumberFormat="1" applyFont="1" applyBorder="1" applyAlignment="1">
      <alignment vertical="center"/>
    </xf>
    <xf numFmtId="9" fontId="8" fillId="0" borderId="0" xfId="2" applyNumberFormat="1" applyFont="1" applyBorder="1" applyAlignment="1">
      <alignment horizontal="center" vertical="center"/>
    </xf>
    <xf numFmtId="165" fontId="53" fillId="0" borderId="0" xfId="46" applyNumberFormat="1" applyFont="1" applyBorder="1" applyAlignment="1">
      <alignment horizontal="left" vertical="center"/>
    </xf>
    <xf numFmtId="1" fontId="8" fillId="0" borderId="0" xfId="46" applyNumberFormat="1" applyFont="1">
      <alignment vertical="center"/>
    </xf>
    <xf numFmtId="0" fontId="149" fillId="0" borderId="0" xfId="0" applyFont="1"/>
    <xf numFmtId="0" fontId="5" fillId="0" borderId="141" xfId="4" applyBorder="1"/>
    <xf numFmtId="0" fontId="0" fillId="0" borderId="141" xfId="0" applyBorder="1"/>
    <xf numFmtId="0" fontId="0" fillId="0" borderId="149" xfId="0" applyBorder="1"/>
    <xf numFmtId="0" fontId="0" fillId="0" borderId="143" xfId="0" applyBorder="1"/>
    <xf numFmtId="0" fontId="0" fillId="0" borderId="0" xfId="0"/>
    <xf numFmtId="0" fontId="38" fillId="0" borderId="0" xfId="0" applyFont="1"/>
    <xf numFmtId="0" fontId="137" fillId="0" borderId="0" xfId="46" applyFont="1" applyFill="1">
      <alignment vertical="center"/>
    </xf>
    <xf numFmtId="0" fontId="137" fillId="0" borderId="0" xfId="46" applyFont="1">
      <alignment vertical="center"/>
    </xf>
    <xf numFmtId="0" fontId="41" fillId="0" borderId="0" xfId="0" applyFont="1"/>
    <xf numFmtId="0" fontId="38" fillId="0" borderId="0" xfId="0" applyFont="1" applyBorder="1"/>
    <xf numFmtId="0" fontId="38" fillId="0" borderId="0" xfId="0" applyFont="1" applyAlignment="1"/>
    <xf numFmtId="165" fontId="0" fillId="0" borderId="0" xfId="0" applyNumberFormat="1" applyBorder="1"/>
    <xf numFmtId="165" fontId="0" fillId="0" borderId="0" xfId="0" applyNumberFormat="1" applyBorder="1" applyAlignment="1">
      <alignment horizontal="right"/>
    </xf>
    <xf numFmtId="0" fontId="0" fillId="0" borderId="0" xfId="0" applyBorder="1" applyAlignment="1">
      <alignment horizontal="right" wrapText="1"/>
    </xf>
    <xf numFmtId="0" fontId="145" fillId="0" borderId="0" xfId="46" applyFont="1" applyBorder="1" applyAlignment="1">
      <alignment horizontal="center" vertical="center"/>
    </xf>
    <xf numFmtId="0" fontId="0" fillId="0" borderId="0" xfId="0"/>
    <xf numFmtId="1" fontId="0" fillId="0" borderId="138" xfId="0" applyNumberFormat="1" applyBorder="1"/>
    <xf numFmtId="165" fontId="0" fillId="0" borderId="0" xfId="0" applyNumberFormat="1" applyBorder="1"/>
    <xf numFmtId="43" fontId="0" fillId="0" borderId="0" xfId="1" applyFont="1" applyFill="1" applyBorder="1"/>
    <xf numFmtId="0" fontId="0" fillId="0" borderId="0" xfId="0" applyBorder="1" applyAlignment="1">
      <alignment horizontal="center"/>
    </xf>
    <xf numFmtId="165" fontId="0" fillId="0" borderId="0" xfId="0" applyNumberFormat="1" applyBorder="1"/>
    <xf numFmtId="0" fontId="0" fillId="0" borderId="0" xfId="0"/>
    <xf numFmtId="0" fontId="0" fillId="0" borderId="0" xfId="0" applyBorder="1" applyAlignment="1">
      <alignment horizontal="right" wrapText="1"/>
    </xf>
    <xf numFmtId="165" fontId="0" fillId="0" borderId="0" xfId="0" applyNumberFormat="1"/>
    <xf numFmtId="0" fontId="151" fillId="0" borderId="0" xfId="46" applyFont="1" applyFill="1" applyBorder="1" applyAlignment="1">
      <alignment horizontal="center" vertical="center"/>
    </xf>
    <xf numFmtId="0" fontId="151" fillId="0" borderId="0" xfId="46" applyFont="1" applyFill="1" applyBorder="1" applyAlignment="1">
      <alignment vertical="center"/>
    </xf>
    <xf numFmtId="0" fontId="152" fillId="0" borderId="0" xfId="46" applyFont="1">
      <alignment vertical="center"/>
    </xf>
    <xf numFmtId="0" fontId="151" fillId="0" borderId="0" xfId="46" applyFont="1" applyFill="1">
      <alignment vertical="center"/>
    </xf>
    <xf numFmtId="0" fontId="0" fillId="0" borderId="0" xfId="0"/>
    <xf numFmtId="0" fontId="78" fillId="0" borderId="0" xfId="46" applyFont="1" applyBorder="1" applyAlignment="1"/>
    <xf numFmtId="0" fontId="78" fillId="0" borderId="163" xfId="46" applyFont="1" applyBorder="1" applyAlignment="1">
      <alignment horizontal="right"/>
    </xf>
    <xf numFmtId="0" fontId="78" fillId="0" borderId="156" xfId="46" applyFont="1" applyFill="1" applyBorder="1" applyAlignment="1">
      <alignment horizontal="center" vertical="center"/>
    </xf>
    <xf numFmtId="0" fontId="78" fillId="0" borderId="164" xfId="46" applyFont="1" applyFill="1" applyBorder="1" applyAlignment="1">
      <alignment horizontal="left" vertical="center"/>
    </xf>
    <xf numFmtId="0" fontId="151" fillId="0" borderId="0" xfId="46" applyFont="1" applyFill="1" applyBorder="1" applyAlignment="1">
      <alignment horizontal="right" vertical="center" wrapText="1"/>
    </xf>
    <xf numFmtId="0" fontId="151" fillId="0" borderId="0" xfId="46" applyFont="1" applyFill="1" applyBorder="1" applyAlignment="1">
      <alignment horizontal="center" vertical="center" wrapText="1"/>
    </xf>
    <xf numFmtId="2" fontId="38" fillId="0" borderId="156" xfId="0" applyNumberFormat="1" applyFont="1" applyBorder="1" applyAlignment="1">
      <alignment horizontal="center"/>
    </xf>
    <xf numFmtId="0" fontId="0" fillId="0" borderId="156" xfId="0" applyBorder="1" applyAlignment="1">
      <alignment horizontal="center"/>
    </xf>
    <xf numFmtId="0" fontId="0" fillId="0" borderId="164" xfId="0" applyBorder="1" applyAlignment="1">
      <alignment horizontal="center"/>
    </xf>
    <xf numFmtId="0" fontId="38" fillId="0" borderId="9" xfId="0" applyFont="1" applyBorder="1"/>
    <xf numFmtId="9" fontId="151" fillId="0" borderId="115" xfId="2" applyNumberFormat="1" applyFont="1" applyBorder="1" applyAlignment="1">
      <alignment vertical="center"/>
    </xf>
    <xf numFmtId="2" fontId="38" fillId="0" borderId="115" xfId="0" applyNumberFormat="1" applyFont="1" applyBorder="1"/>
    <xf numFmtId="2" fontId="151" fillId="0" borderId="115" xfId="46" applyNumberFormat="1" applyFont="1" applyBorder="1">
      <alignment vertical="center"/>
    </xf>
    <xf numFmtId="0" fontId="38" fillId="0" borderId="167" xfId="0" applyFont="1" applyBorder="1"/>
    <xf numFmtId="0" fontId="151" fillId="0" borderId="0" xfId="46" applyFont="1">
      <alignment vertical="center"/>
    </xf>
    <xf numFmtId="0" fontId="151" fillId="0" borderId="0" xfId="46" applyFont="1" applyAlignment="1">
      <alignment vertical="center"/>
    </xf>
    <xf numFmtId="0" fontId="151" fillId="0" borderId="0" xfId="46" applyFont="1" applyBorder="1">
      <alignment vertical="center"/>
    </xf>
    <xf numFmtId="2" fontId="151" fillId="0" borderId="0" xfId="46" applyNumberFormat="1" applyFont="1" applyBorder="1">
      <alignment vertical="center"/>
    </xf>
    <xf numFmtId="0" fontId="38" fillId="0" borderId="0" xfId="0" applyFont="1" applyBorder="1" applyAlignment="1">
      <alignment horizontal="right"/>
    </xf>
    <xf numFmtId="0" fontId="38" fillId="0" borderId="0" xfId="0" applyFont="1" applyBorder="1" applyAlignment="1">
      <alignment horizontal="right" vertical="center"/>
    </xf>
    <xf numFmtId="165" fontId="38" fillId="0" borderId="0" xfId="0" applyNumberFormat="1" applyFont="1" applyBorder="1"/>
    <xf numFmtId="0" fontId="38" fillId="0" borderId="0" xfId="0" applyFont="1" applyBorder="1" applyAlignment="1">
      <alignment horizontal="right" wrapText="1"/>
    </xf>
    <xf numFmtId="0" fontId="38" fillId="0" borderId="0" xfId="0" applyFont="1" applyAlignment="1">
      <alignment vertical="center"/>
    </xf>
    <xf numFmtId="0" fontId="152" fillId="0" borderId="0" xfId="46" applyFont="1" applyFill="1">
      <alignment vertical="center"/>
    </xf>
    <xf numFmtId="9" fontId="38" fillId="0" borderId="115" xfId="2" applyFont="1" applyBorder="1"/>
    <xf numFmtId="2" fontId="38" fillId="0" borderId="115" xfId="0" applyNumberFormat="1" applyFont="1" applyBorder="1"/>
    <xf numFmtId="2" fontId="38" fillId="0" borderId="115" xfId="0" applyNumberFormat="1" applyFont="1" applyBorder="1"/>
    <xf numFmtId="0" fontId="0" fillId="0" borderId="0" xfId="0" applyBorder="1" applyAlignment="1">
      <alignment horizontal="center" wrapText="1"/>
    </xf>
    <xf numFmtId="0" fontId="38" fillId="0" borderId="0" xfId="0" applyFont="1" applyBorder="1" applyAlignment="1">
      <alignment horizontal="center"/>
    </xf>
    <xf numFmtId="0" fontId="38" fillId="0" borderId="0" xfId="0" applyFont="1" applyBorder="1" applyAlignment="1">
      <alignment horizontal="center" vertical="center" wrapText="1"/>
    </xf>
    <xf numFmtId="0" fontId="0" fillId="0" borderId="0" xfId="0" applyBorder="1" applyAlignment="1">
      <alignment wrapText="1"/>
    </xf>
    <xf numFmtId="165" fontId="0" fillId="0" borderId="0" xfId="1" applyNumberFormat="1" applyFont="1" applyBorder="1" applyAlignment="1"/>
    <xf numFmtId="1" fontId="38" fillId="0" borderId="0" xfId="0" applyNumberFormat="1" applyFont="1" applyBorder="1"/>
    <xf numFmtId="1" fontId="36" fillId="0" borderId="0" xfId="0" applyNumberFormat="1" applyFont="1" applyBorder="1"/>
    <xf numFmtId="0" fontId="78" fillId="0" borderId="0" xfId="46" applyFont="1" applyBorder="1" applyAlignment="1">
      <alignment horizontal="right"/>
    </xf>
    <xf numFmtId="0" fontId="78" fillId="0" borderId="0" xfId="46" applyFont="1" applyFill="1" applyBorder="1" applyAlignment="1">
      <alignment horizontal="center" vertical="center"/>
    </xf>
    <xf numFmtId="0" fontId="78" fillId="0" borderId="0" xfId="46" applyFont="1" applyFill="1" applyBorder="1" applyAlignment="1">
      <alignment horizontal="left" vertical="center"/>
    </xf>
    <xf numFmtId="0" fontId="149" fillId="0" borderId="0" xfId="0" applyFont="1" applyBorder="1" applyAlignment="1">
      <alignment horizontal="left" wrapText="1"/>
    </xf>
    <xf numFmtId="9" fontId="38" fillId="0" borderId="115" xfId="2" applyFont="1" applyBorder="1" applyAlignment="1">
      <alignment horizontal="right"/>
    </xf>
    <xf numFmtId="2" fontId="0" fillId="0" borderId="115" xfId="0" applyNumberFormat="1" applyBorder="1"/>
    <xf numFmtId="0" fontId="151" fillId="0" borderId="0" xfId="0" applyFont="1" applyAlignment="1">
      <alignment vertical="center"/>
    </xf>
    <xf numFmtId="0" fontId="151" fillId="0" borderId="115" xfId="2" applyNumberFormat="1" applyFont="1" applyBorder="1" applyAlignment="1">
      <alignment vertical="center"/>
    </xf>
    <xf numFmtId="0" fontId="38" fillId="0" borderId="169" xfId="0" applyFont="1" applyBorder="1"/>
    <xf numFmtId="2" fontId="38" fillId="0" borderId="170" xfId="0" applyNumberFormat="1" applyFont="1" applyBorder="1"/>
    <xf numFmtId="2" fontId="154" fillId="0" borderId="168" xfId="46" applyNumberFormat="1" applyFont="1" applyBorder="1">
      <alignment vertical="center"/>
    </xf>
    <xf numFmtId="2" fontId="151" fillId="0" borderId="115" xfId="2" applyNumberFormat="1" applyFont="1" applyBorder="1" applyAlignment="1">
      <alignment vertical="center"/>
    </xf>
    <xf numFmtId="0" fontId="38" fillId="0" borderId="0" xfId="0" applyFont="1" applyFill="1" applyBorder="1" applyAlignment="1"/>
    <xf numFmtId="0" fontId="0" fillId="0" borderId="0" xfId="0" applyAlignment="1">
      <alignment horizontal="center"/>
    </xf>
    <xf numFmtId="2" fontId="151" fillId="0" borderId="163" xfId="46" applyNumberFormat="1" applyFont="1" applyBorder="1">
      <alignment vertical="center"/>
    </xf>
    <xf numFmtId="2" fontId="151" fillId="0" borderId="163" xfId="46" applyNumberFormat="1" applyFont="1" applyBorder="1">
      <alignment vertical="center"/>
    </xf>
    <xf numFmtId="2" fontId="151" fillId="0" borderId="163" xfId="46" applyNumberFormat="1" applyFont="1" applyBorder="1">
      <alignment vertical="center"/>
    </xf>
    <xf numFmtId="0" fontId="151" fillId="0" borderId="164" xfId="46" applyFont="1" applyBorder="1" applyAlignment="1">
      <alignment horizontal="center" vertical="center"/>
    </xf>
    <xf numFmtId="0" fontId="38" fillId="0" borderId="0" xfId="0" applyFont="1" applyAlignment="1">
      <alignment horizontal="center"/>
    </xf>
    <xf numFmtId="0" fontId="152" fillId="0" borderId="0" xfId="46" applyFont="1" applyAlignment="1">
      <alignment horizontal="center" vertical="center"/>
    </xf>
    <xf numFmtId="2" fontId="151" fillId="0" borderId="163" xfId="46" applyNumberFormat="1" applyFont="1" applyBorder="1">
      <alignment vertical="center"/>
    </xf>
    <xf numFmtId="2" fontId="0" fillId="0" borderId="163" xfId="0" applyNumberFormat="1" applyBorder="1"/>
    <xf numFmtId="0" fontId="0" fillId="40" borderId="137" xfId="0" applyFill="1" applyBorder="1"/>
    <xf numFmtId="0" fontId="38" fillId="40" borderId="149" xfId="0" applyFont="1" applyFill="1" applyBorder="1"/>
    <xf numFmtId="0" fontId="36" fillId="40" borderId="148" xfId="0" applyFont="1" applyFill="1" applyBorder="1" applyAlignment="1">
      <alignment horizontal="right" wrapText="1"/>
    </xf>
    <xf numFmtId="0" fontId="0" fillId="40" borderId="139" xfId="0" applyFill="1" applyBorder="1" applyAlignment="1">
      <alignment horizontal="right"/>
    </xf>
    <xf numFmtId="0" fontId="36" fillId="40" borderId="6" xfId="0" applyFont="1" applyFill="1" applyBorder="1"/>
    <xf numFmtId="2" fontId="36" fillId="40" borderId="115" xfId="0" applyNumberFormat="1" applyFont="1" applyFill="1" applyBorder="1"/>
    <xf numFmtId="0" fontId="36" fillId="40" borderId="174" xfId="0" applyFont="1" applyFill="1" applyBorder="1"/>
    <xf numFmtId="2" fontId="36" fillId="40" borderId="175" xfId="0" applyNumberFormat="1" applyFont="1" applyFill="1" applyBorder="1"/>
    <xf numFmtId="0" fontId="8" fillId="0" borderId="0" xfId="46" applyFont="1" applyBorder="1" applyAlignment="1">
      <alignment horizontal="center" vertical="center"/>
    </xf>
    <xf numFmtId="2" fontId="0" fillId="0" borderId="0" xfId="0" applyNumberFormat="1" applyBorder="1"/>
    <xf numFmtId="0" fontId="4" fillId="0" borderId="111" xfId="0" applyFont="1" applyBorder="1" applyAlignment="1">
      <alignment horizontal="right"/>
    </xf>
    <xf numFmtId="0" fontId="137" fillId="0" borderId="169" xfId="0" applyFont="1" applyBorder="1" applyAlignment="1">
      <alignment horizontal="right" wrapText="1"/>
    </xf>
    <xf numFmtId="0" fontId="137" fillId="0" borderId="9" xfId="0" applyFont="1" applyBorder="1" applyAlignment="1">
      <alignment horizontal="right" wrapText="1"/>
    </xf>
    <xf numFmtId="0" fontId="4" fillId="0" borderId="169" xfId="0" applyFont="1" applyBorder="1" applyAlignment="1">
      <alignment horizontal="right"/>
    </xf>
    <xf numFmtId="0" fontId="4" fillId="0" borderId="170" xfId="0" applyFont="1" applyBorder="1" applyAlignment="1">
      <alignment horizontal="right"/>
    </xf>
    <xf numFmtId="2" fontId="0" fillId="0" borderId="9" xfId="0" applyNumberFormat="1" applyBorder="1"/>
    <xf numFmtId="0" fontId="36" fillId="0" borderId="0" xfId="0" applyFont="1" applyBorder="1" applyAlignment="1">
      <alignment horizontal="center"/>
    </xf>
    <xf numFmtId="0" fontId="10" fillId="0" borderId="0" xfId="46" applyFont="1" applyBorder="1">
      <alignment vertical="center"/>
    </xf>
    <xf numFmtId="0" fontId="137" fillId="0" borderId="0" xfId="0" applyFont="1" applyBorder="1" applyAlignment="1">
      <alignment horizontal="right" wrapText="1"/>
    </xf>
    <xf numFmtId="9" fontId="142" fillId="0" borderId="0" xfId="2" applyNumberFormat="1" applyFont="1" applyFill="1" applyBorder="1" applyAlignment="1">
      <alignment horizontal="right" wrapText="1"/>
    </xf>
    <xf numFmtId="9" fontId="142" fillId="0" borderId="0" xfId="2" applyNumberFormat="1" applyFont="1" applyBorder="1" applyAlignment="1">
      <alignment horizontal="right" vertical="center"/>
    </xf>
    <xf numFmtId="0" fontId="140" fillId="0" borderId="0" xfId="46" applyFont="1" applyFill="1" applyBorder="1" applyAlignment="1">
      <alignment horizontal="right" vertical="center"/>
    </xf>
    <xf numFmtId="165" fontId="148" fillId="0" borderId="0" xfId="0" applyNumberFormat="1" applyFont="1" applyBorder="1"/>
    <xf numFmtId="0" fontId="148" fillId="0" borderId="0" xfId="0" applyFont="1" applyBorder="1"/>
    <xf numFmtId="0" fontId="52" fillId="0" borderId="0" xfId="0" applyFont="1" applyBorder="1"/>
    <xf numFmtId="0" fontId="137" fillId="0" borderId="0" xfId="46" applyFont="1" applyFill="1" applyBorder="1" applyAlignment="1">
      <alignment horizontal="center" vertical="center" wrapText="1"/>
    </xf>
    <xf numFmtId="0" fontId="137" fillId="0" borderId="0" xfId="46" applyFont="1" applyBorder="1" applyAlignment="1">
      <alignment horizontal="center" vertical="center" wrapText="1"/>
    </xf>
    <xf numFmtId="0" fontId="137" fillId="0" borderId="73" xfId="46" applyFont="1" applyBorder="1" applyAlignment="1">
      <alignment horizontal="right" vertical="center"/>
    </xf>
    <xf numFmtId="2" fontId="142" fillId="0" borderId="0" xfId="46" applyNumberFormat="1" applyFont="1" applyBorder="1" applyAlignment="1">
      <alignment horizontal="right" vertical="center"/>
    </xf>
    <xf numFmtId="0" fontId="9" fillId="0" borderId="94" xfId="46" applyFont="1" applyFill="1" applyBorder="1" applyAlignment="1">
      <alignment horizontal="center" vertical="center" wrapText="1"/>
    </xf>
    <xf numFmtId="1" fontId="10" fillId="0" borderId="163" xfId="46" applyNumberFormat="1" applyFont="1" applyBorder="1">
      <alignment vertical="center"/>
    </xf>
    <xf numFmtId="9" fontId="10" fillId="0" borderId="156" xfId="2" applyFont="1" applyBorder="1" applyAlignment="1">
      <alignment vertical="center"/>
    </xf>
    <xf numFmtId="0" fontId="11" fillId="0" borderId="164" xfId="0" applyFont="1" applyBorder="1"/>
    <xf numFmtId="0" fontId="142" fillId="0" borderId="59" xfId="46" applyFont="1" applyBorder="1">
      <alignment vertical="center"/>
    </xf>
    <xf numFmtId="0" fontId="140" fillId="39" borderId="161" xfId="46" applyFont="1" applyFill="1" applyBorder="1" applyAlignment="1">
      <alignment horizontal="center" vertical="center"/>
    </xf>
    <xf numFmtId="0" fontId="142" fillId="0" borderId="115" xfId="46" applyFont="1" applyFill="1" applyBorder="1" applyAlignment="1">
      <alignment horizontal="right" vertical="center" wrapText="1"/>
    </xf>
    <xf numFmtId="0" fontId="142" fillId="0" borderId="9" xfId="46" applyFont="1" applyBorder="1" applyAlignment="1">
      <alignment horizontal="right" vertical="center"/>
    </xf>
    <xf numFmtId="2" fontId="142" fillId="0" borderId="169" xfId="46" applyNumberFormat="1" applyFont="1" applyBorder="1" applyAlignment="1">
      <alignment horizontal="right" vertical="center"/>
    </xf>
    <xf numFmtId="2" fontId="142" fillId="0" borderId="170" xfId="46" applyNumberFormat="1" applyFont="1" applyFill="1" applyBorder="1" applyAlignment="1">
      <alignment horizontal="right" vertical="center" wrapText="1"/>
    </xf>
    <xf numFmtId="2" fontId="142" fillId="0" borderId="169" xfId="46" applyNumberFormat="1" applyFont="1" applyFill="1" applyBorder="1" applyAlignment="1">
      <alignment horizontal="right"/>
    </xf>
    <xf numFmtId="0" fontId="142" fillId="0" borderId="144" xfId="46" applyFont="1" applyBorder="1" applyAlignment="1">
      <alignment horizontal="right" vertical="center"/>
    </xf>
    <xf numFmtId="2" fontId="142" fillId="0" borderId="144" xfId="46" applyNumberFormat="1" applyFont="1" applyBorder="1" applyAlignment="1">
      <alignment horizontal="right" vertical="center"/>
    </xf>
    <xf numFmtId="2" fontId="142" fillId="0" borderId="147" xfId="46" applyNumberFormat="1" applyFont="1" applyBorder="1" applyAlignment="1">
      <alignment horizontal="right" vertical="center"/>
    </xf>
    <xf numFmtId="2" fontId="142" fillId="0" borderId="175" xfId="46" applyNumberFormat="1" applyFont="1" applyFill="1" applyBorder="1" applyAlignment="1">
      <alignment horizontal="right" vertical="center" wrapText="1"/>
    </xf>
    <xf numFmtId="2" fontId="142" fillId="0" borderId="136" xfId="46" applyNumberFormat="1" applyFont="1" applyBorder="1" applyAlignment="1">
      <alignment horizontal="right" vertical="center"/>
    </xf>
    <xf numFmtId="2" fontId="142" fillId="0" borderId="61" xfId="46" applyNumberFormat="1" applyFont="1" applyBorder="1" applyAlignment="1">
      <alignment horizontal="right" vertical="center"/>
    </xf>
    <xf numFmtId="2" fontId="142" fillId="0" borderId="115" xfId="46" applyNumberFormat="1" applyFont="1" applyBorder="1" applyAlignment="1">
      <alignment horizontal="right" vertical="center"/>
    </xf>
    <xf numFmtId="2" fontId="142" fillId="0" borderId="176" xfId="46" applyNumberFormat="1" applyFont="1" applyBorder="1" applyAlignment="1">
      <alignment horizontal="right" vertical="center"/>
    </xf>
    <xf numFmtId="2" fontId="142" fillId="0" borderId="175" xfId="46" applyNumberFormat="1" applyFont="1" applyBorder="1" applyAlignment="1">
      <alignment horizontal="right" vertical="center"/>
    </xf>
    <xf numFmtId="2" fontId="0" fillId="0" borderId="59" xfId="0" applyNumberFormat="1" applyBorder="1"/>
    <xf numFmtId="2" fontId="0" fillId="0" borderId="136" xfId="0" applyNumberFormat="1" applyBorder="1"/>
    <xf numFmtId="2" fontId="0" fillId="0" borderId="61" xfId="0" applyNumberFormat="1" applyBorder="1"/>
    <xf numFmtId="2" fontId="151" fillId="0" borderId="59" xfId="46" applyNumberFormat="1" applyFont="1" applyBorder="1">
      <alignment vertical="center"/>
    </xf>
    <xf numFmtId="2" fontId="151" fillId="0" borderId="136" xfId="46" applyNumberFormat="1" applyFont="1" applyBorder="1">
      <alignment vertical="center"/>
    </xf>
    <xf numFmtId="2" fontId="151" fillId="0" borderId="61" xfId="46" applyNumberFormat="1" applyFont="1" applyBorder="1">
      <alignment vertical="center"/>
    </xf>
    <xf numFmtId="2" fontId="151" fillId="0" borderId="9" xfId="46" applyNumberFormat="1" applyFont="1" applyBorder="1">
      <alignment vertical="center"/>
    </xf>
    <xf numFmtId="0" fontId="154" fillId="0" borderId="0" xfId="46" applyFont="1" applyBorder="1" applyAlignment="1">
      <alignment horizontal="right" vertical="center"/>
    </xf>
    <xf numFmtId="1" fontId="154" fillId="0" borderId="0" xfId="46" applyNumberFormat="1" applyFont="1" applyBorder="1">
      <alignment vertical="center"/>
    </xf>
    <xf numFmtId="0" fontId="154" fillId="0" borderId="59" xfId="0" applyFont="1" applyFill="1" applyBorder="1" applyAlignment="1">
      <alignment horizontal="right" wrapText="1"/>
    </xf>
    <xf numFmtId="0" fontId="154" fillId="0" borderId="9" xfId="46" applyFont="1" applyBorder="1" applyAlignment="1">
      <alignment horizontal="right" vertical="center"/>
    </xf>
    <xf numFmtId="0" fontId="154" fillId="0" borderId="144" xfId="46" applyFont="1" applyBorder="1" applyAlignment="1">
      <alignment horizontal="right" vertical="center"/>
    </xf>
    <xf numFmtId="165" fontId="156" fillId="0" borderId="59" xfId="0" applyNumberFormat="1" applyFont="1" applyBorder="1"/>
    <xf numFmtId="165" fontId="156" fillId="0" borderId="136" xfId="0" applyNumberFormat="1" applyFont="1" applyBorder="1"/>
    <xf numFmtId="165" fontId="156" fillId="0" borderId="61" xfId="0" applyNumberFormat="1" applyFont="1" applyBorder="1"/>
    <xf numFmtId="165" fontId="156" fillId="0" borderId="9" xfId="0" applyNumberFormat="1" applyFont="1" applyBorder="1"/>
    <xf numFmtId="165" fontId="156" fillId="0" borderId="0" xfId="0" applyNumberFormat="1" applyFont="1" applyBorder="1"/>
    <xf numFmtId="165" fontId="156" fillId="0" borderId="115" xfId="0" applyNumberFormat="1" applyFont="1" applyBorder="1"/>
    <xf numFmtId="165" fontId="154" fillId="0" borderId="144" xfId="2" applyNumberFormat="1" applyFont="1" applyBorder="1" applyAlignment="1">
      <alignment horizontal="right" vertical="center"/>
    </xf>
    <xf numFmtId="165" fontId="154" fillId="0" borderId="176" xfId="2" applyNumberFormat="1" applyFont="1" applyBorder="1" applyAlignment="1">
      <alignment horizontal="right" vertical="center"/>
    </xf>
    <xf numFmtId="165" fontId="154" fillId="0" borderId="175" xfId="2" applyNumberFormat="1" applyFont="1" applyBorder="1" applyAlignment="1">
      <alignment horizontal="right" vertical="center"/>
    </xf>
    <xf numFmtId="0" fontId="76" fillId="0" borderId="177" xfId="0" applyFont="1" applyBorder="1" applyAlignment="1">
      <alignment vertical="center"/>
    </xf>
    <xf numFmtId="0" fontId="0" fillId="0" borderId="178" xfId="0" applyBorder="1" applyAlignment="1">
      <alignment horizontal="center" vertical="center"/>
    </xf>
    <xf numFmtId="0" fontId="0" fillId="0" borderId="178" xfId="0" applyBorder="1" applyAlignment="1">
      <alignment vertical="center"/>
    </xf>
    <xf numFmtId="0" fontId="0" fillId="0" borderId="177" xfId="0" applyBorder="1"/>
    <xf numFmtId="0" fontId="0" fillId="0" borderId="152" xfId="0" applyFont="1" applyBorder="1"/>
    <xf numFmtId="168" fontId="75" fillId="0" borderId="178" xfId="1" applyNumberFormat="1" applyFont="1" applyFill="1" applyBorder="1" applyAlignment="1">
      <alignment vertical="center"/>
    </xf>
    <xf numFmtId="165" fontId="0" fillId="0" borderId="7" xfId="0" applyNumberFormat="1" applyFont="1" applyBorder="1"/>
    <xf numFmtId="1" fontId="78" fillId="0" borderId="7" xfId="0" applyNumberFormat="1" applyFont="1" applyBorder="1" applyAlignment="1">
      <alignment vertical="center"/>
    </xf>
    <xf numFmtId="1" fontId="0" fillId="0" borderId="7" xfId="0" applyNumberFormat="1" applyFont="1" applyBorder="1"/>
    <xf numFmtId="1" fontId="76" fillId="0" borderId="7" xfId="0" applyNumberFormat="1" applyFont="1" applyFill="1" applyBorder="1" applyAlignment="1">
      <alignment vertical="center"/>
    </xf>
    <xf numFmtId="1" fontId="78" fillId="0" borderId="7" xfId="0" applyNumberFormat="1" applyFont="1" applyFill="1" applyBorder="1" applyAlignment="1">
      <alignment vertical="center"/>
    </xf>
    <xf numFmtId="186" fontId="75" fillId="0" borderId="79" xfId="1" applyNumberFormat="1" applyFont="1" applyFill="1" applyBorder="1" applyAlignment="1">
      <alignment vertical="center"/>
    </xf>
    <xf numFmtId="169" fontId="82" fillId="0" borderId="31" xfId="55" applyNumberFormat="1" applyFont="1" applyBorder="1"/>
    <xf numFmtId="0" fontId="58" fillId="0" borderId="0" xfId="0" applyFont="1" applyBorder="1" applyAlignment="1">
      <alignment vertical="center"/>
    </xf>
    <xf numFmtId="2" fontId="58" fillId="0" borderId="0" xfId="0" applyNumberFormat="1" applyFont="1" applyBorder="1" applyAlignment="1">
      <alignment vertical="center"/>
    </xf>
    <xf numFmtId="0" fontId="147" fillId="0" borderId="0" xfId="0" applyFont="1" applyBorder="1"/>
    <xf numFmtId="0" fontId="142" fillId="0" borderId="0" xfId="46" applyFont="1" applyFill="1" applyBorder="1" applyAlignment="1">
      <alignment horizontal="right" wrapText="1"/>
    </xf>
    <xf numFmtId="0" fontId="133" fillId="0" borderId="0" xfId="0" applyFont="1" applyBorder="1"/>
    <xf numFmtId="0" fontId="158" fillId="0" borderId="0" xfId="0" applyFont="1" applyBorder="1"/>
    <xf numFmtId="0" fontId="157" fillId="0" borderId="0" xfId="0" applyFont="1" applyBorder="1" applyAlignment="1">
      <alignment horizontal="right" vertical="center"/>
    </xf>
    <xf numFmtId="168" fontId="142" fillId="0" borderId="0" xfId="1" applyNumberFormat="1" applyFont="1" applyFill="1" applyBorder="1" applyAlignment="1" applyProtection="1">
      <alignment horizontal="right" vertical="center"/>
      <protection locked="0"/>
    </xf>
    <xf numFmtId="0" fontId="157" fillId="0" borderId="0" xfId="0" applyFont="1" applyBorder="1" applyAlignment="1">
      <alignment horizontal="right"/>
    </xf>
    <xf numFmtId="0" fontId="158" fillId="0" borderId="0" xfId="0" applyFont="1" applyBorder="1" applyAlignment="1">
      <alignment horizontal="left" vertical="center"/>
    </xf>
    <xf numFmtId="168" fontId="142" fillId="0" borderId="0" xfId="1" applyNumberFormat="1" applyFont="1" applyFill="1" applyBorder="1" applyAlignment="1" applyProtection="1">
      <alignment horizontal="left" vertical="center"/>
      <protection locked="0"/>
    </xf>
    <xf numFmtId="9" fontId="140" fillId="0" borderId="0" xfId="2" applyFont="1" applyFill="1" applyBorder="1" applyAlignment="1" applyProtection="1">
      <alignment horizontal="left" vertical="center"/>
      <protection locked="0"/>
    </xf>
    <xf numFmtId="182" fontId="5" fillId="0" borderId="0" xfId="2" applyNumberFormat="1" applyFont="1" applyFill="1" applyBorder="1" applyAlignment="1" applyProtection="1">
      <alignment horizontal="right" vertical="center"/>
      <protection locked="0"/>
    </xf>
    <xf numFmtId="182" fontId="142" fillId="0" borderId="0" xfId="2" applyNumberFormat="1" applyFont="1" applyFill="1" applyBorder="1" applyAlignment="1" applyProtection="1">
      <alignment horizontal="right" vertical="center"/>
      <protection locked="0"/>
    </xf>
    <xf numFmtId="182" fontId="147" fillId="0" borderId="0" xfId="2" applyNumberFormat="1" applyFont="1" applyBorder="1"/>
    <xf numFmtId="168" fontId="158" fillId="0" borderId="0" xfId="1" applyNumberFormat="1" applyFont="1" applyBorder="1"/>
    <xf numFmtId="168" fontId="159" fillId="0" borderId="0" xfId="0" applyNumberFormat="1" applyFont="1" applyBorder="1"/>
    <xf numFmtId="43" fontId="158" fillId="0" borderId="0" xfId="1" applyNumberFormat="1" applyFont="1" applyBorder="1"/>
    <xf numFmtId="43" fontId="142" fillId="0" borderId="0" xfId="1" applyNumberFormat="1" applyFont="1" applyFill="1" applyBorder="1" applyAlignment="1" applyProtection="1">
      <alignment horizontal="right" vertical="center"/>
      <protection locked="0"/>
    </xf>
    <xf numFmtId="0" fontId="161" fillId="0" borderId="0" xfId="0" applyFont="1" applyBorder="1"/>
    <xf numFmtId="0" fontId="162" fillId="0" borderId="0" xfId="0" applyFont="1" applyBorder="1" applyAlignment="1">
      <alignment horizontal="center"/>
    </xf>
    <xf numFmtId="0" fontId="163" fillId="0" borderId="0" xfId="0" applyFont="1" applyBorder="1" applyAlignment="1">
      <alignment horizontal="center" vertical="center" wrapText="1"/>
    </xf>
    <xf numFmtId="168" fontId="140" fillId="0" borderId="0" xfId="1" applyNumberFormat="1" applyFont="1" applyFill="1" applyBorder="1" applyAlignment="1" applyProtection="1">
      <alignment horizontal="center" vertical="center"/>
      <protection locked="0"/>
    </xf>
    <xf numFmtId="0" fontId="0" fillId="0" borderId="0" xfId="0" applyFont="1"/>
    <xf numFmtId="0" fontId="0" fillId="0" borderId="0" xfId="0" applyFont="1" applyBorder="1" applyAlignment="1">
      <alignment vertical="center"/>
    </xf>
    <xf numFmtId="0" fontId="76" fillId="0" borderId="0" xfId="0" applyFont="1" applyFill="1" applyBorder="1" applyAlignment="1">
      <alignment vertical="center" wrapText="1"/>
    </xf>
    <xf numFmtId="168" fontId="78" fillId="0" borderId="0" xfId="1" applyNumberFormat="1" applyFont="1" applyFill="1" applyBorder="1" applyAlignment="1" applyProtection="1">
      <alignment horizontal="right" vertical="center"/>
      <protection locked="0"/>
    </xf>
    <xf numFmtId="0" fontId="78" fillId="0" borderId="0" xfId="0" applyNumberFormat="1" applyFont="1" applyFill="1" applyBorder="1" applyAlignment="1">
      <alignment horizontal="right" vertical="center" wrapText="1"/>
    </xf>
    <xf numFmtId="189" fontId="76" fillId="0" borderId="0" xfId="0" applyNumberFormat="1" applyFont="1" applyFill="1" applyBorder="1" applyAlignment="1">
      <alignment horizontal="center" vertical="center" wrapText="1"/>
    </xf>
    <xf numFmtId="182" fontId="78" fillId="0" borderId="0" xfId="2" applyNumberFormat="1" applyFont="1" applyFill="1" applyBorder="1" applyAlignment="1" applyProtection="1">
      <alignment horizontal="right" vertical="center"/>
      <protection locked="0"/>
    </xf>
    <xf numFmtId="168" fontId="164" fillId="0" borderId="0" xfId="0" applyNumberFormat="1" applyFont="1" applyBorder="1" applyAlignment="1">
      <alignment horizontal="left" vertical="center"/>
    </xf>
    <xf numFmtId="168" fontId="165" fillId="0" borderId="0" xfId="0" applyNumberFormat="1" applyFont="1" applyBorder="1" applyAlignment="1">
      <alignment horizontal="left" vertical="center"/>
    </xf>
    <xf numFmtId="0" fontId="165" fillId="0" borderId="0" xfId="0" applyFont="1" applyBorder="1" applyAlignment="1">
      <alignment horizontal="left" vertical="center"/>
    </xf>
    <xf numFmtId="168" fontId="78" fillId="0" borderId="0" xfId="1" applyNumberFormat="1" applyFont="1" applyFill="1" applyBorder="1" applyAlignment="1" applyProtection="1">
      <alignment horizontal="left" vertical="center"/>
      <protection locked="0"/>
    </xf>
    <xf numFmtId="9" fontId="78" fillId="0" borderId="0" xfId="2" applyFont="1" applyFill="1" applyBorder="1" applyAlignment="1" applyProtection="1">
      <alignment horizontal="right" vertical="center"/>
      <protection locked="0"/>
    </xf>
    <xf numFmtId="189" fontId="78" fillId="0" borderId="0" xfId="0" applyNumberFormat="1" applyFont="1" applyFill="1" applyBorder="1" applyAlignment="1">
      <alignment horizontal="right" vertical="center" wrapText="1"/>
    </xf>
    <xf numFmtId="0" fontId="164" fillId="0" borderId="0" xfId="0" applyFont="1" applyBorder="1" applyAlignment="1">
      <alignment horizontal="right"/>
    </xf>
    <xf numFmtId="182" fontId="78" fillId="0" borderId="0" xfId="1" applyNumberFormat="1" applyFont="1" applyFill="1" applyBorder="1" applyAlignment="1" applyProtection="1">
      <alignment horizontal="right" vertical="center"/>
      <protection locked="0"/>
    </xf>
    <xf numFmtId="0" fontId="164" fillId="0" borderId="0" xfId="0" applyFont="1" applyBorder="1" applyAlignment="1">
      <alignment horizontal="right" vertical="center"/>
    </xf>
    <xf numFmtId="0" fontId="4" fillId="0" borderId="0" xfId="0" applyFont="1" applyBorder="1" applyAlignment="1">
      <alignment horizontal="center" vertical="center" wrapText="1"/>
    </xf>
    <xf numFmtId="0" fontId="165" fillId="0" borderId="0" xfId="0" applyFont="1" applyBorder="1"/>
    <xf numFmtId="0" fontId="0" fillId="0" borderId="0" xfId="0" applyFont="1" applyBorder="1"/>
    <xf numFmtId="9" fontId="76" fillId="0" borderId="0" xfId="2" applyFont="1" applyFill="1" applyBorder="1" applyAlignment="1" applyProtection="1">
      <alignment horizontal="left" vertical="center"/>
      <protection locked="0"/>
    </xf>
    <xf numFmtId="0" fontId="78" fillId="0" borderId="0" xfId="46" applyFont="1" applyFill="1" applyBorder="1" applyAlignment="1">
      <alignment horizontal="right" wrapText="1"/>
    </xf>
    <xf numFmtId="43" fontId="78" fillId="0" borderId="0" xfId="1" applyNumberFormat="1" applyFont="1" applyFill="1" applyBorder="1" applyAlignment="1" applyProtection="1">
      <alignment horizontal="right" vertical="center"/>
      <protection locked="0"/>
    </xf>
    <xf numFmtId="168" fontId="4" fillId="0" borderId="176" xfId="1" applyNumberFormat="1" applyFont="1" applyBorder="1"/>
    <xf numFmtId="0" fontId="58" fillId="0" borderId="137" xfId="0" applyFont="1" applyBorder="1" applyAlignment="1">
      <alignment horizontal="center"/>
    </xf>
    <xf numFmtId="0" fontId="0" fillId="0" borderId="138" xfId="0" applyBorder="1" applyAlignment="1">
      <alignment horizontal="center"/>
    </xf>
    <xf numFmtId="0" fontId="58" fillId="0" borderId="136" xfId="0" applyFont="1" applyBorder="1" applyAlignment="1">
      <alignment horizontal="center"/>
    </xf>
    <xf numFmtId="0" fontId="59" fillId="0" borderId="137" xfId="0" applyFont="1" applyBorder="1" applyAlignment="1">
      <alignment horizontal="center"/>
    </xf>
    <xf numFmtId="0" fontId="4" fillId="0" borderId="138" xfId="0" applyFont="1" applyBorder="1" applyAlignment="1">
      <alignment horizontal="center"/>
    </xf>
    <xf numFmtId="168" fontId="0" fillId="0" borderId="141" xfId="1" applyNumberFormat="1" applyFont="1" applyBorder="1"/>
    <xf numFmtId="168" fontId="4" fillId="0" borderId="141" xfId="1" applyNumberFormat="1" applyFont="1" applyBorder="1"/>
    <xf numFmtId="168" fontId="4" fillId="0" borderId="31" xfId="1" applyNumberFormat="1" applyFont="1" applyBorder="1"/>
    <xf numFmtId="168" fontId="4" fillId="0" borderId="149" xfId="1" applyNumberFormat="1" applyFont="1" applyBorder="1"/>
    <xf numFmtId="168" fontId="4" fillId="0" borderId="143" xfId="1" applyNumberFormat="1" applyFont="1" applyBorder="1"/>
    <xf numFmtId="190" fontId="5" fillId="0" borderId="149" xfId="1" applyNumberFormat="1" applyFont="1" applyFill="1" applyBorder="1" applyAlignment="1" applyProtection="1">
      <alignment horizontal="right" vertical="center"/>
      <protection locked="0"/>
    </xf>
    <xf numFmtId="190" fontId="5" fillId="0" borderId="31" xfId="1" applyNumberFormat="1" applyFont="1" applyFill="1" applyBorder="1" applyAlignment="1" applyProtection="1">
      <alignment horizontal="right" vertical="center"/>
      <protection locked="0"/>
    </xf>
    <xf numFmtId="190" fontId="0" fillId="0" borderId="31" xfId="1" applyNumberFormat="1" applyFont="1" applyBorder="1"/>
    <xf numFmtId="190" fontId="0" fillId="0" borderId="149" xfId="1" applyNumberFormat="1" applyFont="1" applyBorder="1"/>
    <xf numFmtId="190" fontId="0" fillId="0" borderId="143" xfId="1" applyNumberFormat="1" applyFont="1" applyBorder="1"/>
    <xf numFmtId="182" fontId="0" fillId="0" borderId="0" xfId="0" applyNumberFormat="1"/>
    <xf numFmtId="191" fontId="0" fillId="0" borderId="0" xfId="0" applyNumberFormat="1" applyFont="1" applyBorder="1"/>
    <xf numFmtId="0" fontId="4" fillId="0" borderId="0" xfId="0" applyFont="1" applyBorder="1" applyAlignment="1">
      <alignment horizontal="center" wrapText="1"/>
    </xf>
    <xf numFmtId="1" fontId="78" fillId="0" borderId="0" xfId="0" applyNumberFormat="1" applyFont="1" applyFill="1" applyBorder="1" applyAlignment="1">
      <alignment horizontal="right" vertical="center" wrapText="1"/>
    </xf>
    <xf numFmtId="182" fontId="0" fillId="0" borderId="0" xfId="2" applyNumberFormat="1" applyFont="1" applyBorder="1"/>
    <xf numFmtId="0" fontId="165" fillId="0" borderId="0" xfId="0" applyFont="1" applyBorder="1" applyAlignment="1">
      <alignment vertical="center"/>
    </xf>
    <xf numFmtId="0" fontId="157" fillId="0" borderId="0" xfId="0" applyFont="1" applyBorder="1" applyAlignment="1">
      <alignment horizontal="center" vertical="center" wrapText="1"/>
    </xf>
    <xf numFmtId="0" fontId="157" fillId="0" borderId="0" xfId="0" applyFont="1" applyBorder="1" applyAlignment="1">
      <alignment horizontal="center" vertical="center"/>
    </xf>
    <xf numFmtId="168" fontId="140" fillId="0" borderId="0" xfId="1" applyNumberFormat="1" applyFont="1" applyFill="1" applyBorder="1" applyAlignment="1" applyProtection="1">
      <alignment horizontal="center" vertical="center" wrapText="1"/>
      <protection locked="0"/>
    </xf>
    <xf numFmtId="43" fontId="140" fillId="0" borderId="0" xfId="1" applyNumberFormat="1" applyFont="1" applyFill="1" applyBorder="1" applyAlignment="1" applyProtection="1">
      <alignment horizontal="center" vertical="center"/>
      <protection locked="0"/>
    </xf>
    <xf numFmtId="10" fontId="158" fillId="0" borderId="0" xfId="0" applyNumberFormat="1" applyFont="1" applyBorder="1"/>
    <xf numFmtId="0" fontId="142" fillId="0" borderId="0" xfId="0" applyNumberFormat="1" applyFont="1" applyFill="1" applyBorder="1" applyAlignment="1">
      <alignment horizontal="right" vertical="center" wrapText="1"/>
    </xf>
    <xf numFmtId="1" fontId="142" fillId="0" borderId="0" xfId="0" applyNumberFormat="1" applyFont="1" applyFill="1" applyBorder="1" applyAlignment="1">
      <alignment horizontal="right" vertical="center" wrapText="1"/>
    </xf>
    <xf numFmtId="0" fontId="158" fillId="0" borderId="0" xfId="0" applyFont="1" applyBorder="1" applyAlignment="1">
      <alignment horizontal="right"/>
    </xf>
    <xf numFmtId="9" fontId="140" fillId="0" borderId="0" xfId="2" applyFont="1" applyFill="1" applyBorder="1" applyAlignment="1" applyProtection="1">
      <alignment horizontal="right" vertical="center"/>
      <protection locked="0"/>
    </xf>
    <xf numFmtId="0" fontId="140" fillId="0" borderId="0" xfId="0" applyFont="1" applyFill="1" applyBorder="1" applyAlignment="1">
      <alignment horizontal="right" vertical="center" wrapText="1"/>
    </xf>
    <xf numFmtId="10" fontId="158" fillId="0" borderId="0" xfId="2" applyNumberFormat="1" applyFont="1" applyBorder="1"/>
    <xf numFmtId="182" fontId="142" fillId="0" borderId="0" xfId="2" applyNumberFormat="1" applyFont="1" applyFill="1" applyBorder="1" applyAlignment="1" applyProtection="1">
      <alignment horizontal="left" vertical="center"/>
      <protection locked="0"/>
    </xf>
    <xf numFmtId="0" fontId="147" fillId="0" borderId="0" xfId="0" applyFont="1" applyBorder="1" applyAlignment="1">
      <alignment vertical="center"/>
    </xf>
    <xf numFmtId="182" fontId="142" fillId="0" borderId="0" xfId="2" applyNumberFormat="1" applyFont="1" applyFill="1" applyBorder="1" applyAlignment="1" applyProtection="1">
      <alignment vertical="center"/>
      <protection locked="0"/>
    </xf>
    <xf numFmtId="0" fontId="157" fillId="0" borderId="0" xfId="0" applyFont="1" applyBorder="1"/>
    <xf numFmtId="0" fontId="157" fillId="0" borderId="0" xfId="0" applyFont="1" applyBorder="1" applyAlignment="1">
      <alignment horizontal="center"/>
    </xf>
    <xf numFmtId="0" fontId="160" fillId="0" borderId="0" xfId="0" applyFont="1" applyBorder="1" applyAlignment="1">
      <alignment horizontal="center" vertical="center" wrapText="1"/>
    </xf>
    <xf numFmtId="0" fontId="155" fillId="0" borderId="0" xfId="0" applyFont="1" applyBorder="1" applyAlignment="1">
      <alignment horizontal="center" wrapText="1"/>
    </xf>
    <xf numFmtId="0" fontId="1" fillId="0" borderId="0" xfId="0" applyFont="1" applyBorder="1"/>
    <xf numFmtId="191" fontId="1" fillId="0" borderId="0" xfId="0" applyNumberFormat="1" applyFont="1" applyBorder="1"/>
    <xf numFmtId="168" fontId="158" fillId="0" borderId="0" xfId="0" applyNumberFormat="1" applyFont="1" applyBorder="1"/>
    <xf numFmtId="43" fontId="158" fillId="0" borderId="0" xfId="0" applyNumberFormat="1" applyFont="1" applyBorder="1"/>
    <xf numFmtId="2" fontId="4" fillId="0" borderId="136" xfId="1" applyNumberFormat="1" applyFont="1" applyBorder="1"/>
    <xf numFmtId="178" fontId="0" fillId="0" borderId="111" xfId="1" applyNumberFormat="1" applyFont="1" applyBorder="1"/>
    <xf numFmtId="178" fontId="0" fillId="0" borderId="179" xfId="1" applyNumberFormat="1" applyFont="1" applyBorder="1"/>
    <xf numFmtId="178" fontId="0" fillId="0" borderId="180" xfId="1" applyNumberFormat="1" applyFont="1" applyBorder="1"/>
    <xf numFmtId="0" fontId="50" fillId="0" borderId="176" xfId="0" applyFont="1" applyBorder="1"/>
    <xf numFmtId="2" fontId="0" fillId="0" borderId="42" xfId="0" applyNumberFormat="1" applyBorder="1"/>
    <xf numFmtId="2" fontId="0" fillId="0" borderId="152" xfId="0" applyNumberFormat="1" applyBorder="1"/>
    <xf numFmtId="0" fontId="166" fillId="0" borderId="0" xfId="0" applyFont="1" applyBorder="1"/>
    <xf numFmtId="0" fontId="166" fillId="0" borderId="0" xfId="0" applyFont="1"/>
    <xf numFmtId="0" fontId="166" fillId="0" borderId="141" xfId="0" applyFont="1" applyBorder="1"/>
    <xf numFmtId="0" fontId="166" fillId="0" borderId="31" xfId="0" applyFont="1" applyBorder="1"/>
    <xf numFmtId="0" fontId="166" fillId="0" borderId="143" xfId="0" applyFont="1" applyBorder="1"/>
    <xf numFmtId="0" fontId="8" fillId="0" borderId="0" xfId="57" applyFont="1" applyBorder="1" applyAlignment="1">
      <alignment wrapText="1"/>
    </xf>
    <xf numFmtId="0" fontId="58" fillId="0" borderId="0" xfId="0" applyFont="1" applyBorder="1" applyAlignment="1">
      <alignment horizontal="center"/>
    </xf>
    <xf numFmtId="1" fontId="65" fillId="0" borderId="31" xfId="0" applyNumberFormat="1" applyFont="1" applyFill="1" applyBorder="1" applyAlignment="1">
      <alignment horizontal="right" vertical="center" wrapText="1"/>
    </xf>
    <xf numFmtId="0" fontId="58" fillId="0" borderId="31" xfId="0" applyFont="1" applyBorder="1" applyAlignment="1">
      <alignment horizontal="center"/>
    </xf>
    <xf numFmtId="0" fontId="66" fillId="0" borderId="0" xfId="0" applyFont="1" applyBorder="1"/>
    <xf numFmtId="39" fontId="58" fillId="0" borderId="0" xfId="0" applyNumberFormat="1" applyFont="1" applyBorder="1"/>
    <xf numFmtId="2" fontId="58" fillId="0" borderId="0" xfId="0" applyNumberFormat="1" applyFont="1" applyBorder="1"/>
    <xf numFmtId="1" fontId="58" fillId="0" borderId="188" xfId="0" applyNumberFormat="1" applyFont="1" applyBorder="1" applyAlignment="1">
      <alignment horizontal="center"/>
    </xf>
    <xf numFmtId="165" fontId="58" fillId="0" borderId="0" xfId="0" applyNumberFormat="1" applyFont="1" applyBorder="1"/>
    <xf numFmtId="178" fontId="58" fillId="0" borderId="0" xfId="0" applyNumberFormat="1" applyFont="1" applyBorder="1"/>
    <xf numFmtId="0" fontId="11" fillId="0" borderId="0" xfId="5" applyFont="1" applyFill="1" applyBorder="1" applyAlignment="1">
      <alignment horizontal="center" vertical="top" wrapText="1"/>
    </xf>
    <xf numFmtId="0" fontId="170" fillId="0" borderId="0" xfId="0" applyFont="1"/>
    <xf numFmtId="0" fontId="171" fillId="0" borderId="153" xfId="0" applyFont="1" applyBorder="1"/>
    <xf numFmtId="0" fontId="170" fillId="0" borderId="111" xfId="0" applyFont="1" applyBorder="1"/>
    <xf numFmtId="0" fontId="0" fillId="0" borderId="180" xfId="0" applyBorder="1"/>
    <xf numFmtId="0" fontId="170" fillId="0" borderId="6" xfId="0" applyFont="1" applyBorder="1"/>
    <xf numFmtId="0" fontId="170" fillId="0" borderId="0" xfId="0" applyFont="1" applyBorder="1"/>
    <xf numFmtId="0" fontId="170" fillId="0" borderId="31" xfId="0" applyFont="1" applyBorder="1"/>
    <xf numFmtId="0" fontId="171" fillId="0" borderId="180" xfId="0" applyFont="1" applyBorder="1"/>
    <xf numFmtId="0" fontId="170" fillId="0" borderId="179" xfId="0" applyFont="1" applyBorder="1"/>
    <xf numFmtId="0" fontId="170" fillId="0" borderId="149" xfId="0" applyFont="1" applyFill="1" applyBorder="1"/>
    <xf numFmtId="0" fontId="170" fillId="0" borderId="181" xfId="0" applyFont="1" applyBorder="1"/>
    <xf numFmtId="0" fontId="170" fillId="0" borderId="42" xfId="0" applyFont="1" applyBorder="1"/>
    <xf numFmtId="1" fontId="170" fillId="0" borderId="152" xfId="0" applyNumberFormat="1" applyFont="1" applyBorder="1"/>
    <xf numFmtId="43" fontId="59" fillId="0" borderId="0" xfId="0" applyNumberFormat="1" applyFont="1" applyBorder="1"/>
    <xf numFmtId="9" fontId="4" fillId="0" borderId="0" xfId="2" applyFont="1"/>
    <xf numFmtId="0" fontId="42" fillId="0" borderId="191" xfId="55" applyBorder="1"/>
    <xf numFmtId="0" fontId="42" fillId="0" borderId="192" xfId="55" applyBorder="1"/>
    <xf numFmtId="0" fontId="42" fillId="0" borderId="6" xfId="55" applyBorder="1"/>
    <xf numFmtId="0" fontId="42" fillId="0" borderId="141" xfId="55" applyBorder="1"/>
    <xf numFmtId="0" fontId="42" fillId="0" borderId="149" xfId="55" applyBorder="1" applyAlignment="1">
      <alignment wrapText="1"/>
    </xf>
    <xf numFmtId="0" fontId="42" fillId="0" borderId="143" xfId="55" applyBorder="1" applyAlignment="1">
      <alignment wrapText="1"/>
    </xf>
    <xf numFmtId="9" fontId="42" fillId="0" borderId="31" xfId="2" applyFont="1" applyBorder="1"/>
    <xf numFmtId="9" fontId="42" fillId="0" borderId="0" xfId="2" applyNumberFormat="1" applyFont="1"/>
    <xf numFmtId="2" fontId="173" fillId="0" borderId="6" xfId="0" applyNumberFormat="1" applyFont="1" applyBorder="1"/>
    <xf numFmtId="2" fontId="142" fillId="0" borderId="0" xfId="46" applyNumberFormat="1" applyFont="1" applyBorder="1">
      <alignment vertical="center"/>
    </xf>
    <xf numFmtId="2" fontId="142" fillId="0" borderId="115" xfId="46" applyNumberFormat="1" applyFont="1" applyBorder="1">
      <alignment vertical="center"/>
    </xf>
    <xf numFmtId="2" fontId="142" fillId="0" borderId="0" xfId="0" applyNumberFormat="1" applyFont="1" applyBorder="1" applyAlignment="1">
      <alignment horizontal="right" vertical="center"/>
    </xf>
    <xf numFmtId="2" fontId="173" fillId="0" borderId="0" xfId="0" applyNumberFormat="1" applyFont="1" applyBorder="1"/>
    <xf numFmtId="2" fontId="173" fillId="0" borderId="174" xfId="0" applyNumberFormat="1" applyFont="1" applyBorder="1"/>
    <xf numFmtId="2" fontId="173" fillId="0" borderId="176" xfId="0" applyNumberFormat="1" applyFont="1" applyBorder="1"/>
    <xf numFmtId="2" fontId="142" fillId="0" borderId="175" xfId="46" applyNumberFormat="1" applyFont="1" applyBorder="1">
      <alignment vertical="center"/>
    </xf>
    <xf numFmtId="0" fontId="154" fillId="0" borderId="0" xfId="0" applyFont="1" applyFill="1" applyBorder="1" applyAlignment="1">
      <alignment horizontal="right" wrapText="1"/>
    </xf>
    <xf numFmtId="165" fontId="154" fillId="0" borderId="0" xfId="2" applyNumberFormat="1" applyFont="1" applyBorder="1" applyAlignment="1">
      <alignment horizontal="right" vertical="center"/>
    </xf>
    <xf numFmtId="0" fontId="4" fillId="0" borderId="191" xfId="0" applyFont="1" applyBorder="1" applyAlignment="1">
      <alignment horizontal="right"/>
    </xf>
    <xf numFmtId="0" fontId="4" fillId="0" borderId="192" xfId="0" applyFont="1" applyBorder="1" applyAlignment="1">
      <alignment horizontal="right"/>
    </xf>
    <xf numFmtId="2" fontId="0" fillId="0" borderId="149" xfId="0" applyNumberFormat="1" applyBorder="1"/>
    <xf numFmtId="2" fontId="0" fillId="0" borderId="31" xfId="0" applyNumberFormat="1" applyBorder="1"/>
    <xf numFmtId="2" fontId="0" fillId="0" borderId="143" xfId="0" applyNumberFormat="1" applyBorder="1"/>
    <xf numFmtId="2" fontId="0" fillId="0" borderId="143" xfId="0" applyNumberFormat="1" applyBorder="1"/>
    <xf numFmtId="186" fontId="65" fillId="0" borderId="0" xfId="1" applyNumberFormat="1" applyFont="1" applyFill="1" applyBorder="1" applyAlignment="1" applyProtection="1">
      <alignment horizontal="right" vertical="center"/>
      <protection locked="0"/>
    </xf>
    <xf numFmtId="9" fontId="113" fillId="0" borderId="0" xfId="2" applyFont="1" applyAlignment="1">
      <alignment horizontal="right"/>
    </xf>
    <xf numFmtId="0" fontId="140" fillId="39" borderId="163" xfId="46" applyFont="1" applyFill="1" applyBorder="1" applyAlignment="1">
      <alignment vertical="center"/>
    </xf>
    <xf numFmtId="0" fontId="140" fillId="39" borderId="193" xfId="46" applyFont="1" applyFill="1" applyBorder="1" applyAlignment="1">
      <alignment horizontal="center" vertical="center" wrapText="1"/>
    </xf>
    <xf numFmtId="172" fontId="0" fillId="0" borderId="42" xfId="0" applyNumberFormat="1" applyBorder="1"/>
    <xf numFmtId="165" fontId="113" fillId="0" borderId="6" xfId="0" applyNumberFormat="1" applyFont="1" applyBorder="1"/>
    <xf numFmtId="165" fontId="113" fillId="0" borderId="0" xfId="0" applyNumberFormat="1" applyFont="1" applyBorder="1"/>
    <xf numFmtId="165" fontId="0" fillId="0" borderId="42" xfId="0" applyNumberFormat="1" applyBorder="1"/>
    <xf numFmtId="165" fontId="175" fillId="0" borderId="0" xfId="0" applyNumberFormat="1" applyFont="1" applyBorder="1"/>
    <xf numFmtId="0" fontId="0" fillId="0" borderId="9" xfId="0" applyBorder="1" applyAlignment="1">
      <alignment horizontal="center" wrapText="1"/>
    </xf>
    <xf numFmtId="0" fontId="0" fillId="0" borderId="115" xfId="0" applyBorder="1"/>
    <xf numFmtId="0" fontId="0" fillId="0" borderId="9" xfId="0" applyBorder="1" applyAlignment="1">
      <alignment wrapText="1"/>
    </xf>
    <xf numFmtId="0" fontId="0" fillId="0" borderId="144" xfId="0" applyBorder="1" applyAlignment="1">
      <alignment wrapText="1"/>
    </xf>
    <xf numFmtId="9" fontId="0" fillId="0" borderId="176" xfId="2" applyFont="1" applyBorder="1"/>
    <xf numFmtId="0" fontId="0" fillId="0" borderId="176" xfId="0" applyBorder="1"/>
    <xf numFmtId="0" fontId="0" fillId="0" borderId="175" xfId="0" applyBorder="1"/>
    <xf numFmtId="0" fontId="0" fillId="0" borderId="194" xfId="0" applyBorder="1"/>
    <xf numFmtId="0" fontId="0" fillId="0" borderId="195" xfId="0" applyBorder="1"/>
    <xf numFmtId="0" fontId="0" fillId="0" borderId="196" xfId="0" applyBorder="1"/>
    <xf numFmtId="0" fontId="0" fillId="0" borderId="144" xfId="0" applyBorder="1"/>
    <xf numFmtId="0" fontId="4" fillId="0" borderId="197" xfId="0" applyFont="1" applyBorder="1"/>
    <xf numFmtId="0" fontId="0" fillId="0" borderId="198" xfId="0" applyBorder="1"/>
    <xf numFmtId="0" fontId="0" fillId="0" borderId="198" xfId="0" applyBorder="1" applyAlignment="1">
      <alignment wrapText="1"/>
    </xf>
    <xf numFmtId="0" fontId="0" fillId="0" borderId="199" xfId="0" applyBorder="1"/>
    <xf numFmtId="0" fontId="0" fillId="0" borderId="182" xfId="0" applyBorder="1" applyAlignment="1">
      <alignment wrapText="1"/>
    </xf>
    <xf numFmtId="165" fontId="0" fillId="0" borderId="170" xfId="0" applyNumberFormat="1" applyBorder="1"/>
    <xf numFmtId="0" fontId="0" fillId="0" borderId="74" xfId="0" applyBorder="1"/>
    <xf numFmtId="165" fontId="0" fillId="0" borderId="142" xfId="0" applyNumberFormat="1" applyBorder="1"/>
    <xf numFmtId="0" fontId="0" fillId="0" borderId="167" xfId="0" applyBorder="1" applyAlignment="1">
      <alignment wrapText="1"/>
    </xf>
    <xf numFmtId="0" fontId="0" fillId="0" borderId="184" xfId="0" applyBorder="1"/>
    <xf numFmtId="0" fontId="0" fillId="0" borderId="195" xfId="0" applyBorder="1" applyAlignment="1">
      <alignment wrapText="1"/>
    </xf>
    <xf numFmtId="0" fontId="0" fillId="0" borderId="0" xfId="0" applyFill="1" applyBorder="1" applyAlignment="1">
      <alignment wrapText="1"/>
    </xf>
    <xf numFmtId="0" fontId="0" fillId="0" borderId="9" xfId="0" applyFill="1" applyBorder="1" applyAlignment="1">
      <alignment wrapText="1"/>
    </xf>
    <xf numFmtId="0" fontId="0" fillId="0" borderId="0" xfId="0" applyFill="1" applyBorder="1"/>
    <xf numFmtId="0" fontId="4" fillId="0" borderId="197" xfId="0" applyFont="1" applyFill="1" applyBorder="1" applyAlignment="1">
      <alignment wrapText="1"/>
    </xf>
    <xf numFmtId="1" fontId="0" fillId="0" borderId="168" xfId="0" applyNumberFormat="1" applyBorder="1"/>
    <xf numFmtId="1" fontId="0" fillId="0" borderId="142" xfId="0" applyNumberFormat="1" applyBorder="1"/>
    <xf numFmtId="0" fontId="0" fillId="0" borderId="115" xfId="0" applyBorder="1" applyAlignment="1">
      <alignment vertical="center" wrapText="1"/>
    </xf>
    <xf numFmtId="0" fontId="0" fillId="0" borderId="0" xfId="0" applyFont="1" applyFill="1" applyBorder="1" applyAlignment="1">
      <alignment vertical="center"/>
    </xf>
    <xf numFmtId="0" fontId="176" fillId="0" borderId="0" xfId="3" applyFont="1" applyBorder="1" applyAlignment="1" applyProtection="1">
      <alignment vertical="center"/>
    </xf>
    <xf numFmtId="0" fontId="0" fillId="0" borderId="141" xfId="0" applyFont="1" applyBorder="1"/>
    <xf numFmtId="0" fontId="176" fillId="0" borderId="0" xfId="3" applyFont="1" applyAlignment="1" applyProtection="1"/>
    <xf numFmtId="0" fontId="177" fillId="0" borderId="0" xfId="46" applyFont="1">
      <alignment vertical="center"/>
    </xf>
    <xf numFmtId="173" fontId="8" fillId="0" borderId="0" xfId="4" applyNumberFormat="1" applyFont="1" applyBorder="1" applyAlignment="1" applyProtection="1">
      <alignment horizontal="right" vertical="top" wrapText="1" readingOrder="1"/>
      <protection locked="0"/>
    </xf>
    <xf numFmtId="173" fontId="8" fillId="0" borderId="0" xfId="4" applyNumberFormat="1" applyFont="1" applyAlignment="1" applyProtection="1">
      <alignment horizontal="right" vertical="top" wrapText="1" readingOrder="1"/>
      <protection locked="0"/>
    </xf>
    <xf numFmtId="0" fontId="5" fillId="0" borderId="0" xfId="4"/>
    <xf numFmtId="2" fontId="132" fillId="0" borderId="0" xfId="4" applyNumberFormat="1" applyFont="1" applyBorder="1" applyAlignment="1">
      <alignment horizontal="right"/>
    </xf>
    <xf numFmtId="0" fontId="0" fillId="0" borderId="0" xfId="0" applyFont="1" applyBorder="1" applyAlignment="1">
      <alignment wrapText="1"/>
    </xf>
    <xf numFmtId="2" fontId="113" fillId="0" borderId="202" xfId="4" applyNumberFormat="1" applyFont="1" applyBorder="1" applyAlignment="1">
      <alignment horizontal="right" wrapText="1"/>
    </xf>
    <xf numFmtId="0" fontId="0" fillId="0" borderId="152" xfId="0" applyBorder="1"/>
    <xf numFmtId="2" fontId="178" fillId="0" borderId="0" xfId="0" applyNumberFormat="1" applyFont="1" applyBorder="1" applyAlignment="1">
      <alignment horizontal="center" wrapText="1"/>
    </xf>
    <xf numFmtId="10" fontId="5" fillId="0" borderId="6" xfId="4" applyNumberFormat="1" applyBorder="1"/>
    <xf numFmtId="0" fontId="5" fillId="0" borderId="0" xfId="4" applyFill="1" applyBorder="1"/>
    <xf numFmtId="172" fontId="5" fillId="0" borderId="204" xfId="4" applyNumberFormat="1" applyBorder="1"/>
    <xf numFmtId="3" fontId="54" fillId="0" borderId="205" xfId="4" applyNumberFormat="1" applyFont="1" applyBorder="1"/>
    <xf numFmtId="3" fontId="54" fillId="0" borderId="141" xfId="4" applyNumberFormat="1" applyFont="1" applyBorder="1"/>
    <xf numFmtId="172" fontId="5" fillId="0" borderId="149" xfId="4" applyNumberFormat="1" applyBorder="1"/>
    <xf numFmtId="3" fontId="54" fillId="0" borderId="143" xfId="4" applyNumberFormat="1" applyFont="1" applyBorder="1"/>
    <xf numFmtId="172" fontId="9" fillId="0" borderId="6" xfId="4" applyNumberFormat="1" applyFont="1" applyBorder="1"/>
    <xf numFmtId="3" fontId="113" fillId="0" borderId="141" xfId="4" applyNumberFormat="1" applyFont="1" applyBorder="1"/>
    <xf numFmtId="4" fontId="113" fillId="0" borderId="141" xfId="4" applyNumberFormat="1" applyFont="1" applyBorder="1"/>
    <xf numFmtId="165" fontId="113" fillId="0" borderId="141" xfId="4" applyNumberFormat="1" applyFont="1" applyBorder="1" applyAlignment="1"/>
    <xf numFmtId="168" fontId="113" fillId="0" borderId="6" xfId="34" applyNumberFormat="1" applyFont="1" applyBorder="1" applyAlignment="1">
      <alignment horizontal="right"/>
    </xf>
    <xf numFmtId="190" fontId="113" fillId="0" borderId="143" xfId="34" applyNumberFormat="1" applyFont="1" applyBorder="1" applyAlignment="1">
      <alignment horizontal="right"/>
    </xf>
    <xf numFmtId="0" fontId="5" fillId="0" borderId="207" xfId="4" applyBorder="1" applyAlignment="1">
      <alignment horizontal="center"/>
    </xf>
    <xf numFmtId="0" fontId="5" fillId="0" borderId="42" xfId="4" applyBorder="1" applyAlignment="1">
      <alignment horizontal="center"/>
    </xf>
    <xf numFmtId="0" fontId="5" fillId="0" borderId="152" xfId="4" applyBorder="1" applyAlignment="1">
      <alignment horizontal="center"/>
    </xf>
    <xf numFmtId="43" fontId="52" fillId="0" borderId="0" xfId="0" applyNumberFormat="1" applyFont="1"/>
    <xf numFmtId="192" fontId="0" fillId="0" borderId="0" xfId="0" applyNumberFormat="1"/>
    <xf numFmtId="0" fontId="149" fillId="0" borderId="0" xfId="0" applyFont="1" applyBorder="1" applyAlignment="1">
      <alignment horizontal="left" wrapText="1"/>
    </xf>
    <xf numFmtId="2" fontId="38" fillId="0" borderId="0" xfId="0" applyNumberFormat="1" applyFont="1" applyBorder="1" applyAlignment="1">
      <alignment horizontal="center"/>
    </xf>
    <xf numFmtId="0" fontId="38" fillId="0" borderId="211" xfId="0" applyFont="1" applyBorder="1"/>
    <xf numFmtId="0" fontId="38" fillId="0" borderId="212" xfId="0" applyFont="1" applyBorder="1"/>
    <xf numFmtId="0" fontId="38" fillId="0" borderId="212" xfId="0" applyFont="1" applyBorder="1" applyAlignment="1">
      <alignment vertical="top" wrapText="1"/>
    </xf>
    <xf numFmtId="0" fontId="38" fillId="0" borderId="212" xfId="0" applyFont="1" applyBorder="1" applyAlignment="1">
      <alignment vertical="center" wrapText="1"/>
    </xf>
    <xf numFmtId="0" fontId="38" fillId="0" borderId="212" xfId="0" applyFont="1" applyBorder="1" applyAlignment="1">
      <alignment wrapText="1"/>
    </xf>
    <xf numFmtId="0" fontId="38" fillId="0" borderId="213" xfId="0" applyFont="1" applyBorder="1" applyAlignment="1">
      <alignment horizontal="center" wrapText="1"/>
    </xf>
    <xf numFmtId="0" fontId="38" fillId="0" borderId="6" xfId="0" applyFont="1" applyBorder="1"/>
    <xf numFmtId="0" fontId="38" fillId="0" borderId="141" xfId="0" applyFont="1" applyBorder="1"/>
    <xf numFmtId="0" fontId="38" fillId="0" borderId="149" xfId="0" applyFont="1" applyBorder="1"/>
    <xf numFmtId="0" fontId="38" fillId="0" borderId="31" xfId="0" applyFont="1" applyBorder="1"/>
    <xf numFmtId="0" fontId="38" fillId="0" borderId="143" xfId="0" applyFont="1" applyBorder="1"/>
    <xf numFmtId="2" fontId="38" fillId="0" borderId="0" xfId="0" applyNumberFormat="1" applyFont="1" applyBorder="1"/>
    <xf numFmtId="1" fontId="38" fillId="0" borderId="141" xfId="0" applyNumberFormat="1" applyFont="1" applyBorder="1"/>
    <xf numFmtId="2" fontId="58" fillId="0" borderId="212" xfId="0" applyNumberFormat="1" applyFont="1" applyBorder="1" applyAlignment="1">
      <alignment vertical="center"/>
    </xf>
    <xf numFmtId="0" fontId="58" fillId="0" borderId="213" xfId="0" applyFont="1" applyBorder="1"/>
    <xf numFmtId="168" fontId="67" fillId="0" borderId="127" xfId="0" applyNumberFormat="1" applyFont="1" applyFill="1" applyBorder="1" applyAlignment="1">
      <alignment horizontal="right" vertical="center" wrapText="1"/>
    </xf>
    <xf numFmtId="0" fontId="58" fillId="0" borderId="211" xfId="0" applyFont="1" applyBorder="1"/>
    <xf numFmtId="168" fontId="65" fillId="0" borderId="213" xfId="1" applyNumberFormat="1" applyFont="1" applyFill="1" applyBorder="1" applyAlignment="1" applyProtection="1">
      <alignment horizontal="right" vertical="center"/>
      <protection locked="0"/>
    </xf>
    <xf numFmtId="43" fontId="65" fillId="0" borderId="209" xfId="1" applyNumberFormat="1" applyFont="1" applyFill="1" applyBorder="1" applyAlignment="1" applyProtection="1">
      <alignment horizontal="right" vertical="center"/>
      <protection locked="0"/>
    </xf>
    <xf numFmtId="168" fontId="65" fillId="0" borderId="209" xfId="1" applyNumberFormat="1" applyFont="1" applyFill="1" applyBorder="1" applyAlignment="1" applyProtection="1">
      <alignment horizontal="right" vertical="center"/>
      <protection locked="0"/>
    </xf>
    <xf numFmtId="0" fontId="65" fillId="0" borderId="211" xfId="0" applyNumberFormat="1" applyFont="1" applyFill="1" applyBorder="1" applyAlignment="1">
      <alignment horizontal="right" vertical="center" wrapText="1"/>
    </xf>
    <xf numFmtId="0" fontId="65" fillId="0" borderId="213" xfId="0" applyNumberFormat="1" applyFont="1" applyFill="1" applyBorder="1" applyAlignment="1">
      <alignment horizontal="right" vertical="center" wrapText="1"/>
    </xf>
    <xf numFmtId="43" fontId="180" fillId="0" borderId="31" xfId="0" applyNumberFormat="1" applyFont="1" applyBorder="1" applyAlignment="1">
      <alignment horizontal="center"/>
    </xf>
    <xf numFmtId="168" fontId="67" fillId="0" borderId="143" xfId="1" applyNumberFormat="1" applyFont="1" applyFill="1" applyBorder="1" applyAlignment="1" applyProtection="1">
      <alignment horizontal="center" vertical="center"/>
      <protection locked="0"/>
    </xf>
    <xf numFmtId="168" fontId="67" fillId="0" borderId="149" xfId="0" applyNumberFormat="1" applyFont="1" applyFill="1" applyBorder="1" applyAlignment="1">
      <alignment horizontal="right" vertical="center" wrapText="1"/>
    </xf>
    <xf numFmtId="0" fontId="58" fillId="0" borderId="0" xfId="0" applyFont="1" applyBorder="1" applyAlignment="1">
      <alignment horizontal="right" vertical="center"/>
    </xf>
    <xf numFmtId="165" fontId="58" fillId="0" borderId="0" xfId="0" applyNumberFormat="1" applyFont="1" applyBorder="1" applyAlignment="1">
      <alignment horizontal="right" vertical="center"/>
    </xf>
    <xf numFmtId="0" fontId="58" fillId="0" borderId="212" xfId="0" applyFont="1" applyBorder="1"/>
    <xf numFmtId="168" fontId="58" fillId="0" borderId="149" xfId="0" applyNumberFormat="1" applyFont="1" applyBorder="1"/>
    <xf numFmtId="168" fontId="59" fillId="0" borderId="152" xfId="0" applyNumberFormat="1" applyFont="1" applyBorder="1"/>
    <xf numFmtId="0" fontId="58" fillId="0" borderId="211" xfId="0" applyFont="1" applyBorder="1" applyAlignment="1">
      <alignment horizontal="right" vertical="center"/>
    </xf>
    <xf numFmtId="168" fontId="180" fillId="0" borderId="31" xfId="0" applyNumberFormat="1" applyFont="1" applyBorder="1" applyAlignment="1">
      <alignment horizontal="center"/>
    </xf>
    <xf numFmtId="1" fontId="4" fillId="0" borderId="136" xfId="1" applyNumberFormat="1" applyFont="1" applyBorder="1"/>
    <xf numFmtId="178" fontId="5" fillId="0" borderId="0" xfId="1" applyNumberFormat="1" applyFont="1" applyFill="1" applyBorder="1" applyAlignment="1" applyProtection="1">
      <alignment horizontal="right" vertical="center"/>
      <protection locked="0"/>
    </xf>
    <xf numFmtId="178" fontId="0" fillId="0" borderId="213" xfId="1" applyNumberFormat="1" applyFont="1" applyBorder="1"/>
    <xf numFmtId="178" fontId="5" fillId="0" borderId="212" xfId="1" applyNumberFormat="1" applyFont="1" applyFill="1" applyBorder="1" applyAlignment="1" applyProtection="1">
      <alignment horizontal="right" vertical="center"/>
      <protection locked="0"/>
    </xf>
    <xf numFmtId="178" fontId="5" fillId="0" borderId="31" xfId="1" applyNumberFormat="1" applyFont="1" applyFill="1" applyBorder="1" applyAlignment="1" applyProtection="1">
      <alignment horizontal="right" vertical="center"/>
      <protection locked="0"/>
    </xf>
    <xf numFmtId="178" fontId="5" fillId="0" borderId="213" xfId="1" applyNumberFormat="1" applyFont="1" applyFill="1" applyBorder="1" applyAlignment="1" applyProtection="1">
      <alignment horizontal="right" vertical="center"/>
      <protection locked="0"/>
    </xf>
    <xf numFmtId="168" fontId="5" fillId="0" borderId="141" xfId="1" applyNumberFormat="1" applyFont="1" applyFill="1" applyBorder="1" applyAlignment="1" applyProtection="1">
      <alignment horizontal="right" vertical="center"/>
      <protection locked="0"/>
    </xf>
    <xf numFmtId="190" fontId="5" fillId="0" borderId="143" xfId="1" applyNumberFormat="1" applyFont="1" applyFill="1" applyBorder="1" applyAlignment="1" applyProtection="1">
      <alignment horizontal="right" vertical="center"/>
      <protection locked="0"/>
    </xf>
    <xf numFmtId="168" fontId="4" fillId="0" borderId="211" xfId="1" applyNumberFormat="1" applyFont="1" applyBorder="1"/>
    <xf numFmtId="168" fontId="4" fillId="0" borderId="213" xfId="1" applyNumberFormat="1" applyFont="1" applyBorder="1"/>
    <xf numFmtId="0" fontId="0" fillId="47" borderId="0" xfId="0" applyFill="1" applyBorder="1"/>
    <xf numFmtId="0" fontId="8" fillId="47" borderId="0" xfId="46" applyFont="1" applyFill="1" applyBorder="1" applyAlignment="1"/>
    <xf numFmtId="9" fontId="0" fillId="0" borderId="141" xfId="2" applyFont="1" applyBorder="1"/>
    <xf numFmtId="9" fontId="0" fillId="0" borderId="7" xfId="2" applyFont="1" applyBorder="1"/>
    <xf numFmtId="4" fontId="9" fillId="0" borderId="6" xfId="4" applyNumberFormat="1" applyFont="1" applyBorder="1" applyAlignment="1">
      <alignment horizontal="center"/>
    </xf>
    <xf numFmtId="168" fontId="9" fillId="0" borderId="6" xfId="34" applyNumberFormat="1" applyFont="1" applyBorder="1" applyAlignment="1">
      <alignment horizontal="center" wrapText="1"/>
    </xf>
    <xf numFmtId="0" fontId="9" fillId="0" borderId="210" xfId="46" applyFont="1" applyFill="1" applyBorder="1" applyAlignment="1">
      <alignment horizontal="center" vertical="center" wrapText="1"/>
    </xf>
    <xf numFmtId="0" fontId="8" fillId="0" borderId="56" xfId="46" applyFont="1" applyBorder="1" applyAlignment="1">
      <alignment horizontal="right" vertical="center"/>
    </xf>
    <xf numFmtId="0" fontId="8" fillId="0" borderId="56" xfId="46" applyFont="1" applyBorder="1">
      <alignment vertical="center"/>
    </xf>
    <xf numFmtId="0" fontId="8" fillId="0" borderId="0" xfId="46" applyFont="1" applyFill="1" applyBorder="1" applyAlignment="1">
      <alignment horizontal="center" vertical="center"/>
    </xf>
    <xf numFmtId="0" fontId="8" fillId="0" borderId="0" xfId="46" applyFont="1" applyFill="1" applyBorder="1" applyAlignment="1"/>
    <xf numFmtId="0" fontId="48" fillId="0" borderId="0" xfId="46" applyFont="1" applyFill="1" applyBorder="1" applyAlignment="1">
      <alignment horizontal="right"/>
    </xf>
    <xf numFmtId="0" fontId="8" fillId="0" borderId="0" xfId="46" applyFont="1" applyFill="1" applyBorder="1" applyAlignment="1">
      <alignment horizontal="left"/>
    </xf>
    <xf numFmtId="1" fontId="0" fillId="0" borderId="0" xfId="0" applyNumberFormat="1" applyFill="1" applyBorder="1"/>
    <xf numFmtId="0" fontId="137" fillId="0" borderId="0" xfId="46" applyFont="1" applyFill="1" applyBorder="1" applyAlignment="1">
      <alignment vertical="center"/>
    </xf>
    <xf numFmtId="0" fontId="137" fillId="0" borderId="0" xfId="46" applyFont="1" applyFill="1" applyBorder="1" applyAlignment="1">
      <alignment horizontal="center" vertical="center"/>
    </xf>
    <xf numFmtId="2" fontId="8" fillId="0" borderId="0" xfId="46" applyNumberFormat="1" applyFont="1" applyFill="1" applyBorder="1">
      <alignment vertical="center"/>
    </xf>
    <xf numFmtId="43" fontId="8" fillId="0" borderId="0" xfId="46" applyNumberFormat="1" applyFont="1" applyFill="1" applyBorder="1">
      <alignment vertical="center"/>
    </xf>
    <xf numFmtId="0" fontId="137" fillId="0" borderId="0" xfId="46" applyFont="1" applyFill="1" applyBorder="1" applyAlignment="1">
      <alignment vertical="center" wrapText="1"/>
    </xf>
    <xf numFmtId="0" fontId="8" fillId="0" borderId="0" xfId="46" applyFont="1" applyFill="1" applyBorder="1" applyAlignment="1">
      <alignment vertical="center"/>
    </xf>
    <xf numFmtId="2" fontId="8" fillId="0" borderId="0" xfId="46" applyNumberFormat="1" applyFont="1" applyFill="1" applyBorder="1" applyAlignment="1">
      <alignment vertical="center"/>
    </xf>
    <xf numFmtId="0" fontId="8" fillId="0" borderId="195" xfId="46" applyFont="1" applyFill="1" applyBorder="1" applyAlignment="1">
      <alignment horizontal="center" vertical="center"/>
    </xf>
    <xf numFmtId="0" fontId="181" fillId="0" borderId="201" xfId="46" applyFont="1" applyFill="1" applyBorder="1" applyAlignment="1">
      <alignment horizontal="center" vertical="center"/>
    </xf>
    <xf numFmtId="0" fontId="8" fillId="0" borderId="200" xfId="46" applyFont="1" applyFill="1" applyBorder="1" applyAlignment="1">
      <alignment horizontal="center" vertical="center"/>
    </xf>
    <xf numFmtId="0" fontId="38" fillId="0" borderId="212" xfId="0" applyFont="1" applyBorder="1" applyAlignment="1">
      <alignment horizontal="center" wrapText="1"/>
    </xf>
    <xf numFmtId="0" fontId="36" fillId="0" borderId="212" xfId="0" applyFont="1" applyBorder="1" applyAlignment="1">
      <alignment horizontal="center" vertical="center" wrapText="1"/>
    </xf>
    <xf numFmtId="2" fontId="36" fillId="0" borderId="0" xfId="0" applyNumberFormat="1" applyFont="1" applyBorder="1"/>
    <xf numFmtId="0" fontId="36" fillId="0" borderId="31" xfId="0" applyFont="1" applyBorder="1"/>
    <xf numFmtId="9" fontId="158" fillId="0" borderId="0" xfId="2" applyFont="1" applyBorder="1" applyAlignment="1">
      <alignment horizontal="left" vertical="center"/>
    </xf>
    <xf numFmtId="9" fontId="58" fillId="0" borderId="0" xfId="2" applyFont="1" applyBorder="1"/>
    <xf numFmtId="0" fontId="8" fillId="47" borderId="0" xfId="46" applyFont="1" applyFill="1" applyBorder="1">
      <alignment vertical="center"/>
    </xf>
    <xf numFmtId="2" fontId="10" fillId="47" borderId="0" xfId="46" applyNumberFormat="1" applyFont="1" applyFill="1" applyBorder="1" applyAlignment="1">
      <alignment horizontal="center" vertical="center" wrapText="1"/>
    </xf>
    <xf numFmtId="0" fontId="144" fillId="47" borderId="0" xfId="46" applyFont="1" applyFill="1" applyBorder="1" applyAlignment="1">
      <alignment horizontal="center" vertical="center"/>
    </xf>
    <xf numFmtId="2" fontId="142" fillId="47" borderId="0" xfId="46" applyNumberFormat="1" applyFont="1" applyFill="1" applyBorder="1" applyAlignment="1">
      <alignment horizontal="right" vertical="center"/>
    </xf>
    <xf numFmtId="2" fontId="142" fillId="47" borderId="0" xfId="46" applyNumberFormat="1" applyFont="1" applyFill="1" applyBorder="1" applyAlignment="1">
      <alignment horizontal="right" vertical="center" wrapText="1"/>
    </xf>
    <xf numFmtId="0" fontId="142" fillId="47" borderId="0" xfId="46" applyFont="1" applyFill="1" applyBorder="1">
      <alignment vertical="center"/>
    </xf>
    <xf numFmtId="184" fontId="8" fillId="47" borderId="0" xfId="34" applyNumberFormat="1" applyFont="1" applyFill="1" applyBorder="1" applyAlignment="1">
      <alignment vertical="center"/>
    </xf>
    <xf numFmtId="183" fontId="112" fillId="47" borderId="0" xfId="34" applyNumberFormat="1" applyFont="1" applyFill="1" applyBorder="1" applyAlignment="1">
      <alignment horizontal="center" vertical="center" wrapText="1"/>
    </xf>
    <xf numFmtId="0" fontId="142" fillId="47" borderId="0" xfId="46" applyFont="1" applyFill="1" applyBorder="1" applyAlignment="1">
      <alignment vertical="center"/>
    </xf>
    <xf numFmtId="0" fontId="137" fillId="0" borderId="200" xfId="46" applyFont="1" applyBorder="1" applyAlignment="1">
      <alignment horizontal="right" vertical="center"/>
    </xf>
    <xf numFmtId="0" fontId="142" fillId="0" borderId="182" xfId="46" applyFont="1" applyBorder="1">
      <alignment vertical="center"/>
    </xf>
    <xf numFmtId="0" fontId="172" fillId="0" borderId="206" xfId="0" applyFont="1" applyBorder="1" applyAlignment="1">
      <alignment horizontal="right"/>
    </xf>
    <xf numFmtId="0" fontId="172" fillId="0" borderId="208" xfId="0" applyFont="1" applyBorder="1" applyAlignment="1">
      <alignment horizontal="right"/>
    </xf>
    <xf numFmtId="2" fontId="142" fillId="0" borderId="9" xfId="46" applyNumberFormat="1" applyFont="1" applyFill="1" applyBorder="1" applyAlignment="1">
      <alignment horizontal="right" vertical="center"/>
    </xf>
    <xf numFmtId="2" fontId="142" fillId="0" borderId="140" xfId="46" applyNumberFormat="1" applyFont="1" applyFill="1" applyBorder="1" applyAlignment="1">
      <alignment horizontal="right" vertical="center"/>
    </xf>
    <xf numFmtId="2" fontId="142" fillId="0" borderId="115" xfId="46" applyNumberFormat="1" applyFont="1" applyFill="1" applyBorder="1" applyAlignment="1">
      <alignment horizontal="right" vertical="center" wrapText="1"/>
    </xf>
    <xf numFmtId="0" fontId="0" fillId="0" borderId="217" xfId="0" applyBorder="1"/>
    <xf numFmtId="0" fontId="0" fillId="0" borderId="217" xfId="0" applyBorder="1" applyAlignment="1">
      <alignment horizontal="center" wrapText="1"/>
    </xf>
    <xf numFmtId="0" fontId="0" fillId="0" borderId="152" xfId="0" applyBorder="1" applyAlignment="1">
      <alignment horizontal="center" wrapText="1"/>
    </xf>
    <xf numFmtId="1" fontId="0" fillId="0" borderId="215" xfId="0" applyNumberFormat="1" applyBorder="1"/>
    <xf numFmtId="1" fontId="0" fillId="0" borderId="216" xfId="0" applyNumberFormat="1" applyBorder="1"/>
    <xf numFmtId="168" fontId="0" fillId="0" borderId="31" xfId="0" applyNumberFormat="1" applyBorder="1"/>
    <xf numFmtId="168" fontId="0" fillId="0" borderId="143" xfId="0" applyNumberFormat="1" applyBorder="1"/>
    <xf numFmtId="2" fontId="142" fillId="0" borderId="0" xfId="46" applyNumberFormat="1" applyFont="1" applyFill="1" applyBorder="1" applyAlignment="1">
      <alignment horizontal="right" vertical="center" wrapText="1"/>
    </xf>
    <xf numFmtId="0" fontId="142" fillId="0" borderId="0" xfId="46" applyFont="1" applyFill="1" applyBorder="1" applyAlignment="1">
      <alignment horizontal="right" vertical="center"/>
    </xf>
    <xf numFmtId="2" fontId="142" fillId="0" borderId="0" xfId="46" applyNumberFormat="1" applyFont="1" applyFill="1" applyBorder="1" applyAlignment="1">
      <alignment horizontal="right" vertical="center"/>
    </xf>
    <xf numFmtId="0" fontId="0" fillId="0" borderId="0" xfId="0" applyFill="1"/>
    <xf numFmtId="0" fontId="142" fillId="0" borderId="200" xfId="46" applyFont="1" applyBorder="1">
      <alignment vertical="center"/>
    </xf>
    <xf numFmtId="0" fontId="140" fillId="39" borderId="199" xfId="46" applyFont="1" applyFill="1" applyBorder="1" applyAlignment="1">
      <alignment horizontal="center" vertical="center"/>
    </xf>
    <xf numFmtId="0" fontId="8" fillId="0" borderId="200" xfId="46" applyFont="1" applyFill="1" applyBorder="1">
      <alignment vertical="center"/>
    </xf>
    <xf numFmtId="0" fontId="8" fillId="0" borderId="201" xfId="46" applyFont="1" applyBorder="1">
      <alignment vertical="center"/>
    </xf>
    <xf numFmtId="0" fontId="142" fillId="0" borderId="218" xfId="46" applyFont="1" applyFill="1" applyBorder="1" applyAlignment="1">
      <alignment horizontal="right" vertical="center"/>
    </xf>
    <xf numFmtId="1" fontId="142" fillId="0" borderId="219" xfId="46" applyNumberFormat="1" applyFont="1" applyBorder="1" applyAlignment="1">
      <alignment horizontal="right" vertical="center"/>
    </xf>
    <xf numFmtId="1" fontId="142" fillId="0" borderId="218" xfId="46" applyNumberFormat="1" applyFont="1" applyBorder="1" applyAlignment="1">
      <alignment horizontal="right" vertical="center"/>
    </xf>
    <xf numFmtId="1" fontId="142" fillId="0" borderId="220" xfId="46" applyNumberFormat="1" applyFont="1" applyFill="1" applyBorder="1" applyAlignment="1">
      <alignment horizontal="right" vertical="center" wrapText="1"/>
    </xf>
    <xf numFmtId="1" fontId="142" fillId="0" borderId="9" xfId="46" applyNumberFormat="1" applyFont="1" applyFill="1" applyBorder="1" applyAlignment="1">
      <alignment horizontal="right" vertical="center"/>
    </xf>
    <xf numFmtId="1" fontId="142" fillId="0" borderId="115" xfId="46" applyNumberFormat="1" applyFont="1" applyFill="1" applyBorder="1" applyAlignment="1">
      <alignment horizontal="right" vertical="center" wrapText="1"/>
    </xf>
    <xf numFmtId="1" fontId="142" fillId="0" borderId="74" xfId="46" applyNumberFormat="1" applyFont="1" applyBorder="1" applyAlignment="1">
      <alignment horizontal="right" vertical="center"/>
    </xf>
    <xf numFmtId="1" fontId="142" fillId="0" borderId="142" xfId="46" applyNumberFormat="1" applyFont="1" applyFill="1" applyBorder="1" applyAlignment="1">
      <alignment horizontal="right" vertical="center" wrapText="1"/>
    </xf>
    <xf numFmtId="1" fontId="142" fillId="0" borderId="219" xfId="46" applyNumberFormat="1" applyFont="1" applyFill="1" applyBorder="1" applyAlignment="1">
      <alignment horizontal="right"/>
    </xf>
    <xf numFmtId="1" fontId="142" fillId="0" borderId="144" xfId="46" applyNumberFormat="1" applyFont="1" applyBorder="1" applyAlignment="1">
      <alignment horizontal="right" vertical="center"/>
    </xf>
    <xf numFmtId="1" fontId="142" fillId="0" borderId="221" xfId="46" applyNumberFormat="1" applyFont="1" applyBorder="1" applyAlignment="1">
      <alignment horizontal="right" vertical="center"/>
    </xf>
    <xf numFmtId="1" fontId="142" fillId="0" borderId="175" xfId="46" applyNumberFormat="1" applyFont="1" applyFill="1" applyBorder="1" applyAlignment="1">
      <alignment horizontal="right" vertical="center" wrapText="1"/>
    </xf>
    <xf numFmtId="2" fontId="158" fillId="0" borderId="0" xfId="0" applyNumberFormat="1" applyFont="1" applyFill="1" applyBorder="1"/>
    <xf numFmtId="0" fontId="137" fillId="0" borderId="223" xfId="46" applyFont="1" applyBorder="1" applyAlignment="1">
      <alignment horizontal="right" vertical="center"/>
    </xf>
    <xf numFmtId="2" fontId="158" fillId="0" borderId="115" xfId="0" applyNumberFormat="1" applyFont="1" applyFill="1" applyBorder="1"/>
    <xf numFmtId="0" fontId="142" fillId="0" borderId="165" xfId="46" applyFont="1" applyBorder="1">
      <alignment vertical="center"/>
    </xf>
    <xf numFmtId="0" fontId="142" fillId="0" borderId="56" xfId="46" applyFont="1" applyBorder="1">
      <alignment vertical="center"/>
    </xf>
    <xf numFmtId="0" fontId="142" fillId="0" borderId="56" xfId="46" applyFont="1" applyBorder="1" applyAlignment="1">
      <alignment horizontal="right" vertical="center"/>
    </xf>
    <xf numFmtId="0" fontId="142" fillId="0" borderId="162" xfId="46" applyFont="1" applyBorder="1" applyAlignment="1">
      <alignment horizontal="right" vertical="center"/>
    </xf>
    <xf numFmtId="0" fontId="41" fillId="0" borderId="222" xfId="0" applyFont="1" applyBorder="1" applyAlignment="1">
      <alignment horizontal="right"/>
    </xf>
    <xf numFmtId="165" fontId="142" fillId="0" borderId="0" xfId="0" applyNumberFormat="1" applyFont="1" applyFill="1" applyBorder="1" applyAlignment="1">
      <alignment horizontal="right" vertical="center" wrapText="1"/>
    </xf>
    <xf numFmtId="0" fontId="142" fillId="0" borderId="0" xfId="2" applyNumberFormat="1" applyFont="1" applyFill="1" applyBorder="1" applyAlignment="1" applyProtection="1">
      <alignment horizontal="right" vertical="center"/>
      <protection locked="0"/>
    </xf>
    <xf numFmtId="186" fontId="142" fillId="0" borderId="0" xfId="2" applyNumberFormat="1" applyFont="1" applyFill="1" applyBorder="1" applyAlignment="1" applyProtection="1">
      <alignment horizontal="right" vertical="center"/>
      <protection locked="0"/>
    </xf>
    <xf numFmtId="0" fontId="5" fillId="0" borderId="55" xfId="46" applyFont="1" applyFill="1" applyBorder="1" applyAlignment="1">
      <alignment horizontal="right" wrapText="1"/>
    </xf>
    <xf numFmtId="0" fontId="5" fillId="0" borderId="56" xfId="46" applyFont="1" applyFill="1" applyBorder="1" applyAlignment="1">
      <alignment horizontal="right" wrapText="1"/>
    </xf>
    <xf numFmtId="0" fontId="5" fillId="0" borderId="162" xfId="46" applyFont="1" applyFill="1" applyBorder="1" applyAlignment="1">
      <alignment horizontal="right" wrapText="1"/>
    </xf>
    <xf numFmtId="0" fontId="182" fillId="0" borderId="200" xfId="46" applyFont="1" applyBorder="1" applyAlignment="1">
      <alignment horizontal="right"/>
    </xf>
    <xf numFmtId="0" fontId="5" fillId="0" borderId="195" xfId="46" applyFont="1" applyBorder="1" applyAlignment="1">
      <alignment horizontal="left"/>
    </xf>
    <xf numFmtId="1" fontId="58" fillId="0" borderId="138" xfId="0" applyNumberFormat="1" applyFont="1" applyBorder="1"/>
    <xf numFmtId="0" fontId="182" fillId="0" borderId="137" xfId="46" applyFont="1" applyBorder="1" applyAlignment="1">
      <alignment horizontal="right"/>
    </xf>
    <xf numFmtId="168" fontId="137" fillId="0" borderId="200" xfId="46" applyNumberFormat="1" applyFont="1" applyBorder="1">
      <alignment vertical="center"/>
    </xf>
    <xf numFmtId="2" fontId="137" fillId="0" borderId="195" xfId="46" applyNumberFormat="1" applyFont="1" applyBorder="1" applyAlignment="1">
      <alignment vertical="center"/>
    </xf>
    <xf numFmtId="1" fontId="137" fillId="0" borderId="200" xfId="46" applyNumberFormat="1" applyFont="1" applyBorder="1">
      <alignment vertical="center"/>
    </xf>
    <xf numFmtId="1" fontId="137" fillId="0" borderId="195" xfId="46" applyNumberFormat="1" applyFont="1" applyBorder="1">
      <alignment vertical="center"/>
    </xf>
    <xf numFmtId="182" fontId="137" fillId="0" borderId="195" xfId="2" applyNumberFormat="1" applyFont="1" applyBorder="1" applyAlignment="1">
      <alignment vertical="center"/>
    </xf>
    <xf numFmtId="168" fontId="137" fillId="0" borderId="9" xfId="46" applyNumberFormat="1" applyFont="1" applyBorder="1">
      <alignment vertical="center"/>
    </xf>
    <xf numFmtId="2" fontId="137" fillId="0" borderId="0" xfId="46" applyNumberFormat="1" applyFont="1" applyBorder="1" applyAlignment="1">
      <alignment vertical="center"/>
    </xf>
    <xf numFmtId="1" fontId="137" fillId="0" borderId="9" xfId="46" applyNumberFormat="1" applyFont="1" applyBorder="1">
      <alignment vertical="center"/>
    </xf>
    <xf numFmtId="1" fontId="137" fillId="0" borderId="0" xfId="46" applyNumberFormat="1" applyFont="1" applyBorder="1">
      <alignment vertical="center"/>
    </xf>
    <xf numFmtId="182" fontId="137" fillId="0" borderId="0" xfId="2" applyNumberFormat="1" applyFont="1" applyBorder="1" applyAlignment="1">
      <alignment vertical="center"/>
    </xf>
    <xf numFmtId="168" fontId="137" fillId="0" borderId="144" xfId="46" applyNumberFormat="1" applyFont="1" applyBorder="1">
      <alignment vertical="center"/>
    </xf>
    <xf numFmtId="2" fontId="137" fillId="0" borderId="176" xfId="46" applyNumberFormat="1" applyFont="1" applyBorder="1" applyAlignment="1">
      <alignment vertical="center"/>
    </xf>
    <xf numFmtId="1" fontId="137" fillId="0" borderId="144" xfId="46" applyNumberFormat="1" applyFont="1" applyBorder="1">
      <alignment vertical="center"/>
    </xf>
    <xf numFmtId="1" fontId="137" fillId="0" borderId="176" xfId="46" applyNumberFormat="1" applyFont="1" applyBorder="1">
      <alignment vertical="center"/>
    </xf>
    <xf numFmtId="182" fontId="137" fillId="0" borderId="176" xfId="2" applyNumberFormat="1" applyFont="1" applyBorder="1" applyAlignment="1">
      <alignment vertical="center"/>
    </xf>
    <xf numFmtId="0" fontId="5" fillId="0" borderId="131" xfId="46" applyFont="1" applyFill="1" applyBorder="1" applyAlignment="1">
      <alignment horizontal="center" vertical="center"/>
    </xf>
    <xf numFmtId="0" fontId="5" fillId="0" borderId="213" xfId="46" applyFont="1" applyFill="1" applyBorder="1" applyAlignment="1">
      <alignment vertical="center"/>
    </xf>
    <xf numFmtId="0" fontId="5" fillId="0" borderId="209" xfId="46" applyFont="1" applyFill="1" applyBorder="1" applyAlignment="1">
      <alignment horizontal="center" vertical="center"/>
    </xf>
    <xf numFmtId="0" fontId="5" fillId="0" borderId="213" xfId="46" applyFont="1" applyFill="1" applyBorder="1" applyAlignment="1">
      <alignment horizontal="center" vertical="center"/>
    </xf>
    <xf numFmtId="0" fontId="5" fillId="0" borderId="211" xfId="46" applyFont="1" applyFill="1" applyBorder="1" applyAlignment="1">
      <alignment horizontal="center" vertical="center"/>
    </xf>
    <xf numFmtId="0" fontId="185" fillId="0" borderId="9" xfId="0" applyFont="1" applyBorder="1"/>
    <xf numFmtId="0" fontId="40" fillId="0" borderId="9" xfId="0" applyFont="1" applyBorder="1"/>
    <xf numFmtId="0" fontId="40" fillId="0" borderId="115" xfId="0" applyFont="1" applyBorder="1"/>
    <xf numFmtId="0" fontId="7" fillId="0" borderId="9" xfId="3" quotePrefix="1" applyBorder="1" applyAlignment="1" applyProtection="1"/>
    <xf numFmtId="0" fontId="186" fillId="0" borderId="115" xfId="0" applyFont="1" applyBorder="1"/>
    <xf numFmtId="0" fontId="7" fillId="0" borderId="9" xfId="3" applyBorder="1" applyAlignment="1" applyProtection="1"/>
    <xf numFmtId="0" fontId="137" fillId="0" borderId="9" xfId="3" applyFont="1" applyBorder="1" applyAlignment="1" applyProtection="1"/>
    <xf numFmtId="0" fontId="40" fillId="0" borderId="9" xfId="0" applyFont="1" applyFill="1" applyBorder="1"/>
    <xf numFmtId="0" fontId="7" fillId="0" borderId="9" xfId="3" applyFill="1" applyBorder="1" applyAlignment="1" applyProtection="1"/>
    <xf numFmtId="0" fontId="188" fillId="0" borderId="9" xfId="0" applyFont="1" applyBorder="1"/>
    <xf numFmtId="0" fontId="133" fillId="0" borderId="0" xfId="4" applyFont="1" applyBorder="1"/>
    <xf numFmtId="10" fontId="5" fillId="0" borderId="0" xfId="2" applyNumberFormat="1" applyFont="1" applyBorder="1"/>
    <xf numFmtId="0" fontId="10" fillId="0" borderId="0" xfId="0" applyFont="1" applyBorder="1" applyAlignment="1">
      <alignment wrapText="1"/>
    </xf>
    <xf numFmtId="0" fontId="0" fillId="0" borderId="0" xfId="0" applyBorder="1" applyAlignment="1"/>
    <xf numFmtId="165" fontId="0" fillId="0" borderId="0" xfId="1" applyNumberFormat="1" applyFont="1" applyBorder="1"/>
    <xf numFmtId="191" fontId="0" fillId="0" borderId="0" xfId="0" applyNumberFormat="1" applyBorder="1"/>
    <xf numFmtId="0" fontId="7" fillId="0" borderId="9" xfId="3" quotePrefix="1" applyFill="1" applyBorder="1" applyAlignment="1" applyProtection="1"/>
    <xf numFmtId="0" fontId="185" fillId="0" borderId="9" xfId="3" quotePrefix="1" applyFont="1" applyBorder="1" applyAlignment="1" applyProtection="1"/>
    <xf numFmtId="0" fontId="190" fillId="0" borderId="9" xfId="0" applyFont="1" applyBorder="1"/>
    <xf numFmtId="0" fontId="191" fillId="0" borderId="9" xfId="3" quotePrefix="1" applyFont="1" applyFill="1" applyBorder="1" applyAlignment="1" applyProtection="1"/>
    <xf numFmtId="0" fontId="192" fillId="0" borderId="9" xfId="3" quotePrefix="1" applyFont="1" applyFill="1" applyBorder="1" applyAlignment="1" applyProtection="1"/>
    <xf numFmtId="0" fontId="137" fillId="0" borderId="9" xfId="3" quotePrefix="1" applyFont="1" applyFill="1" applyBorder="1" applyAlignment="1" applyProtection="1"/>
    <xf numFmtId="0" fontId="193" fillId="0" borderId="9" xfId="3" quotePrefix="1" applyFont="1" applyFill="1" applyBorder="1" applyAlignment="1" applyProtection="1"/>
    <xf numFmtId="0" fontId="40" fillId="0" borderId="9" xfId="3" applyFont="1" applyBorder="1" applyAlignment="1" applyProtection="1"/>
    <xf numFmtId="0" fontId="185" fillId="0" borderId="9" xfId="3" applyFont="1" applyBorder="1" applyAlignment="1" applyProtection="1"/>
    <xf numFmtId="0" fontId="0" fillId="0" borderId="201" xfId="0" applyBorder="1"/>
    <xf numFmtId="0" fontId="40" fillId="0" borderId="56" xfId="0" applyFont="1" applyBorder="1"/>
    <xf numFmtId="0" fontId="189" fillId="0" borderId="9" xfId="0" applyFont="1" applyBorder="1"/>
    <xf numFmtId="0" fontId="192" fillId="0" borderId="9" xfId="0" applyFont="1" applyBorder="1"/>
    <xf numFmtId="0" fontId="194" fillId="0" borderId="9" xfId="0" applyFont="1" applyBorder="1"/>
    <xf numFmtId="0" fontId="187" fillId="0" borderId="9" xfId="3" quotePrefix="1" applyFont="1" applyFill="1" applyBorder="1" applyAlignment="1" applyProtection="1"/>
    <xf numFmtId="0" fontId="87" fillId="0" borderId="0" xfId="0" applyFont="1" applyFill="1" applyBorder="1" applyAlignment="1">
      <alignment wrapText="1"/>
    </xf>
    <xf numFmtId="0" fontId="137" fillId="38" borderId="197" xfId="46" applyFont="1" applyFill="1" applyBorder="1" applyAlignment="1">
      <alignment vertical="center" wrapText="1"/>
    </xf>
    <xf numFmtId="0" fontId="48" fillId="0" borderId="9" xfId="46" applyFont="1" applyBorder="1" applyAlignment="1">
      <alignment horizontal="right"/>
    </xf>
    <xf numFmtId="0" fontId="184" fillId="47" borderId="9" xfId="0" applyFont="1" applyFill="1" applyBorder="1" applyAlignment="1">
      <alignment horizontal="center"/>
    </xf>
    <xf numFmtId="0" fontId="184" fillId="47" borderId="115" xfId="0" applyFont="1" applyFill="1" applyBorder="1" applyAlignment="1">
      <alignment horizontal="center"/>
    </xf>
    <xf numFmtId="182" fontId="0" fillId="0" borderId="0" xfId="0" applyNumberFormat="1" applyBorder="1"/>
    <xf numFmtId="0" fontId="4" fillId="0" borderId="200" xfId="0" applyFont="1" applyBorder="1"/>
    <xf numFmtId="0" fontId="0" fillId="0" borderId="176" xfId="0" applyFill="1" applyBorder="1"/>
    <xf numFmtId="0" fontId="58" fillId="2" borderId="210" xfId="0" applyFont="1" applyFill="1" applyBorder="1"/>
    <xf numFmtId="1" fontId="180" fillId="0" borderId="143" xfId="0" applyNumberFormat="1" applyFont="1" applyBorder="1" applyAlignment="1">
      <alignment horizontal="center"/>
    </xf>
    <xf numFmtId="1" fontId="67" fillId="0" borderId="143" xfId="0" applyNumberFormat="1" applyFont="1" applyFill="1" applyBorder="1" applyAlignment="1">
      <alignment horizontal="center" vertical="center" wrapText="1"/>
    </xf>
    <xf numFmtId="1" fontId="58" fillId="0" borderId="143" xfId="2" applyNumberFormat="1" applyFont="1" applyBorder="1"/>
    <xf numFmtId="0" fontId="0" fillId="0" borderId="224" xfId="0" applyBorder="1"/>
    <xf numFmtId="0" fontId="5" fillId="0" borderId="225" xfId="4" applyFont="1" applyBorder="1" applyAlignment="1">
      <alignment horizontal="center"/>
    </xf>
    <xf numFmtId="2" fontId="179" fillId="0" borderId="225" xfId="0" applyNumberFormat="1" applyFont="1" applyBorder="1" applyAlignment="1">
      <alignment horizontal="center"/>
    </xf>
    <xf numFmtId="1" fontId="5" fillId="0" borderId="225" xfId="4" applyNumberFormat="1" applyFont="1" applyBorder="1" applyAlignment="1">
      <alignment horizontal="center"/>
    </xf>
    <xf numFmtId="0" fontId="0" fillId="0" borderId="225" xfId="0" applyBorder="1"/>
    <xf numFmtId="0" fontId="5" fillId="0" borderId="225" xfId="4" applyBorder="1"/>
    <xf numFmtId="0" fontId="0" fillId="0" borderId="226" xfId="0" applyBorder="1"/>
    <xf numFmtId="2" fontId="113" fillId="0" borderId="6" xfId="4" applyNumberFormat="1" applyFont="1" applyBorder="1" applyAlignment="1">
      <alignment horizontal="right"/>
    </xf>
    <xf numFmtId="2" fontId="9" fillId="0" borderId="0" xfId="4" applyNumberFormat="1" applyFont="1" applyBorder="1" applyAlignment="1">
      <alignment horizontal="center" vertical="center"/>
    </xf>
    <xf numFmtId="189" fontId="113" fillId="0" borderId="0" xfId="4" applyNumberFormat="1" applyFont="1" applyBorder="1" applyAlignment="1">
      <alignment horizontal="right"/>
    </xf>
    <xf numFmtId="0" fontId="114" fillId="0" borderId="224" xfId="112" applyBorder="1" applyAlignment="1" applyProtection="1"/>
    <xf numFmtId="10" fontId="5" fillId="0" borderId="225" xfId="4" applyNumberFormat="1" applyBorder="1"/>
    <xf numFmtId="0" fontId="5" fillId="0" borderId="225" xfId="4" applyBorder="1" applyAlignment="1">
      <alignment horizontal="center"/>
    </xf>
    <xf numFmtId="0" fontId="5" fillId="0" borderId="226" xfId="4" applyBorder="1"/>
    <xf numFmtId="2" fontId="9" fillId="0" borderId="6" xfId="4" applyNumberFormat="1" applyFont="1" applyBorder="1" applyAlignment="1">
      <alignment horizontal="center" vertical="center"/>
    </xf>
    <xf numFmtId="0" fontId="5" fillId="0" borderId="6" xfId="4" applyBorder="1"/>
    <xf numFmtId="178" fontId="0" fillId="0" borderId="0" xfId="0" applyNumberFormat="1" applyBorder="1"/>
    <xf numFmtId="2" fontId="13" fillId="0" borderId="144" xfId="0" applyNumberFormat="1" applyFont="1" applyBorder="1"/>
    <xf numFmtId="2" fontId="8" fillId="0" borderId="176" xfId="46" applyNumberFormat="1" applyFont="1" applyBorder="1" applyAlignment="1">
      <alignment vertical="center"/>
    </xf>
    <xf numFmtId="0" fontId="11" fillId="0" borderId="175" xfId="0" applyFont="1" applyBorder="1"/>
    <xf numFmtId="182" fontId="8" fillId="0" borderId="224" xfId="2" applyNumberFormat="1" applyFont="1" applyBorder="1" applyAlignment="1">
      <alignment vertical="center"/>
    </xf>
    <xf numFmtId="182" fontId="8" fillId="0" borderId="227" xfId="2" applyNumberFormat="1" applyFont="1" applyBorder="1" applyAlignment="1">
      <alignment vertical="center"/>
    </xf>
    <xf numFmtId="182" fontId="8" fillId="0" borderId="42" xfId="2" applyNumberFormat="1" applyFont="1" applyBorder="1" applyAlignment="1">
      <alignment vertical="center"/>
    </xf>
    <xf numFmtId="182" fontId="8" fillId="0" borderId="149" xfId="2" applyNumberFormat="1" applyFont="1" applyBorder="1" applyAlignment="1">
      <alignment vertical="center"/>
    </xf>
    <xf numFmtId="182" fontId="8" fillId="0" borderId="152" xfId="2" applyNumberFormat="1" applyFont="1" applyBorder="1" applyAlignment="1">
      <alignment vertical="center"/>
    </xf>
    <xf numFmtId="0" fontId="155" fillId="0" borderId="149" xfId="0" applyFont="1" applyBorder="1"/>
    <xf numFmtId="168" fontId="197" fillId="0" borderId="31" xfId="0" applyNumberFormat="1" applyFont="1" applyBorder="1"/>
    <xf numFmtId="0" fontId="155" fillId="0" borderId="228" xfId="0" applyFont="1" applyBorder="1"/>
    <xf numFmtId="168" fontId="113" fillId="0" borderId="229" xfId="34" applyNumberFormat="1" applyFont="1" applyBorder="1" applyAlignment="1">
      <alignment horizontal="right"/>
    </xf>
    <xf numFmtId="0" fontId="0" fillId="0" borderId="0" xfId="0" applyAlignment="1">
      <alignment horizontal="center" wrapText="1"/>
    </xf>
    <xf numFmtId="168" fontId="113" fillId="0" borderId="230" xfId="34" applyNumberFormat="1" applyFont="1" applyBorder="1" applyAlignment="1">
      <alignment horizontal="right"/>
    </xf>
    <xf numFmtId="168" fontId="78" fillId="0" borderId="230" xfId="34" applyNumberFormat="1" applyFont="1" applyBorder="1" applyAlignment="1">
      <alignment horizontal="right"/>
    </xf>
    <xf numFmtId="9" fontId="0" fillId="0" borderId="152" xfId="0" applyNumberFormat="1" applyBorder="1"/>
    <xf numFmtId="165" fontId="38" fillId="0" borderId="31" xfId="0" applyNumberFormat="1" applyFont="1" applyBorder="1"/>
    <xf numFmtId="1" fontId="0" fillId="0" borderId="42" xfId="0" applyNumberFormat="1" applyBorder="1"/>
    <xf numFmtId="0" fontId="52" fillId="0" borderId="153" xfId="0" applyFont="1" applyBorder="1" applyAlignment="1">
      <alignment horizontal="center" vertical="center" wrapText="1"/>
    </xf>
    <xf numFmtId="0" fontId="8" fillId="0" borderId="201" xfId="46" applyFont="1" applyFill="1" applyBorder="1" applyAlignment="1">
      <alignment horizontal="center" vertical="center"/>
    </xf>
    <xf numFmtId="0" fontId="5" fillId="0" borderId="140" xfId="46" applyFont="1" applyFill="1" applyBorder="1" applyAlignment="1">
      <alignment horizontal="center" vertical="center"/>
    </xf>
    <xf numFmtId="0" fontId="65" fillId="0" borderId="0" xfId="0" applyFont="1" applyFill="1" applyBorder="1" applyAlignment="1">
      <alignment horizontal="center" vertical="center"/>
    </xf>
    <xf numFmtId="0" fontId="137" fillId="0" borderId="234" xfId="0" applyNumberFormat="1" applyFont="1" applyFill="1" applyBorder="1"/>
    <xf numFmtId="0" fontId="137" fillId="0" borderId="0" xfId="0" applyFont="1" applyFill="1" applyBorder="1"/>
    <xf numFmtId="16" fontId="137" fillId="0" borderId="0" xfId="0" applyNumberFormat="1" applyFont="1" applyFill="1" applyBorder="1"/>
    <xf numFmtId="0" fontId="137" fillId="0" borderId="176" xfId="0" applyFont="1" applyFill="1" applyBorder="1"/>
    <xf numFmtId="0" fontId="5" fillId="0" borderId="141" xfId="46" applyFont="1" applyFill="1" applyBorder="1" applyAlignment="1">
      <alignment horizontal="center" vertical="center"/>
    </xf>
    <xf numFmtId="0" fontId="5" fillId="0" borderId="231" xfId="46" applyFont="1" applyFill="1" applyBorder="1" applyAlignment="1">
      <alignment horizontal="center" vertical="center"/>
    </xf>
    <xf numFmtId="0" fontId="5" fillId="0" borderId="233" xfId="46" applyFont="1" applyFill="1" applyBorder="1" applyAlignment="1">
      <alignment horizontal="center" vertical="center"/>
    </xf>
    <xf numFmtId="0" fontId="137" fillId="0" borderId="0" xfId="2" applyNumberFormat="1" applyFont="1" applyBorder="1" applyAlignment="1">
      <alignment vertical="center"/>
    </xf>
    <xf numFmtId="0" fontId="137" fillId="0" borderId="176" xfId="2" applyNumberFormat="1" applyFont="1" applyBorder="1" applyAlignment="1">
      <alignment vertical="center"/>
    </xf>
    <xf numFmtId="1" fontId="137" fillId="0" borderId="9" xfId="2" applyNumberFormat="1" applyFont="1" applyBorder="1" applyAlignment="1">
      <alignment vertical="center"/>
    </xf>
    <xf numFmtId="1" fontId="137" fillId="0" borderId="144" xfId="2" applyNumberFormat="1" applyFont="1" applyBorder="1" applyAlignment="1">
      <alignment vertical="center"/>
    </xf>
    <xf numFmtId="1" fontId="137" fillId="0" borderId="0" xfId="0" applyNumberFormat="1" applyFont="1" applyFill="1" applyBorder="1"/>
    <xf numFmtId="1" fontId="137" fillId="0" borderId="0" xfId="2" applyNumberFormat="1" applyFont="1" applyBorder="1" applyAlignment="1">
      <alignment vertical="center"/>
    </xf>
    <xf numFmtId="1" fontId="137" fillId="0" borderId="176" xfId="0" applyNumberFormat="1" applyFont="1" applyFill="1" applyBorder="1"/>
    <xf numFmtId="1" fontId="137" fillId="0" borderId="176" xfId="2" applyNumberFormat="1" applyFont="1" applyBorder="1" applyAlignment="1">
      <alignment vertical="center"/>
    </xf>
    <xf numFmtId="1" fontId="137" fillId="0" borderId="235" xfId="2" applyNumberFormat="1" applyFont="1" applyBorder="1" applyAlignment="1">
      <alignment vertical="center"/>
    </xf>
    <xf numFmtId="0" fontId="5" fillId="0" borderId="231" xfId="0" applyFont="1" applyFill="1" applyBorder="1" applyAlignment="1">
      <alignment horizontal="center" vertical="center"/>
    </xf>
    <xf numFmtId="0" fontId="5" fillId="0" borderId="233" xfId="0" applyFont="1" applyFill="1" applyBorder="1" applyAlignment="1">
      <alignment horizontal="center" vertical="center"/>
    </xf>
    <xf numFmtId="0" fontId="50" fillId="0" borderId="175" xfId="0" applyFont="1" applyBorder="1"/>
    <xf numFmtId="2" fontId="0" fillId="0" borderId="42" xfId="0" applyNumberFormat="1" applyFill="1" applyBorder="1"/>
    <xf numFmtId="0" fontId="41" fillId="0" borderId="235" xfId="0" applyFont="1" applyBorder="1"/>
    <xf numFmtId="0" fontId="149" fillId="0" borderId="240" xfId="0" applyFont="1" applyBorder="1" applyAlignment="1">
      <alignment horizontal="right"/>
    </xf>
    <xf numFmtId="0" fontId="149" fillId="0" borderId="42" xfId="0" applyFont="1" applyBorder="1" applyAlignment="1">
      <alignment horizontal="right"/>
    </xf>
    <xf numFmtId="0" fontId="149" fillId="0" borderId="152" xfId="0" applyFont="1" applyBorder="1" applyAlignment="1">
      <alignment horizontal="right"/>
    </xf>
    <xf numFmtId="0" fontId="0" fillId="0" borderId="241" xfId="0" applyBorder="1"/>
    <xf numFmtId="0" fontId="0" fillId="0" borderId="242" xfId="0" applyBorder="1"/>
    <xf numFmtId="0" fontId="0" fillId="0" borderId="243" xfId="0" applyBorder="1"/>
    <xf numFmtId="0" fontId="41" fillId="0" borderId="244" xfId="0" applyFont="1" applyBorder="1"/>
    <xf numFmtId="168" fontId="0" fillId="0" borderId="0" xfId="0" applyNumberFormat="1" applyBorder="1"/>
    <xf numFmtId="43" fontId="0" fillId="0" borderId="6" xfId="0" applyNumberFormat="1" applyBorder="1"/>
    <xf numFmtId="186" fontId="65" fillId="0" borderId="213" xfId="1" applyNumberFormat="1" applyFont="1" applyFill="1" applyBorder="1" applyAlignment="1" applyProtection="1">
      <alignment horizontal="right" vertical="center"/>
      <protection locked="0"/>
    </xf>
    <xf numFmtId="43" fontId="65" fillId="0" borderId="212" xfId="0" applyNumberFormat="1" applyFont="1" applyFill="1" applyBorder="1" applyAlignment="1">
      <alignment horizontal="right" vertical="center" wrapText="1"/>
    </xf>
    <xf numFmtId="43" fontId="65" fillId="0" borderId="213" xfId="0" applyNumberFormat="1" applyFont="1" applyFill="1" applyBorder="1" applyAlignment="1">
      <alignment horizontal="right" vertical="center" wrapText="1"/>
    </xf>
    <xf numFmtId="0" fontId="41" fillId="0" borderId="240" xfId="0" applyFont="1" applyFill="1" applyBorder="1"/>
    <xf numFmtId="1" fontId="166" fillId="0" borderId="141" xfId="0" applyNumberFormat="1" applyFont="1" applyBorder="1"/>
    <xf numFmtId="0" fontId="149" fillId="0" borderId="9" xfId="0" applyFont="1" applyFill="1" applyBorder="1" applyAlignment="1">
      <alignment horizontal="right"/>
    </xf>
    <xf numFmtId="0" fontId="38" fillId="0" borderId="248" xfId="0" applyFont="1" applyFill="1" applyBorder="1" applyAlignment="1">
      <alignment horizontal="right"/>
    </xf>
    <xf numFmtId="1" fontId="198" fillId="0" borderId="249" xfId="0" applyNumberFormat="1" applyFont="1" applyBorder="1"/>
    <xf numFmtId="0" fontId="0" fillId="0" borderId="250" xfId="0" applyBorder="1"/>
    <xf numFmtId="0" fontId="4" fillId="2" borderId="191" xfId="0" applyFont="1" applyFill="1" applyBorder="1" applyAlignment="1">
      <alignment horizontal="right"/>
    </xf>
    <xf numFmtId="0" fontId="4" fillId="2" borderId="111" xfId="0" applyFont="1" applyFill="1" applyBorder="1" applyAlignment="1">
      <alignment horizontal="right"/>
    </xf>
    <xf numFmtId="0" fontId="4" fillId="2" borderId="192" xfId="0" applyFont="1" applyFill="1" applyBorder="1" applyAlignment="1">
      <alignment horizontal="right"/>
    </xf>
    <xf numFmtId="2" fontId="0" fillId="2" borderId="149" xfId="0" applyNumberFormat="1" applyFill="1" applyBorder="1"/>
    <xf numFmtId="2" fontId="0" fillId="2" borderId="31" xfId="0" applyNumberFormat="1" applyFill="1" applyBorder="1"/>
    <xf numFmtId="2" fontId="0" fillId="2" borderId="143" xfId="0" applyNumberFormat="1" applyFill="1" applyBorder="1"/>
    <xf numFmtId="0" fontId="4" fillId="2" borderId="245" xfId="0" applyFont="1" applyFill="1" applyBorder="1" applyAlignment="1">
      <alignment horizontal="right"/>
    </xf>
    <xf numFmtId="0" fontId="4" fillId="2" borderId="246" xfId="0" applyFont="1" applyFill="1" applyBorder="1" applyAlignment="1">
      <alignment horizontal="right"/>
    </xf>
    <xf numFmtId="0" fontId="4" fillId="2" borderId="247" xfId="0" applyFont="1" applyFill="1" applyBorder="1" applyAlignment="1">
      <alignment horizontal="right"/>
    </xf>
    <xf numFmtId="2" fontId="132" fillId="0" borderId="254" xfId="4" applyNumberFormat="1" applyFont="1" applyBorder="1" applyAlignment="1">
      <alignment horizontal="right" wrapText="1"/>
    </xf>
    <xf numFmtId="2" fontId="132" fillId="0" borderId="255" xfId="4" applyNumberFormat="1" applyFont="1" applyBorder="1" applyAlignment="1">
      <alignment horizontal="right"/>
    </xf>
    <xf numFmtId="0" fontId="132" fillId="0" borderId="174" xfId="4" applyFont="1" applyBorder="1" applyAlignment="1">
      <alignment horizontal="center" wrapText="1"/>
    </xf>
    <xf numFmtId="165" fontId="133" fillId="0" borderId="107" xfId="4" applyNumberFormat="1" applyFont="1" applyBorder="1"/>
    <xf numFmtId="2" fontId="132" fillId="0" borderId="6" xfId="4" applyNumberFormat="1" applyFont="1" applyBorder="1" applyAlignment="1">
      <alignment horizontal="right" wrapText="1"/>
    </xf>
    <xf numFmtId="10" fontId="5" fillId="0" borderId="233" xfId="2" applyNumberFormat="1" applyFont="1" applyBorder="1"/>
    <xf numFmtId="0" fontId="132" fillId="0" borderId="6" xfId="4" applyFont="1" applyBorder="1" applyAlignment="1">
      <alignment horizontal="center" wrapText="1"/>
    </xf>
    <xf numFmtId="0" fontId="179" fillId="0" borderId="141" xfId="0" applyFont="1" applyBorder="1" applyAlignment="1">
      <alignment horizontal="center" wrapText="1"/>
    </xf>
    <xf numFmtId="0" fontId="11" fillId="47" borderId="15" xfId="5" applyFont="1" applyFill="1" applyBorder="1" applyAlignment="1">
      <alignment horizontal="right" wrapText="1"/>
    </xf>
    <xf numFmtId="164" fontId="54" fillId="47" borderId="60" xfId="5" applyNumberFormat="1" applyFont="1" applyFill="1" applyBorder="1">
      <alignment wrapText="1"/>
    </xf>
    <xf numFmtId="1" fontId="55" fillId="47" borderId="0" xfId="0" applyNumberFormat="1" applyFont="1" applyFill="1" applyBorder="1"/>
    <xf numFmtId="43" fontId="58" fillId="0" borderId="0" xfId="1" applyFont="1" applyBorder="1"/>
    <xf numFmtId="0" fontId="53" fillId="0" borderId="252" xfId="0" applyNumberFormat="1" applyFont="1" applyFill="1" applyBorder="1" applyAlignment="1">
      <alignment horizontal="center" vertical="center" wrapText="1"/>
    </xf>
    <xf numFmtId="0" fontId="58" fillId="0" borderId="246" xfId="0" applyFont="1" applyBorder="1"/>
    <xf numFmtId="168" fontId="58" fillId="0" borderId="0" xfId="1" applyNumberFormat="1" applyFont="1" applyBorder="1"/>
    <xf numFmtId="0" fontId="62" fillId="0" borderId="256" xfId="0" applyFont="1" applyBorder="1" applyAlignment="1">
      <alignment horizontal="center"/>
    </xf>
    <xf numFmtId="0" fontId="58" fillId="0" borderId="42" xfId="0" applyFont="1" applyBorder="1"/>
    <xf numFmtId="168" fontId="59" fillId="0" borderId="42" xfId="0" applyNumberFormat="1" applyFont="1" applyBorder="1"/>
    <xf numFmtId="0" fontId="58" fillId="0" borderId="42" xfId="0" applyFont="1" applyFill="1" applyBorder="1"/>
    <xf numFmtId="43" fontId="59" fillId="0" borderId="152" xfId="0" applyNumberFormat="1" applyFont="1" applyBorder="1"/>
    <xf numFmtId="0" fontId="58" fillId="0" borderId="256" xfId="0" applyFont="1" applyBorder="1"/>
    <xf numFmtId="1" fontId="41" fillId="0" borderId="12" xfId="2" applyNumberFormat="1" applyFont="1" applyFill="1" applyBorder="1" applyAlignment="1">
      <alignment horizontal="right" vertical="top" wrapText="1"/>
    </xf>
    <xf numFmtId="178" fontId="5" fillId="0" borderId="246" xfId="1" applyNumberFormat="1" applyFont="1" applyFill="1" applyBorder="1" applyAlignment="1" applyProtection="1">
      <alignment horizontal="right" vertical="center"/>
      <protection locked="0"/>
    </xf>
    <xf numFmtId="178" fontId="5" fillId="0" borderId="257" xfId="1" applyNumberFormat="1" applyFont="1" applyFill="1" applyBorder="1" applyAlignment="1" applyProtection="1">
      <alignment horizontal="right" vertical="center"/>
      <protection locked="0"/>
    </xf>
    <xf numFmtId="178" fontId="5" fillId="0" borderId="258" xfId="1" applyNumberFormat="1" applyFont="1" applyFill="1" applyBorder="1" applyAlignment="1" applyProtection="1">
      <alignment horizontal="right" vertical="center"/>
      <protection locked="0"/>
    </xf>
    <xf numFmtId="178" fontId="5" fillId="0" borderId="141" xfId="1" applyNumberFormat="1" applyFont="1" applyFill="1" applyBorder="1" applyAlignment="1" applyProtection="1">
      <alignment horizontal="right" vertical="center"/>
      <protection locked="0"/>
    </xf>
    <xf numFmtId="178" fontId="5" fillId="0" borderId="143" xfId="1" applyNumberFormat="1" applyFont="1" applyFill="1" applyBorder="1" applyAlignment="1" applyProtection="1">
      <alignment horizontal="right" vertical="center"/>
      <protection locked="0"/>
    </xf>
    <xf numFmtId="168" fontId="4" fillId="0" borderId="259" xfId="1" applyNumberFormat="1" applyFont="1" applyBorder="1"/>
    <xf numFmtId="168" fontId="4" fillId="0" borderId="42" xfId="1" applyNumberFormat="1" applyFont="1" applyBorder="1"/>
    <xf numFmtId="168" fontId="4" fillId="0" borderId="152" xfId="1" applyNumberFormat="1" applyFont="1" applyBorder="1"/>
    <xf numFmtId="0" fontId="137" fillId="0" borderId="234" xfId="2" applyNumberFormat="1" applyFont="1" applyBorder="1" applyAlignment="1">
      <alignment vertical="center"/>
    </xf>
    <xf numFmtId="1" fontId="137" fillId="0" borderId="234" xfId="0" applyNumberFormat="1" applyFont="1" applyFill="1" applyBorder="1"/>
    <xf numFmtId="1" fontId="137" fillId="0" borderId="234" xfId="2" applyNumberFormat="1" applyFont="1" applyBorder="1" applyAlignment="1">
      <alignment vertical="center"/>
    </xf>
    <xf numFmtId="1" fontId="137" fillId="0" borderId="236" xfId="0" applyNumberFormat="1" applyFont="1" applyFill="1" applyBorder="1"/>
    <xf numFmtId="1" fontId="137" fillId="0" borderId="115" xfId="0" applyNumberFormat="1" applyFont="1" applyFill="1" applyBorder="1"/>
    <xf numFmtId="1" fontId="137" fillId="0" borderId="175" xfId="0" applyNumberFormat="1" applyFont="1" applyFill="1" applyBorder="1"/>
    <xf numFmtId="0" fontId="137" fillId="0" borderId="151" xfId="2" applyNumberFormat="1" applyFont="1" applyBorder="1" applyAlignment="1">
      <alignment vertical="center"/>
    </xf>
    <xf numFmtId="0" fontId="137" fillId="0" borderId="140" xfId="2" applyNumberFormat="1" applyFont="1" applyBorder="1" applyAlignment="1">
      <alignment vertical="center"/>
    </xf>
    <xf numFmtId="0" fontId="137" fillId="0" borderId="147" xfId="2" applyNumberFormat="1" applyFont="1" applyBorder="1" applyAlignment="1">
      <alignment vertical="center"/>
    </xf>
    <xf numFmtId="165" fontId="8" fillId="0" borderId="36" xfId="2" applyNumberFormat="1" applyFont="1" applyBorder="1" applyAlignment="1">
      <alignment vertical="center"/>
    </xf>
    <xf numFmtId="165" fontId="8" fillId="0" borderId="6" xfId="2" applyNumberFormat="1" applyFont="1" applyBorder="1" applyAlignment="1">
      <alignment vertical="center"/>
    </xf>
    <xf numFmtId="165" fontId="8" fillId="0" borderId="133" xfId="2" applyNumberFormat="1" applyFont="1" applyBorder="1" applyAlignment="1">
      <alignment vertical="center"/>
    </xf>
    <xf numFmtId="2" fontId="8" fillId="0" borderId="43" xfId="2" applyNumberFormat="1" applyFont="1" applyBorder="1" applyAlignment="1">
      <alignment vertical="center"/>
    </xf>
    <xf numFmtId="2" fontId="8" fillId="0" borderId="42" xfId="2" applyNumberFormat="1" applyFont="1" applyBorder="1" applyAlignment="1">
      <alignment vertical="center"/>
    </xf>
    <xf numFmtId="2" fontId="8" fillId="0" borderId="132" xfId="2" applyNumberFormat="1" applyFont="1" applyBorder="1" applyAlignment="1">
      <alignment vertical="center"/>
    </xf>
    <xf numFmtId="0" fontId="11" fillId="0" borderId="0" xfId="0" applyNumberFormat="1" applyFont="1" applyBorder="1"/>
    <xf numFmtId="165" fontId="11" fillId="0" borderId="0" xfId="0" applyNumberFormat="1" applyFont="1" applyBorder="1"/>
    <xf numFmtId="165" fontId="11" fillId="0" borderId="176" xfId="0" applyNumberFormat="1" applyFont="1" applyBorder="1"/>
    <xf numFmtId="1" fontId="166" fillId="2" borderId="141" xfId="0" applyNumberFormat="1" applyFont="1" applyFill="1" applyBorder="1"/>
    <xf numFmtId="1" fontId="0" fillId="2" borderId="42" xfId="0" applyNumberFormat="1" applyFill="1" applyBorder="1"/>
    <xf numFmtId="0" fontId="149" fillId="0" borderId="0" xfId="0" applyFont="1" applyBorder="1" applyAlignment="1">
      <alignment horizontal="center"/>
    </xf>
    <xf numFmtId="0" fontId="148" fillId="0" borderId="0" xfId="0" applyFont="1" applyBorder="1" applyAlignment="1">
      <alignment horizontal="right"/>
    </xf>
    <xf numFmtId="0" fontId="36" fillId="0" borderId="0" xfId="0" applyFont="1" applyBorder="1" applyAlignment="1">
      <alignment horizontal="right"/>
    </xf>
    <xf numFmtId="0" fontId="149" fillId="0" borderId="0" xfId="0" applyFont="1" applyBorder="1" applyAlignment="1">
      <alignment horizontal="right"/>
    </xf>
    <xf numFmtId="0" fontId="168" fillId="0" borderId="0" xfId="0" applyFont="1" applyBorder="1" applyAlignment="1"/>
    <xf numFmtId="0" fontId="167" fillId="0" borderId="0" xfId="0" applyFont="1" applyBorder="1" applyAlignment="1">
      <alignment vertical="center"/>
    </xf>
    <xf numFmtId="0" fontId="149" fillId="0" borderId="0" xfId="0" applyFont="1" applyBorder="1" applyAlignment="1"/>
    <xf numFmtId="0" fontId="4" fillId="0" borderId="0" xfId="0" applyFont="1" applyBorder="1" applyAlignment="1">
      <alignment horizontal="center" vertical="center"/>
    </xf>
    <xf numFmtId="0" fontId="0" fillId="0" borderId="0" xfId="0" applyAlignment="1"/>
    <xf numFmtId="0" fontId="0" fillId="0" borderId="0" xfId="0" applyFont="1" applyBorder="1" applyAlignment="1"/>
    <xf numFmtId="0" fontId="166" fillId="0" borderId="0" xfId="0" applyFont="1" applyBorder="1" applyAlignment="1"/>
    <xf numFmtId="0" fontId="147" fillId="0" borderId="0" xfId="0" applyFont="1" applyBorder="1" applyAlignment="1"/>
    <xf numFmtId="0" fontId="148" fillId="0" borderId="0" xfId="0" applyFont="1" applyBorder="1" applyAlignment="1">
      <alignment vertical="center"/>
    </xf>
    <xf numFmtId="1" fontId="38" fillId="0" borderId="0" xfId="1" applyNumberFormat="1" applyFont="1" applyBorder="1" applyAlignment="1"/>
    <xf numFmtId="1" fontId="38" fillId="0" borderId="0" xfId="0" applyNumberFormat="1" applyFont="1" applyBorder="1" applyAlignment="1"/>
    <xf numFmtId="182" fontId="166" fillId="0" borderId="0" xfId="2" applyNumberFormat="1" applyFont="1" applyBorder="1" applyAlignment="1"/>
    <xf numFmtId="2" fontId="166" fillId="0" borderId="0" xfId="0" applyNumberFormat="1" applyFont="1" applyBorder="1" applyAlignment="1"/>
    <xf numFmtId="0" fontId="58" fillId="0" borderId="0" xfId="0" applyFont="1" applyBorder="1" applyAlignment="1"/>
    <xf numFmtId="168" fontId="4" fillId="0" borderId="0" xfId="1" applyNumberFormat="1" applyFont="1" applyFill="1" applyBorder="1"/>
    <xf numFmtId="168" fontId="166" fillId="0" borderId="0" xfId="0" applyNumberFormat="1" applyFont="1" applyBorder="1"/>
    <xf numFmtId="193" fontId="0" fillId="0" borderId="0" xfId="0" applyNumberFormat="1" applyBorder="1"/>
    <xf numFmtId="168" fontId="0" fillId="0" borderId="261" xfId="0" applyNumberFormat="1" applyBorder="1"/>
    <xf numFmtId="0" fontId="0" fillId="0" borderId="262" xfId="0" applyBorder="1"/>
    <xf numFmtId="168" fontId="0" fillId="0" borderId="262" xfId="0" applyNumberFormat="1" applyBorder="1"/>
    <xf numFmtId="0" fontId="0" fillId="0" borderId="263" xfId="0" applyBorder="1"/>
    <xf numFmtId="0" fontId="0" fillId="0" borderId="264" xfId="0" applyBorder="1"/>
    <xf numFmtId="0" fontId="149" fillId="0" borderId="264" xfId="0" applyFont="1" applyBorder="1" applyAlignment="1">
      <alignment horizontal="right"/>
    </xf>
    <xf numFmtId="0" fontId="38" fillId="0" borderId="260" xfId="0" applyFont="1" applyFill="1" applyBorder="1" applyAlignment="1">
      <alignment horizontal="right"/>
    </xf>
    <xf numFmtId="1" fontId="198" fillId="0" borderId="265" xfId="0" applyNumberFormat="1" applyFont="1" applyBorder="1"/>
    <xf numFmtId="0" fontId="166" fillId="0" borderId="266" xfId="0" applyFont="1" applyBorder="1"/>
    <xf numFmtId="10" fontId="165" fillId="0" borderId="0" xfId="0" applyNumberFormat="1" applyFont="1" applyBorder="1"/>
    <xf numFmtId="0" fontId="165" fillId="0" borderId="0" xfId="0" applyFont="1" applyBorder="1" applyAlignment="1">
      <alignment horizontal="right"/>
    </xf>
    <xf numFmtId="9" fontId="76" fillId="0" borderId="0" xfId="2" applyFont="1" applyFill="1" applyBorder="1" applyAlignment="1" applyProtection="1">
      <alignment horizontal="right" vertical="center"/>
      <protection locked="0"/>
    </xf>
    <xf numFmtId="0" fontId="76" fillId="0" borderId="0" xfId="0" applyFont="1" applyFill="1" applyBorder="1" applyAlignment="1">
      <alignment horizontal="right" vertical="center" wrapText="1"/>
    </xf>
    <xf numFmtId="10" fontId="165" fillId="0" borderId="0" xfId="2" applyNumberFormat="1" applyFont="1" applyBorder="1"/>
    <xf numFmtId="0" fontId="164" fillId="0" borderId="0" xfId="0" applyFont="1" applyBorder="1" applyAlignment="1">
      <alignment horizontal="left" vertical="center"/>
    </xf>
    <xf numFmtId="168" fontId="0" fillId="0" borderId="0" xfId="0" applyNumberFormat="1" applyFont="1" applyBorder="1" applyAlignment="1">
      <alignment vertical="center"/>
    </xf>
    <xf numFmtId="182" fontId="78" fillId="0" borderId="0" xfId="2" applyNumberFormat="1" applyFont="1" applyFill="1" applyBorder="1" applyAlignment="1" applyProtection="1">
      <alignment horizontal="left" vertical="center"/>
      <protection locked="0"/>
    </xf>
    <xf numFmtId="182" fontId="0" fillId="0" borderId="0" xfId="2" applyNumberFormat="1" applyFont="1" applyBorder="1" applyAlignment="1">
      <alignment vertical="center"/>
    </xf>
    <xf numFmtId="182" fontId="165" fillId="0" borderId="0" xfId="2" applyNumberFormat="1" applyFont="1" applyBorder="1"/>
    <xf numFmtId="182" fontId="78" fillId="0" borderId="0" xfId="2" applyNumberFormat="1" applyFont="1" applyFill="1" applyBorder="1" applyAlignment="1" applyProtection="1">
      <alignment vertical="center"/>
      <protection locked="0"/>
    </xf>
    <xf numFmtId="0" fontId="164" fillId="0" borderId="0" xfId="0" applyFont="1" applyBorder="1"/>
    <xf numFmtId="0" fontId="164" fillId="0" borderId="0" xfId="0" applyFont="1" applyBorder="1" applyAlignment="1">
      <alignment horizontal="center"/>
    </xf>
    <xf numFmtId="0" fontId="83" fillId="0" borderId="0" xfId="0" applyFont="1" applyBorder="1" applyAlignment="1">
      <alignment horizontal="center" vertical="center" wrapText="1"/>
    </xf>
    <xf numFmtId="168" fontId="76" fillId="0" borderId="0" xfId="1" applyNumberFormat="1" applyFont="1" applyFill="1" applyBorder="1" applyAlignment="1" applyProtection="1">
      <alignment horizontal="right" vertical="center"/>
      <protection locked="0"/>
    </xf>
    <xf numFmtId="0" fontId="154" fillId="0" borderId="0" xfId="0" applyFont="1" applyBorder="1" applyAlignment="1">
      <alignment horizontal="center" vertical="center" wrapText="1"/>
    </xf>
    <xf numFmtId="168" fontId="165" fillId="0" borderId="0" xfId="0" applyNumberFormat="1" applyFont="1" applyBorder="1"/>
    <xf numFmtId="168" fontId="165" fillId="0" borderId="0" xfId="1" applyNumberFormat="1" applyFont="1" applyBorder="1"/>
    <xf numFmtId="43" fontId="165" fillId="0" borderId="0" xfId="0" applyNumberFormat="1" applyFont="1" applyBorder="1"/>
    <xf numFmtId="168" fontId="38" fillId="0" borderId="0" xfId="1" applyNumberFormat="1" applyFont="1" applyBorder="1"/>
    <xf numFmtId="2" fontId="165" fillId="0" borderId="0" xfId="0" applyNumberFormat="1" applyFont="1" applyBorder="1"/>
    <xf numFmtId="2" fontId="165" fillId="0" borderId="0" xfId="1" applyNumberFormat="1" applyFont="1" applyBorder="1"/>
    <xf numFmtId="43" fontId="165" fillId="0" borderId="0" xfId="1" applyNumberFormat="1" applyFont="1" applyBorder="1"/>
    <xf numFmtId="0" fontId="156" fillId="0" borderId="0" xfId="0" applyFont="1" applyBorder="1" applyAlignment="1">
      <alignment horizontal="left" vertical="center"/>
    </xf>
    <xf numFmtId="0" fontId="164" fillId="0" borderId="0" xfId="0" applyFont="1" applyBorder="1" applyAlignment="1"/>
    <xf numFmtId="168" fontId="76" fillId="0" borderId="0" xfId="1" applyNumberFormat="1" applyFont="1" applyFill="1" applyBorder="1" applyAlignment="1" applyProtection="1">
      <alignment vertical="center"/>
      <protection locked="0"/>
    </xf>
    <xf numFmtId="0" fontId="164" fillId="0" borderId="0" xfId="0" applyFont="1" applyBorder="1" applyAlignment="1">
      <alignment vertical="center" wrapText="1"/>
    </xf>
    <xf numFmtId="0" fontId="164" fillId="0" borderId="0" xfId="0" applyFont="1" applyBorder="1" applyAlignment="1">
      <alignment vertical="center"/>
    </xf>
    <xf numFmtId="168" fontId="76" fillId="0" borderId="0" xfId="1" applyNumberFormat="1" applyFont="1" applyFill="1" applyBorder="1" applyAlignment="1" applyProtection="1">
      <alignment vertical="center" wrapText="1"/>
      <protection locked="0"/>
    </xf>
    <xf numFmtId="43" fontId="76" fillId="0" borderId="0" xfId="1" applyNumberFormat="1" applyFont="1" applyFill="1" applyBorder="1" applyAlignment="1" applyProtection="1">
      <alignment vertical="center"/>
      <protection locked="0"/>
    </xf>
    <xf numFmtId="0" fontId="83" fillId="0" borderId="0" xfId="0" applyFont="1" applyBorder="1" applyAlignment="1">
      <alignment vertical="center" wrapText="1"/>
    </xf>
    <xf numFmtId="1" fontId="0" fillId="0" borderId="0" xfId="2" applyNumberFormat="1" applyFont="1" applyBorder="1"/>
    <xf numFmtId="182" fontId="0" fillId="0" borderId="176" xfId="2" applyNumberFormat="1" applyFont="1" applyBorder="1"/>
    <xf numFmtId="0" fontId="184" fillId="48" borderId="200" xfId="0" applyFont="1" applyFill="1" applyBorder="1" applyAlignment="1">
      <alignment horizontal="center"/>
    </xf>
    <xf numFmtId="0" fontId="184" fillId="48" borderId="201" xfId="0" applyFont="1" applyFill="1" applyBorder="1" applyAlignment="1">
      <alignment horizontal="center"/>
    </xf>
    <xf numFmtId="182" fontId="145" fillId="0" borderId="0" xfId="46" applyNumberFormat="1" applyFont="1" applyFill="1" applyAlignment="1">
      <alignment horizontal="center" wrapText="1"/>
    </xf>
    <xf numFmtId="0" fontId="4" fillId="0" borderId="0" xfId="0" applyFont="1"/>
    <xf numFmtId="0" fontId="4" fillId="0" borderId="106" xfId="0" applyFont="1" applyBorder="1"/>
    <xf numFmtId="0" fontId="8" fillId="0" borderId="0" xfId="46" applyFont="1" applyBorder="1" applyAlignment="1">
      <alignment horizontal="center" vertical="center"/>
    </xf>
    <xf numFmtId="0" fontId="8" fillId="0" borderId="94" xfId="46" applyFont="1" applyBorder="1" applyAlignment="1">
      <alignment horizontal="center"/>
    </xf>
    <xf numFmtId="0" fontId="8" fillId="0" borderId="95" xfId="46" applyFont="1" applyBorder="1" applyAlignment="1">
      <alignment horizontal="center"/>
    </xf>
    <xf numFmtId="0" fontId="8" fillId="0" borderId="108" xfId="46" applyFont="1" applyBorder="1" applyAlignment="1">
      <alignment horizontal="center"/>
    </xf>
    <xf numFmtId="0" fontId="8" fillId="0" borderId="9" xfId="46" applyFont="1" applyFill="1" applyBorder="1" applyAlignment="1">
      <alignment horizontal="center"/>
    </xf>
    <xf numFmtId="0" fontId="8" fillId="0" borderId="0" xfId="46" applyFont="1" applyFill="1" applyBorder="1" applyAlignment="1">
      <alignment horizontal="center"/>
    </xf>
    <xf numFmtId="0" fontId="8" fillId="0" borderId="6" xfId="46" applyFont="1" applyBorder="1" applyAlignment="1">
      <alignment horizontal="center"/>
    </xf>
    <xf numFmtId="0" fontId="8" fillId="0" borderId="7" xfId="46" applyFont="1" applyBorder="1" applyAlignment="1">
      <alignment horizontal="center"/>
    </xf>
    <xf numFmtId="2" fontId="8" fillId="0" borderId="6" xfId="46" applyNumberFormat="1" applyFont="1" applyBorder="1" applyAlignment="1">
      <alignment horizontal="center"/>
    </xf>
    <xf numFmtId="2" fontId="8" fillId="0" borderId="10" xfId="46" applyNumberFormat="1" applyFont="1" applyBorder="1" applyAlignment="1">
      <alignment horizontal="center"/>
    </xf>
    <xf numFmtId="0" fontId="148" fillId="2" borderId="251" xfId="0" applyFont="1" applyFill="1" applyBorder="1" applyAlignment="1">
      <alignment horizontal="center"/>
    </xf>
    <xf numFmtId="0" fontId="155" fillId="2" borderId="252" xfId="0" applyFont="1" applyFill="1" applyBorder="1" applyAlignment="1">
      <alignment horizontal="center"/>
    </xf>
    <xf numFmtId="0" fontId="155" fillId="2" borderId="253" xfId="0" applyFont="1" applyFill="1" applyBorder="1" applyAlignment="1">
      <alignment horizontal="center"/>
    </xf>
    <xf numFmtId="0" fontId="137" fillId="37" borderId="16" xfId="46" applyFont="1" applyFill="1" applyBorder="1" applyAlignment="1">
      <alignment horizontal="center" vertical="center"/>
    </xf>
    <xf numFmtId="0" fontId="137" fillId="37" borderId="18" xfId="46" applyFont="1" applyFill="1" applyBorder="1" applyAlignment="1">
      <alignment horizontal="center" vertical="center"/>
    </xf>
    <xf numFmtId="0" fontId="142" fillId="36" borderId="59" xfId="46" applyFont="1" applyFill="1" applyBorder="1" applyAlignment="1">
      <alignment horizontal="center" vertical="center"/>
    </xf>
    <xf numFmtId="0" fontId="142" fillId="36" borderId="136" xfId="46" applyFont="1" applyFill="1" applyBorder="1" applyAlignment="1">
      <alignment horizontal="center" vertical="center"/>
    </xf>
    <xf numFmtId="0" fontId="142" fillId="36" borderId="9" xfId="46" applyFont="1" applyFill="1" applyBorder="1" applyAlignment="1">
      <alignment horizontal="center" vertical="center"/>
    </xf>
    <xf numFmtId="0" fontId="142" fillId="36" borderId="0" xfId="46" applyFont="1" applyFill="1" applyBorder="1" applyAlignment="1">
      <alignment horizontal="center" vertical="center"/>
    </xf>
    <xf numFmtId="2" fontId="145" fillId="36" borderId="159" xfId="46" applyNumberFormat="1" applyFont="1" applyFill="1" applyBorder="1" applyAlignment="1">
      <alignment horizontal="center" vertical="center"/>
    </xf>
    <xf numFmtId="2" fontId="145" fillId="36" borderId="160" xfId="46" applyNumberFormat="1" applyFont="1" applyFill="1" applyBorder="1" applyAlignment="1">
      <alignment horizontal="center" vertical="center"/>
    </xf>
    <xf numFmtId="2" fontId="145" fillId="36" borderId="161" xfId="46" applyNumberFormat="1" applyFont="1" applyFill="1" applyBorder="1" applyAlignment="1">
      <alignment horizontal="center" vertical="center"/>
    </xf>
    <xf numFmtId="0" fontId="137" fillId="36" borderId="72" xfId="46" applyFont="1" applyFill="1" applyBorder="1" applyAlignment="1">
      <alignment horizontal="center" vertical="center"/>
    </xf>
    <xf numFmtId="0" fontId="137" fillId="36" borderId="16" xfId="46" applyFont="1" applyFill="1" applyBorder="1" applyAlignment="1">
      <alignment horizontal="center" vertical="center"/>
    </xf>
    <xf numFmtId="0" fontId="137" fillId="36" borderId="18" xfId="46" applyFont="1" applyFill="1" applyBorder="1" applyAlignment="1">
      <alignment horizontal="center" vertical="center"/>
    </xf>
    <xf numFmtId="0" fontId="137" fillId="29" borderId="16" xfId="46" applyFont="1" applyFill="1" applyBorder="1" applyAlignment="1">
      <alignment horizontal="center" vertical="center" wrapText="1"/>
    </xf>
    <xf numFmtId="0" fontId="137" fillId="29" borderId="18" xfId="46" applyFont="1" applyFill="1" applyBorder="1" applyAlignment="1">
      <alignment horizontal="center" vertical="center" wrapText="1"/>
    </xf>
    <xf numFmtId="0" fontId="137" fillId="42" borderId="150" xfId="46" applyFont="1" applyFill="1" applyBorder="1" applyAlignment="1">
      <alignment horizontal="center" vertical="center"/>
    </xf>
    <xf numFmtId="0" fontId="137" fillId="42" borderId="93" xfId="46" applyFont="1" applyFill="1" applyBorder="1" applyAlignment="1">
      <alignment horizontal="center" vertical="center"/>
    </xf>
    <xf numFmtId="0" fontId="137" fillId="35" borderId="19" xfId="46" applyFont="1" applyFill="1" applyBorder="1" applyAlignment="1">
      <alignment horizontal="center" vertical="center"/>
    </xf>
    <xf numFmtId="0" fontId="137" fillId="35" borderId="16" xfId="46" applyFont="1" applyFill="1" applyBorder="1" applyAlignment="1">
      <alignment horizontal="center" vertical="center"/>
    </xf>
    <xf numFmtId="0" fontId="137" fillId="35" borderId="18" xfId="46" applyFont="1" applyFill="1" applyBorder="1" applyAlignment="1">
      <alignment horizontal="center" vertical="center"/>
    </xf>
    <xf numFmtId="0" fontId="137" fillId="45" borderId="237" xfId="46" applyFont="1" applyFill="1" applyBorder="1" applyAlignment="1">
      <alignment horizontal="center" vertical="center" wrapText="1"/>
    </xf>
    <xf numFmtId="0" fontId="137" fillId="45" borderId="238" xfId="46" applyFont="1" applyFill="1" applyBorder="1" applyAlignment="1">
      <alignment horizontal="center" vertical="center" wrapText="1"/>
    </xf>
    <xf numFmtId="0" fontId="137" fillId="45" borderId="239" xfId="46" applyFont="1" applyFill="1" applyBorder="1" applyAlignment="1">
      <alignment horizontal="center" vertical="center" wrapText="1"/>
    </xf>
    <xf numFmtId="0" fontId="8" fillId="0" borderId="153" xfId="46" applyFont="1" applyFill="1" applyBorder="1" applyAlignment="1">
      <alignment horizontal="center" vertical="center"/>
    </xf>
    <xf numFmtId="0" fontId="8" fillId="0" borderId="154" xfId="46" applyFont="1" applyFill="1" applyBorder="1" applyAlignment="1">
      <alignment horizontal="center" vertical="center"/>
    </xf>
    <xf numFmtId="2" fontId="8" fillId="0" borderId="179" xfId="46" applyNumberFormat="1" applyFont="1" applyBorder="1" applyAlignment="1">
      <alignment horizontal="center" vertical="center"/>
    </xf>
    <xf numFmtId="2" fontId="8" fillId="0" borderId="180" xfId="46" applyNumberFormat="1" applyFont="1" applyBorder="1" applyAlignment="1">
      <alignment horizontal="center" vertical="center"/>
    </xf>
    <xf numFmtId="2" fontId="8" fillId="0" borderId="6" xfId="46" applyNumberFormat="1" applyFont="1" applyBorder="1" applyAlignment="1">
      <alignment horizontal="center" vertical="center"/>
    </xf>
    <xf numFmtId="2" fontId="8" fillId="0" borderId="141" xfId="46" applyNumberFormat="1" applyFont="1" applyBorder="1" applyAlignment="1">
      <alignment horizontal="center" vertical="center"/>
    </xf>
    <xf numFmtId="0" fontId="9" fillId="0" borderId="214" xfId="46" applyFont="1" applyFill="1" applyBorder="1" applyAlignment="1">
      <alignment horizontal="center" vertical="center" wrapText="1"/>
    </xf>
    <xf numFmtId="0" fontId="9" fillId="0" borderId="42" xfId="46" applyFont="1" applyFill="1" applyBorder="1" applyAlignment="1">
      <alignment horizontal="center" vertical="center" wrapText="1"/>
    </xf>
    <xf numFmtId="0" fontId="142" fillId="41" borderId="9" xfId="46" applyFont="1" applyFill="1" applyBorder="1" applyAlignment="1">
      <alignment horizontal="center" vertical="center"/>
    </xf>
    <xf numFmtId="0" fontId="142" fillId="41" borderId="0" xfId="46" applyFont="1" applyFill="1" applyBorder="1" applyAlignment="1">
      <alignment horizontal="center" vertical="center"/>
    </xf>
    <xf numFmtId="0" fontId="142" fillId="41" borderId="144" xfId="46" applyFont="1" applyFill="1" applyBorder="1" applyAlignment="1">
      <alignment horizontal="center" vertical="center"/>
    </xf>
    <xf numFmtId="0" fontId="142" fillId="41" borderId="176" xfId="46" applyFont="1" applyFill="1" applyBorder="1" applyAlignment="1">
      <alignment horizontal="center" vertical="center"/>
    </xf>
    <xf numFmtId="0" fontId="155" fillId="0" borderId="74" xfId="0" applyFont="1" applyBorder="1" applyAlignment="1">
      <alignment horizontal="center"/>
    </xf>
    <xf numFmtId="0" fontId="155" fillId="0" borderId="31" xfId="0" applyFont="1" applyBorder="1" applyAlignment="1">
      <alignment horizontal="center"/>
    </xf>
    <xf numFmtId="0" fontId="155" fillId="0" borderId="142" xfId="0" applyFont="1" applyBorder="1" applyAlignment="1">
      <alignment horizontal="center"/>
    </xf>
    <xf numFmtId="0" fontId="145" fillId="0" borderId="206" xfId="46" applyFont="1" applyBorder="1" applyAlignment="1">
      <alignment horizontal="center" vertical="center"/>
    </xf>
    <xf numFmtId="0" fontId="145" fillId="0" borderId="208" xfId="46" applyFont="1" applyBorder="1" applyAlignment="1">
      <alignment horizontal="center" vertical="center"/>
    </xf>
    <xf numFmtId="0" fontId="145" fillId="0" borderId="73" xfId="46" applyFont="1" applyBorder="1" applyAlignment="1">
      <alignment horizontal="center" vertical="center"/>
    </xf>
    <xf numFmtId="165" fontId="145" fillId="0" borderId="101" xfId="2" applyNumberFormat="1" applyFont="1" applyBorder="1" applyAlignment="1">
      <alignment horizontal="center" vertical="center"/>
    </xf>
    <xf numFmtId="165" fontId="145" fillId="0" borderId="198" xfId="2" applyNumberFormat="1" applyFont="1" applyBorder="1" applyAlignment="1">
      <alignment horizontal="center" vertical="center"/>
    </xf>
    <xf numFmtId="165" fontId="145" fillId="0" borderId="199" xfId="2" applyNumberFormat="1" applyFont="1" applyBorder="1" applyAlignment="1">
      <alignment horizontal="center" vertical="center"/>
    </xf>
    <xf numFmtId="165" fontId="142" fillId="38" borderId="169" xfId="46" applyNumberFormat="1" applyFont="1" applyFill="1" applyBorder="1" applyAlignment="1">
      <alignment horizontal="center" vertical="center" wrapText="1"/>
    </xf>
    <xf numFmtId="165" fontId="142" fillId="44" borderId="170" xfId="46" applyNumberFormat="1" applyFont="1" applyFill="1" applyBorder="1" applyAlignment="1">
      <alignment horizontal="center" vertical="center" wrapText="1"/>
    </xf>
    <xf numFmtId="165" fontId="142" fillId="38" borderId="144" xfId="46" applyNumberFormat="1" applyFont="1" applyFill="1" applyBorder="1" applyAlignment="1">
      <alignment horizontal="center" vertical="center" wrapText="1"/>
    </xf>
    <xf numFmtId="165" fontId="142" fillId="44" borderId="175" xfId="46" applyNumberFormat="1" applyFont="1" applyFill="1" applyBorder="1" applyAlignment="1">
      <alignment horizontal="center" vertical="center" wrapText="1"/>
    </xf>
    <xf numFmtId="165" fontId="142" fillId="41" borderId="169" xfId="46" applyNumberFormat="1" applyFont="1" applyFill="1" applyBorder="1" applyAlignment="1">
      <alignment horizontal="center" vertical="center"/>
    </xf>
    <xf numFmtId="165" fontId="142" fillId="41" borderId="170" xfId="46" applyNumberFormat="1" applyFont="1" applyFill="1" applyBorder="1" applyAlignment="1">
      <alignment horizontal="center" vertical="center"/>
    </xf>
    <xf numFmtId="165" fontId="142" fillId="41" borderId="74" xfId="46" applyNumberFormat="1" applyFont="1" applyFill="1" applyBorder="1" applyAlignment="1">
      <alignment horizontal="center" vertical="center"/>
    </xf>
    <xf numFmtId="165" fontId="142" fillId="41" borderId="142" xfId="46" applyNumberFormat="1" applyFont="1" applyFill="1" applyBorder="1" applyAlignment="1">
      <alignment horizontal="center" vertical="center"/>
    </xf>
    <xf numFmtId="0" fontId="155" fillId="0" borderId="159" xfId="0" applyFont="1" applyBorder="1" applyAlignment="1">
      <alignment horizontal="center"/>
    </xf>
    <xf numFmtId="0" fontId="155" fillId="0" borderId="160" xfId="0" applyFont="1" applyBorder="1" applyAlignment="1">
      <alignment horizontal="center"/>
    </xf>
    <xf numFmtId="0" fontId="155" fillId="0" borderId="161" xfId="0" applyFont="1" applyBorder="1" applyAlignment="1">
      <alignment horizontal="center"/>
    </xf>
    <xf numFmtId="0" fontId="155" fillId="0" borderId="137" xfId="0" applyFont="1" applyBorder="1" applyAlignment="1">
      <alignment horizontal="center"/>
    </xf>
    <xf numFmtId="0" fontId="155" fillId="0" borderId="136" xfId="0" applyFont="1" applyBorder="1" applyAlignment="1">
      <alignment horizontal="center"/>
    </xf>
    <xf numFmtId="0" fontId="137" fillId="38" borderId="19" xfId="46" applyFont="1" applyFill="1" applyBorder="1" applyAlignment="1">
      <alignment horizontal="center" vertical="center" wrapText="1"/>
    </xf>
    <xf numFmtId="0" fontId="137" fillId="38" borderId="16" xfId="46" applyFont="1" applyFill="1" applyBorder="1" applyAlignment="1">
      <alignment horizontal="center" vertical="center" wrapText="1"/>
    </xf>
    <xf numFmtId="0" fontId="140" fillId="36" borderId="169" xfId="46" applyFont="1" applyFill="1" applyBorder="1" applyAlignment="1">
      <alignment horizontal="right" vertical="center"/>
    </xf>
    <xf numFmtId="0" fontId="140" fillId="36" borderId="170" xfId="46" applyFont="1" applyFill="1" applyBorder="1" applyAlignment="1">
      <alignment horizontal="right" vertical="center"/>
    </xf>
    <xf numFmtId="0" fontId="140" fillId="36" borderId="9" xfId="46" applyFont="1" applyFill="1" applyBorder="1" applyAlignment="1">
      <alignment horizontal="right" vertical="center"/>
    </xf>
    <xf numFmtId="0" fontId="140" fillId="36" borderId="115" xfId="46" applyFont="1" applyFill="1" applyBorder="1" applyAlignment="1">
      <alignment horizontal="right" vertical="center"/>
    </xf>
    <xf numFmtId="165" fontId="142" fillId="42" borderId="169" xfId="46" applyNumberFormat="1" applyFont="1" applyFill="1" applyBorder="1" applyAlignment="1">
      <alignment horizontal="center" vertical="center"/>
    </xf>
    <xf numFmtId="165" fontId="142" fillId="42" borderId="170" xfId="46" applyNumberFormat="1" applyFont="1" applyFill="1" applyBorder="1" applyAlignment="1">
      <alignment horizontal="center" vertical="center"/>
    </xf>
    <xf numFmtId="165" fontId="142" fillId="42" borderId="74" xfId="46" applyNumberFormat="1" applyFont="1" applyFill="1" applyBorder="1" applyAlignment="1">
      <alignment horizontal="center" vertical="center"/>
    </xf>
    <xf numFmtId="165" fontId="142" fillId="42" borderId="142" xfId="46" applyNumberFormat="1" applyFont="1" applyFill="1" applyBorder="1" applyAlignment="1">
      <alignment horizontal="center" vertical="center"/>
    </xf>
    <xf numFmtId="0" fontId="148" fillId="0" borderId="159" xfId="0" applyFont="1" applyBorder="1" applyAlignment="1">
      <alignment horizontal="center"/>
    </xf>
    <xf numFmtId="2" fontId="8" fillId="0" borderId="115" xfId="46" applyNumberFormat="1" applyFont="1" applyBorder="1" applyAlignment="1">
      <alignment horizontal="center" vertical="center"/>
    </xf>
    <xf numFmtId="2" fontId="8" fillId="0" borderId="174" xfId="46" applyNumberFormat="1" applyFont="1" applyBorder="1" applyAlignment="1">
      <alignment horizontal="center" vertical="center"/>
    </xf>
    <xf numFmtId="2" fontId="8" fillId="0" borderId="107" xfId="46" applyNumberFormat="1" applyFont="1" applyBorder="1" applyAlignment="1">
      <alignment horizontal="center" vertical="center"/>
    </xf>
    <xf numFmtId="0" fontId="140" fillId="39" borderId="159" xfId="46" applyFont="1" applyFill="1" applyBorder="1" applyAlignment="1">
      <alignment horizontal="center" vertical="center"/>
    </xf>
    <xf numFmtId="0" fontId="140" fillId="43" borderId="161" xfId="46" applyFont="1" applyFill="1" applyBorder="1" applyAlignment="1">
      <alignment horizontal="center" vertical="center"/>
    </xf>
    <xf numFmtId="0" fontId="148" fillId="0" borderId="191" xfId="0" applyFont="1" applyBorder="1" applyAlignment="1">
      <alignment horizontal="center" wrapText="1"/>
    </xf>
    <xf numFmtId="0" fontId="148" fillId="0" borderId="111" xfId="0" applyFont="1" applyBorder="1" applyAlignment="1">
      <alignment horizontal="center" wrapText="1"/>
    </xf>
    <xf numFmtId="0" fontId="148" fillId="0" borderId="192" xfId="0" applyFont="1" applyBorder="1" applyAlignment="1">
      <alignment horizontal="center" wrapText="1"/>
    </xf>
    <xf numFmtId="0" fontId="148" fillId="0" borderId="149" xfId="0" applyFont="1" applyBorder="1" applyAlignment="1">
      <alignment horizontal="center" wrapText="1"/>
    </xf>
    <xf numFmtId="0" fontId="148" fillId="0" borderId="31" xfId="0" applyFont="1" applyBorder="1" applyAlignment="1">
      <alignment horizontal="center" wrapText="1"/>
    </xf>
    <xf numFmtId="0" fontId="148" fillId="0" borderId="143" xfId="0" applyFont="1" applyBorder="1" applyAlignment="1">
      <alignment horizontal="center" wrapText="1"/>
    </xf>
    <xf numFmtId="0" fontId="8" fillId="0" borderId="73" xfId="46" applyFont="1" applyFill="1" applyBorder="1" applyAlignment="1">
      <alignment horizontal="center" vertical="center"/>
    </xf>
    <xf numFmtId="2" fontId="8" fillId="0" borderId="170" xfId="46" applyNumberFormat="1" applyFont="1" applyBorder="1" applyAlignment="1">
      <alignment horizontal="center" vertical="center"/>
    </xf>
    <xf numFmtId="0" fontId="142" fillId="42" borderId="9" xfId="46" applyFont="1" applyFill="1" applyBorder="1" applyAlignment="1">
      <alignment horizontal="center" vertical="center"/>
    </xf>
    <xf numFmtId="0" fontId="142" fillId="42" borderId="0" xfId="46" applyFont="1" applyFill="1" applyBorder="1" applyAlignment="1">
      <alignment horizontal="center" vertical="center"/>
    </xf>
    <xf numFmtId="0" fontId="137" fillId="41" borderId="159" xfId="0" applyFont="1" applyFill="1" applyBorder="1" applyAlignment="1">
      <alignment horizontal="center" vertical="center"/>
    </xf>
    <xf numFmtId="0" fontId="137" fillId="41" borderId="160" xfId="0" applyFont="1" applyFill="1" applyBorder="1" applyAlignment="1">
      <alignment horizontal="center" vertical="center"/>
    </xf>
    <xf numFmtId="0" fontId="137" fillId="41" borderId="161" xfId="0" applyFont="1" applyFill="1" applyBorder="1" applyAlignment="1">
      <alignment horizontal="center" vertical="center"/>
    </xf>
    <xf numFmtId="0" fontId="148" fillId="2" borderId="191" xfId="0" applyFont="1" applyFill="1" applyBorder="1" applyAlignment="1">
      <alignment horizontal="center" wrapText="1"/>
    </xf>
    <xf numFmtId="0" fontId="148" fillId="2" borderId="111" xfId="0" applyFont="1" applyFill="1" applyBorder="1" applyAlignment="1">
      <alignment horizontal="center" wrapText="1"/>
    </xf>
    <xf numFmtId="0" fontId="148" fillId="2" borderId="192" xfId="0" applyFont="1" applyFill="1" applyBorder="1" applyAlignment="1">
      <alignment horizontal="center" wrapText="1"/>
    </xf>
    <xf numFmtId="0" fontId="148" fillId="2" borderId="149" xfId="0" applyFont="1" applyFill="1" applyBorder="1" applyAlignment="1">
      <alignment horizontal="center" wrapText="1"/>
    </xf>
    <xf numFmtId="0" fontId="148" fillId="2" borderId="31" xfId="0" applyFont="1" applyFill="1" applyBorder="1" applyAlignment="1">
      <alignment horizontal="center" wrapText="1"/>
    </xf>
    <xf numFmtId="0" fontId="148" fillId="2" borderId="143" xfId="0" applyFont="1" applyFill="1" applyBorder="1" applyAlignment="1">
      <alignment horizontal="center" wrapText="1"/>
    </xf>
    <xf numFmtId="0" fontId="137" fillId="50" borderId="235" xfId="46" applyFont="1" applyFill="1" applyBorder="1" applyAlignment="1">
      <alignment horizontal="center" vertical="center" wrapText="1"/>
    </xf>
    <xf numFmtId="0" fontId="137" fillId="50" borderId="234" xfId="46" applyFont="1" applyFill="1" applyBorder="1" applyAlignment="1">
      <alignment horizontal="center" vertical="center" wrapText="1"/>
    </xf>
    <xf numFmtId="0" fontId="137" fillId="50" borderId="232" xfId="46" applyFont="1" applyFill="1" applyBorder="1" applyAlignment="1">
      <alignment horizontal="center" vertical="center" wrapText="1"/>
    </xf>
    <xf numFmtId="0" fontId="137" fillId="50" borderId="233" xfId="46" applyFont="1" applyFill="1" applyBorder="1" applyAlignment="1">
      <alignment horizontal="center" vertical="center" wrapText="1"/>
    </xf>
    <xf numFmtId="165" fontId="142" fillId="41" borderId="219" xfId="46" applyNumberFormat="1" applyFont="1" applyFill="1" applyBorder="1" applyAlignment="1">
      <alignment horizontal="center" vertical="center"/>
    </xf>
    <xf numFmtId="165" fontId="142" fillId="41" borderId="220" xfId="46" applyNumberFormat="1" applyFont="1" applyFill="1" applyBorder="1" applyAlignment="1">
      <alignment horizontal="center" vertical="center"/>
    </xf>
    <xf numFmtId="165" fontId="142" fillId="41" borderId="144" xfId="46" applyNumberFormat="1" applyFont="1" applyFill="1" applyBorder="1" applyAlignment="1">
      <alignment horizontal="center" vertical="center"/>
    </xf>
    <xf numFmtId="165" fontId="142" fillId="41" borderId="175" xfId="46" applyNumberFormat="1" applyFont="1" applyFill="1" applyBorder="1" applyAlignment="1">
      <alignment horizontal="center" vertical="center"/>
    </xf>
    <xf numFmtId="165" fontId="142" fillId="0" borderId="0" xfId="46" applyNumberFormat="1" applyFont="1" applyFill="1" applyBorder="1" applyAlignment="1">
      <alignment horizontal="center" vertical="center" wrapText="1"/>
    </xf>
    <xf numFmtId="0" fontId="140" fillId="39" borderId="197" xfId="46" applyFont="1" applyFill="1" applyBorder="1" applyAlignment="1">
      <alignment horizontal="center" vertical="center"/>
    </xf>
    <xf numFmtId="0" fontId="140" fillId="43" borderId="199" xfId="46" applyFont="1" applyFill="1" applyBorder="1" applyAlignment="1">
      <alignment horizontal="center" vertical="center"/>
    </xf>
    <xf numFmtId="0" fontId="140" fillId="36" borderId="219" xfId="46" applyFont="1" applyFill="1" applyBorder="1" applyAlignment="1">
      <alignment horizontal="right" vertical="center"/>
    </xf>
    <xf numFmtId="0" fontId="140" fillId="36" borderId="220" xfId="46" applyFont="1" applyFill="1" applyBorder="1" applyAlignment="1">
      <alignment horizontal="right" vertical="center"/>
    </xf>
    <xf numFmtId="165" fontId="142" fillId="42" borderId="219" xfId="46" applyNumberFormat="1" applyFont="1" applyFill="1" applyBorder="1" applyAlignment="1">
      <alignment horizontal="center" vertical="center"/>
    </xf>
    <xf numFmtId="165" fontId="142" fillId="42" borderId="220" xfId="46" applyNumberFormat="1" applyFont="1" applyFill="1" applyBorder="1" applyAlignment="1">
      <alignment horizontal="center" vertical="center"/>
    </xf>
    <xf numFmtId="0" fontId="137" fillId="36" borderId="208" xfId="46" applyFont="1" applyFill="1" applyBorder="1" applyAlignment="1">
      <alignment horizontal="center" vertical="center"/>
    </xf>
    <xf numFmtId="0" fontId="137" fillId="36" borderId="203" xfId="46" applyFont="1" applyFill="1" applyBorder="1" applyAlignment="1">
      <alignment horizontal="center" vertical="center"/>
    </xf>
    <xf numFmtId="0" fontId="137" fillId="35" borderId="206" xfId="46" applyFont="1" applyFill="1" applyBorder="1" applyAlignment="1">
      <alignment horizontal="center" vertical="center"/>
    </xf>
    <xf numFmtId="0" fontId="137" fillId="35" borderId="208" xfId="46" applyFont="1" applyFill="1" applyBorder="1" applyAlignment="1">
      <alignment horizontal="center" vertical="center"/>
    </xf>
    <xf numFmtId="0" fontId="137" fillId="35" borderId="203" xfId="46" applyFont="1" applyFill="1" applyBorder="1" applyAlignment="1">
      <alignment horizontal="center" vertical="center"/>
    </xf>
    <xf numFmtId="168" fontId="137" fillId="0" borderId="174" xfId="46" applyNumberFormat="1" applyFont="1" applyBorder="1" applyAlignment="1">
      <alignment horizontal="center" vertical="center"/>
    </xf>
    <xf numFmtId="168" fontId="137" fillId="0" borderId="107" xfId="46" applyNumberFormat="1" applyFont="1" applyBorder="1" applyAlignment="1">
      <alignment horizontal="center" vertical="center"/>
    </xf>
    <xf numFmtId="0" fontId="137" fillId="37" borderId="206" xfId="46" applyFont="1" applyFill="1" applyBorder="1" applyAlignment="1">
      <alignment horizontal="center" vertical="center"/>
    </xf>
    <xf numFmtId="0" fontId="137" fillId="37" borderId="208" xfId="46" applyFont="1" applyFill="1" applyBorder="1" applyAlignment="1">
      <alignment horizontal="center" vertical="center"/>
    </xf>
    <xf numFmtId="0" fontId="137" fillId="37" borderId="73" xfId="46" applyFont="1" applyFill="1" applyBorder="1" applyAlignment="1">
      <alignment horizontal="center" vertical="center"/>
    </xf>
    <xf numFmtId="1" fontId="137" fillId="0" borderId="176" xfId="46" applyNumberFormat="1" applyFont="1" applyBorder="1" applyAlignment="1">
      <alignment horizontal="center" vertical="center"/>
    </xf>
    <xf numFmtId="1" fontId="137" fillId="0" borderId="175" xfId="46" applyNumberFormat="1" applyFont="1" applyBorder="1" applyAlignment="1">
      <alignment horizontal="center" vertical="center"/>
    </xf>
    <xf numFmtId="2" fontId="137" fillId="0" borderId="174" xfId="46" applyNumberFormat="1" applyFont="1" applyBorder="1" applyAlignment="1">
      <alignment horizontal="center" vertical="center"/>
    </xf>
    <xf numFmtId="2" fontId="137" fillId="0" borderId="176" xfId="46" applyNumberFormat="1" applyFont="1" applyBorder="1" applyAlignment="1">
      <alignment horizontal="center" vertical="center"/>
    </xf>
    <xf numFmtId="1" fontId="137" fillId="0" borderId="0" xfId="46" applyNumberFormat="1" applyFont="1" applyBorder="1" applyAlignment="1">
      <alignment horizontal="center" vertical="center"/>
    </xf>
    <xf numFmtId="1" fontId="137" fillId="0" borderId="115" xfId="46" applyNumberFormat="1" applyFont="1" applyBorder="1" applyAlignment="1">
      <alignment horizontal="center" vertical="center"/>
    </xf>
    <xf numFmtId="2" fontId="137" fillId="0" borderId="6" xfId="46" applyNumberFormat="1" applyFont="1" applyBorder="1" applyAlignment="1">
      <alignment horizontal="center" vertical="center"/>
    </xf>
    <xf numFmtId="2" fontId="137" fillId="0" borderId="0" xfId="46" applyNumberFormat="1" applyFont="1" applyBorder="1" applyAlignment="1">
      <alignment horizontal="center" vertical="center"/>
    </xf>
    <xf numFmtId="168" fontId="137" fillId="0" borderId="6" xfId="46" applyNumberFormat="1" applyFont="1" applyBorder="1" applyAlignment="1">
      <alignment horizontal="center" vertical="center"/>
    </xf>
    <xf numFmtId="168" fontId="137" fillId="0" borderId="141" xfId="46" applyNumberFormat="1" applyFont="1" applyBorder="1" applyAlignment="1">
      <alignment horizontal="center" vertical="center"/>
    </xf>
    <xf numFmtId="0" fontId="137" fillId="29" borderId="208" xfId="46" applyFont="1" applyFill="1" applyBorder="1" applyAlignment="1">
      <alignment horizontal="center" vertical="center" wrapText="1"/>
    </xf>
    <xf numFmtId="0" fontId="137" fillId="29" borderId="203" xfId="46" applyFont="1" applyFill="1" applyBorder="1" applyAlignment="1">
      <alignment horizontal="center" vertical="center" wrapText="1"/>
    </xf>
    <xf numFmtId="0" fontId="5" fillId="0" borderId="211" xfId="46" applyFont="1" applyFill="1" applyBorder="1" applyAlignment="1">
      <alignment horizontal="center" vertical="center"/>
    </xf>
    <xf numFmtId="0" fontId="5" fillId="0" borderId="213" xfId="46" applyFont="1" applyFill="1" applyBorder="1" applyAlignment="1">
      <alignment horizontal="center" vertical="center"/>
    </xf>
    <xf numFmtId="0" fontId="5" fillId="0" borderId="170" xfId="46" applyFont="1" applyFill="1" applyBorder="1" applyAlignment="1">
      <alignment horizontal="center" vertical="center"/>
    </xf>
    <xf numFmtId="0" fontId="5" fillId="0" borderId="212" xfId="46" applyFont="1" applyFill="1" applyBorder="1" applyAlignment="1">
      <alignment horizontal="center" vertical="center"/>
    </xf>
    <xf numFmtId="0" fontId="145" fillId="0" borderId="222" xfId="46" applyFont="1" applyBorder="1" applyAlignment="1">
      <alignment horizontal="center" vertical="center"/>
    </xf>
    <xf numFmtId="0" fontId="145" fillId="0" borderId="223" xfId="46" applyFont="1" applyBorder="1" applyAlignment="1">
      <alignment horizontal="center" vertical="center"/>
    </xf>
    <xf numFmtId="0" fontId="137" fillId="38" borderId="9" xfId="46" applyFont="1" applyFill="1" applyBorder="1" applyAlignment="1">
      <alignment horizontal="center" vertical="center" wrapText="1"/>
    </xf>
    <xf numFmtId="0" fontId="137" fillId="38" borderId="0" xfId="46" applyFont="1" applyFill="1" applyBorder="1" applyAlignment="1">
      <alignment horizontal="center" vertical="center" wrapText="1"/>
    </xf>
    <xf numFmtId="0" fontId="137" fillId="38" borderId="115" xfId="46" applyFont="1" applyFill="1" applyBorder="1" applyAlignment="1">
      <alignment horizontal="center" vertical="center" wrapText="1"/>
    </xf>
    <xf numFmtId="43" fontId="137" fillId="0" borderId="137" xfId="46" applyNumberFormat="1" applyFont="1" applyBorder="1" applyAlignment="1">
      <alignment horizontal="center" vertical="center"/>
    </xf>
    <xf numFmtId="168" fontId="137" fillId="0" borderId="138" xfId="46" applyNumberFormat="1" applyFont="1" applyBorder="1" applyAlignment="1">
      <alignment horizontal="center" vertical="center"/>
    </xf>
    <xf numFmtId="43" fontId="137" fillId="0" borderId="6" xfId="46" applyNumberFormat="1" applyFont="1" applyBorder="1" applyAlignment="1">
      <alignment horizontal="center" vertical="center"/>
    </xf>
    <xf numFmtId="1" fontId="137" fillId="0" borderId="195" xfId="46" applyNumberFormat="1" applyFont="1" applyBorder="1" applyAlignment="1">
      <alignment horizontal="center" vertical="center"/>
    </xf>
    <xf numFmtId="1" fontId="137" fillId="0" borderId="201" xfId="46" applyNumberFormat="1" applyFont="1" applyBorder="1" applyAlignment="1">
      <alignment horizontal="center" vertical="center"/>
    </xf>
    <xf numFmtId="2" fontId="137" fillId="0" borderId="137" xfId="46" applyNumberFormat="1" applyFont="1" applyBorder="1" applyAlignment="1">
      <alignment horizontal="center" vertical="center"/>
    </xf>
    <xf numFmtId="2" fontId="137" fillId="0" borderId="195" xfId="46" applyNumberFormat="1" applyFont="1" applyBorder="1" applyAlignment="1">
      <alignment horizontal="center" vertical="center"/>
    </xf>
    <xf numFmtId="0" fontId="6" fillId="46" borderId="183" xfId="1" applyNumberFormat="1" applyFont="1" applyFill="1" applyBorder="1" applyAlignment="1" applyProtection="1">
      <alignment horizontal="center" vertical="center"/>
      <protection locked="0"/>
    </xf>
    <xf numFmtId="0" fontId="6" fillId="46" borderId="184" xfId="1" applyNumberFormat="1" applyFont="1" applyFill="1" applyBorder="1" applyAlignment="1" applyProtection="1">
      <alignment horizontal="center" vertical="center"/>
      <protection locked="0"/>
    </xf>
    <xf numFmtId="0" fontId="6" fillId="46" borderId="185" xfId="1" applyNumberFormat="1" applyFont="1" applyFill="1" applyBorder="1" applyAlignment="1" applyProtection="1">
      <alignment horizontal="center" vertical="center"/>
      <protection locked="0"/>
    </xf>
    <xf numFmtId="0" fontId="58" fillId="0" borderId="114" xfId="0" applyFont="1" applyBorder="1" applyAlignment="1">
      <alignment horizontal="center"/>
    </xf>
    <xf numFmtId="0" fontId="58" fillId="0" borderId="164" xfId="0" applyFont="1" applyBorder="1" applyAlignment="1">
      <alignment horizontal="center"/>
    </xf>
    <xf numFmtId="0" fontId="58" fillId="0" borderId="163" xfId="0" applyFont="1" applyBorder="1" applyAlignment="1">
      <alignment horizontal="center"/>
    </xf>
    <xf numFmtId="0" fontId="58" fillId="0" borderId="112" xfId="0" applyFont="1" applyBorder="1" applyAlignment="1">
      <alignment horizontal="center"/>
    </xf>
    <xf numFmtId="0" fontId="59" fillId="0" borderId="156" xfId="0" applyFont="1" applyBorder="1" applyAlignment="1">
      <alignment horizontal="center"/>
    </xf>
    <xf numFmtId="0" fontId="59" fillId="0" borderId="114" xfId="0" applyFont="1" applyBorder="1" applyAlignment="1">
      <alignment horizontal="center" wrapText="1"/>
    </xf>
    <xf numFmtId="0" fontId="59" fillId="0" borderId="112" xfId="0" applyFont="1" applyBorder="1" applyAlignment="1">
      <alignment horizontal="center" wrapText="1"/>
    </xf>
    <xf numFmtId="0" fontId="6" fillId="38" borderId="183" xfId="1" applyNumberFormat="1" applyFont="1" applyFill="1" applyBorder="1" applyAlignment="1" applyProtection="1">
      <alignment horizontal="center" vertical="center"/>
      <protection locked="0"/>
    </xf>
    <xf numFmtId="0" fontId="6" fillId="38" borderId="184" xfId="1" applyNumberFormat="1" applyFont="1" applyFill="1" applyBorder="1" applyAlignment="1" applyProtection="1">
      <alignment horizontal="center" vertical="center"/>
      <protection locked="0"/>
    </xf>
    <xf numFmtId="0" fontId="6" fillId="38" borderId="185" xfId="1" applyNumberFormat="1" applyFont="1" applyFill="1" applyBorder="1" applyAlignment="1" applyProtection="1">
      <alignment horizontal="center" vertical="center"/>
      <protection locked="0"/>
    </xf>
    <xf numFmtId="0" fontId="5" fillId="36" borderId="116" xfId="1" applyNumberFormat="1" applyFont="1" applyFill="1" applyBorder="1" applyAlignment="1" applyProtection="1">
      <alignment horizontal="center" vertical="center"/>
      <protection locked="0"/>
    </xf>
    <xf numFmtId="0" fontId="5" fillId="36" borderId="108" xfId="1" applyNumberFormat="1" applyFont="1" applyFill="1" applyBorder="1" applyAlignment="1" applyProtection="1">
      <alignment horizontal="center" vertical="center"/>
      <protection locked="0"/>
    </xf>
    <xf numFmtId="0" fontId="5" fillId="36" borderId="113" xfId="1" applyNumberFormat="1" applyFont="1" applyFill="1" applyBorder="1" applyAlignment="1" applyProtection="1">
      <alignment horizontal="center" vertical="center"/>
      <protection locked="0"/>
    </xf>
    <xf numFmtId="0" fontId="5" fillId="35" borderId="116" xfId="1" applyNumberFormat="1" applyFont="1" applyFill="1" applyBorder="1" applyAlignment="1" applyProtection="1">
      <alignment horizontal="center" vertical="center"/>
      <protection locked="0"/>
    </xf>
    <xf numFmtId="0" fontId="5" fillId="35" borderId="108" xfId="1" applyNumberFormat="1" applyFont="1" applyFill="1" applyBorder="1" applyAlignment="1" applyProtection="1">
      <alignment horizontal="center" vertical="center"/>
      <protection locked="0"/>
    </xf>
    <xf numFmtId="0" fontId="5" fillId="35" borderId="113" xfId="1" applyNumberFormat="1" applyFont="1" applyFill="1" applyBorder="1" applyAlignment="1" applyProtection="1">
      <alignment horizontal="center" vertical="center"/>
      <protection locked="0"/>
    </xf>
    <xf numFmtId="0" fontId="142" fillId="37" borderId="116" xfId="1" applyNumberFormat="1" applyFont="1" applyFill="1" applyBorder="1" applyAlignment="1" applyProtection="1">
      <alignment horizontal="center" vertical="center"/>
      <protection locked="0"/>
    </xf>
    <xf numFmtId="0" fontId="142" fillId="37" borderId="108" xfId="1" applyNumberFormat="1" applyFont="1" applyFill="1" applyBorder="1" applyAlignment="1" applyProtection="1">
      <alignment horizontal="center" vertical="center"/>
      <protection locked="0"/>
    </xf>
    <xf numFmtId="0" fontId="59" fillId="0" borderId="113" xfId="0" applyFont="1" applyBorder="1" applyAlignment="1">
      <alignment horizontal="center" wrapText="1"/>
    </xf>
    <xf numFmtId="0" fontId="59" fillId="0" borderId="135" xfId="0" applyFont="1" applyBorder="1" applyAlignment="1">
      <alignment horizontal="center" wrapText="1"/>
    </xf>
    <xf numFmtId="0" fontId="58" fillId="0" borderId="212" xfId="0" applyFont="1" applyBorder="1" applyAlignment="1">
      <alignment horizontal="center" vertical="center" wrapText="1"/>
    </xf>
    <xf numFmtId="0" fontId="58" fillId="0" borderId="31" xfId="0" applyFont="1" applyBorder="1" applyAlignment="1">
      <alignment horizontal="center" vertical="center" wrapText="1"/>
    </xf>
    <xf numFmtId="0" fontId="59" fillId="38" borderId="189" xfId="0" applyFont="1" applyFill="1" applyBorder="1" applyAlignment="1">
      <alignment horizontal="center"/>
    </xf>
    <xf numFmtId="0" fontId="59" fillId="38" borderId="190" xfId="0" applyFont="1" applyFill="1" applyBorder="1" applyAlignment="1">
      <alignment horizontal="center"/>
    </xf>
    <xf numFmtId="0" fontId="58" fillId="0" borderId="111" xfId="0" applyFont="1" applyBorder="1" applyAlignment="1">
      <alignment horizontal="center" vertical="center"/>
    </xf>
    <xf numFmtId="0" fontId="58" fillId="0" borderId="0" xfId="0" applyFont="1" applyBorder="1" applyAlignment="1">
      <alignment horizontal="center" vertical="center"/>
    </xf>
    <xf numFmtId="0" fontId="59" fillId="25" borderId="6" xfId="0" applyFont="1" applyFill="1" applyBorder="1" applyAlignment="1">
      <alignment horizontal="center"/>
    </xf>
    <xf numFmtId="0" fontId="59" fillId="25" borderId="0" xfId="0" applyFont="1" applyFill="1" applyBorder="1" applyAlignment="1">
      <alignment horizontal="center"/>
    </xf>
    <xf numFmtId="0" fontId="9" fillId="26" borderId="19" xfId="0" applyFont="1" applyFill="1" applyBorder="1" applyAlignment="1">
      <alignment horizontal="center" vertical="center"/>
    </xf>
    <xf numFmtId="0" fontId="9" fillId="26" borderId="16" xfId="0" applyFont="1" applyFill="1" applyBorder="1" applyAlignment="1">
      <alignment horizontal="center" vertical="center"/>
    </xf>
    <xf numFmtId="0" fontId="9" fillId="28" borderId="31" xfId="0" applyFont="1" applyFill="1" applyBorder="1" applyAlignment="1">
      <alignment horizontal="center" vertical="center"/>
    </xf>
    <xf numFmtId="0" fontId="9" fillId="27" borderId="111" xfId="0" applyFont="1" applyFill="1" applyBorder="1" applyAlignment="1">
      <alignment horizontal="center" vertical="center"/>
    </xf>
    <xf numFmtId="0" fontId="9" fillId="27" borderId="38" xfId="0" applyFont="1" applyFill="1" applyBorder="1" applyAlignment="1">
      <alignment horizontal="center" vertical="center"/>
    </xf>
    <xf numFmtId="0" fontId="9" fillId="27" borderId="36" xfId="0" applyFont="1" applyFill="1" applyBorder="1" applyAlignment="1">
      <alignment horizontal="center" vertical="center"/>
    </xf>
    <xf numFmtId="0" fontId="9" fillId="27" borderId="19" xfId="0" applyFont="1" applyFill="1" applyBorder="1" applyAlignment="1">
      <alignment horizontal="center" vertical="center" wrapText="1"/>
    </xf>
    <xf numFmtId="0" fontId="9" fillId="27" borderId="16" xfId="0" applyFont="1" applyFill="1" applyBorder="1" applyAlignment="1">
      <alignment horizontal="center" vertical="center" wrapText="1"/>
    </xf>
    <xf numFmtId="0" fontId="59" fillId="28" borderId="71" xfId="0" applyFont="1" applyFill="1" applyBorder="1" applyAlignment="1">
      <alignment horizontal="center" vertical="center"/>
    </xf>
    <xf numFmtId="0" fontId="59" fillId="28" borderId="78" xfId="0" applyFont="1" applyFill="1" applyBorder="1" applyAlignment="1">
      <alignment horizontal="center" vertical="center"/>
    </xf>
    <xf numFmtId="0" fontId="9" fillId="28" borderId="16" xfId="0" applyFont="1" applyFill="1" applyBorder="1" applyAlignment="1">
      <alignment horizontal="center" vertical="center"/>
    </xf>
    <xf numFmtId="0" fontId="9" fillId="28" borderId="18" xfId="0" applyFont="1" applyFill="1" applyBorder="1" applyAlignment="1">
      <alignment horizontal="center" vertical="center"/>
    </xf>
    <xf numFmtId="0" fontId="9" fillId="28" borderId="19" xfId="0" applyFont="1" applyFill="1" applyBorder="1" applyAlignment="1">
      <alignment horizontal="center" vertical="center"/>
    </xf>
    <xf numFmtId="0" fontId="9" fillId="28" borderId="73" xfId="0" applyFont="1" applyFill="1" applyBorder="1" applyAlignment="1">
      <alignment horizontal="center" vertical="center"/>
    </xf>
    <xf numFmtId="0" fontId="169" fillId="25" borderId="16" xfId="0" applyFont="1" applyFill="1" applyBorder="1" applyAlignment="1">
      <alignment horizontal="center" vertical="center" wrapText="1"/>
    </xf>
    <xf numFmtId="0" fontId="169" fillId="27" borderId="119" xfId="0" applyFont="1" applyFill="1" applyBorder="1" applyAlignment="1">
      <alignment horizontal="center" vertical="center" wrapText="1"/>
    </xf>
    <xf numFmtId="0" fontId="169" fillId="27" borderId="120" xfId="0" applyFont="1" applyFill="1" applyBorder="1" applyAlignment="1">
      <alignment horizontal="center" vertical="center" wrapText="1"/>
    </xf>
    <xf numFmtId="0" fontId="169" fillId="27" borderId="121" xfId="0" applyFont="1" applyFill="1" applyBorder="1" applyAlignment="1">
      <alignment horizontal="center" vertical="center" wrapText="1"/>
    </xf>
    <xf numFmtId="0" fontId="169" fillId="27" borderId="122" xfId="0" applyFont="1" applyFill="1" applyBorder="1" applyAlignment="1">
      <alignment horizontal="center" vertical="center" wrapText="1"/>
    </xf>
    <xf numFmtId="0" fontId="58" fillId="0" borderId="166" xfId="0" applyFont="1" applyBorder="1" applyAlignment="1">
      <alignment horizontal="center" vertical="center"/>
    </xf>
    <xf numFmtId="0" fontId="58" fillId="0" borderId="149" xfId="0" applyFont="1" applyBorder="1" applyAlignment="1">
      <alignment horizontal="center" vertical="center"/>
    </xf>
    <xf numFmtId="0" fontId="9" fillId="26" borderId="85" xfId="0" applyFont="1" applyFill="1" applyBorder="1" applyAlignment="1">
      <alignment horizontal="center" vertical="center"/>
    </xf>
    <xf numFmtId="0" fontId="9" fillId="26" borderId="18" xfId="0" applyFont="1" applyFill="1" applyBorder="1" applyAlignment="1">
      <alignment horizontal="center" vertical="center"/>
    </xf>
    <xf numFmtId="0" fontId="58" fillId="0" borderId="31" xfId="0" applyFont="1" applyBorder="1" applyAlignment="1">
      <alignment horizontal="center" vertical="center"/>
    </xf>
    <xf numFmtId="0" fontId="4" fillId="27" borderId="0" xfId="0" applyFont="1" applyFill="1" applyBorder="1" applyAlignment="1">
      <alignment horizontal="center" vertical="center"/>
    </xf>
    <xf numFmtId="0" fontId="4" fillId="27" borderId="141" xfId="0" applyFont="1" applyFill="1" applyBorder="1" applyAlignment="1">
      <alignment horizontal="center" vertical="center"/>
    </xf>
    <xf numFmtId="0" fontId="58" fillId="0" borderId="6" xfId="0" applyFont="1" applyBorder="1" applyAlignment="1">
      <alignment horizontal="center" vertical="center"/>
    </xf>
    <xf numFmtId="0" fontId="9" fillId="27" borderId="186" xfId="0" applyFont="1" applyFill="1" applyBorder="1" applyAlignment="1">
      <alignment horizontal="center" vertical="center" wrapText="1"/>
    </xf>
    <xf numFmtId="0" fontId="9" fillId="27" borderId="187" xfId="0" applyFont="1" applyFill="1" applyBorder="1" applyAlignment="1">
      <alignment horizontal="center" vertical="center" wrapText="1"/>
    </xf>
    <xf numFmtId="0" fontId="9" fillId="26" borderId="119" xfId="0" applyFont="1" applyFill="1" applyBorder="1" applyAlignment="1">
      <alignment horizontal="center" vertical="center"/>
    </xf>
    <xf numFmtId="0" fontId="9" fillId="26" borderId="120" xfId="0" applyFont="1" applyFill="1" applyBorder="1" applyAlignment="1">
      <alignment horizontal="center" vertical="center"/>
    </xf>
    <xf numFmtId="0" fontId="9" fillId="26" borderId="129" xfId="0" applyFont="1" applyFill="1" applyBorder="1" applyAlignment="1">
      <alignment horizontal="center" vertical="center"/>
    </xf>
    <xf numFmtId="0" fontId="9" fillId="26" borderId="130" xfId="0" applyFont="1" applyFill="1" applyBorder="1" applyAlignment="1">
      <alignment horizontal="center" vertical="center"/>
    </xf>
    <xf numFmtId="0" fontId="36" fillId="0" borderId="159" xfId="0" applyFont="1" applyBorder="1" applyAlignment="1">
      <alignment horizontal="center"/>
    </xf>
    <xf numFmtId="0" fontId="36" fillId="0" borderId="161" xfId="0" applyFont="1" applyBorder="1" applyAlignment="1">
      <alignment horizontal="center"/>
    </xf>
    <xf numFmtId="0" fontId="36" fillId="40" borderId="101" xfId="0" applyFont="1" applyFill="1" applyBorder="1" applyAlignment="1">
      <alignment horizontal="center" wrapText="1"/>
    </xf>
    <xf numFmtId="0" fontId="36" fillId="40" borderId="161" xfId="0" applyFont="1" applyFill="1" applyBorder="1" applyAlignment="1">
      <alignment horizontal="center" wrapText="1"/>
    </xf>
    <xf numFmtId="0" fontId="148" fillId="40" borderId="171" xfId="0" applyFont="1" applyFill="1" applyBorder="1" applyAlignment="1">
      <alignment horizontal="center" vertical="center" wrapText="1"/>
    </xf>
    <xf numFmtId="0" fontId="148" fillId="40" borderId="172" xfId="0" applyFont="1" applyFill="1" applyBorder="1" applyAlignment="1">
      <alignment horizontal="center" vertical="center" wrapText="1"/>
    </xf>
    <xf numFmtId="0" fontId="148" fillId="40" borderId="173" xfId="0" applyFont="1" applyFill="1" applyBorder="1" applyAlignment="1">
      <alignment horizontal="center" vertical="center" wrapText="1"/>
    </xf>
    <xf numFmtId="0" fontId="148" fillId="0" borderId="163" xfId="0" applyFont="1" applyBorder="1" applyAlignment="1">
      <alignment horizontal="center"/>
    </xf>
    <xf numFmtId="0" fontId="148" fillId="0" borderId="156" xfId="0" applyFont="1" applyBorder="1" applyAlignment="1">
      <alignment horizontal="center"/>
    </xf>
    <xf numFmtId="0" fontId="148" fillId="0" borderId="164" xfId="0" applyFont="1" applyBorder="1" applyAlignment="1">
      <alignment horizontal="center"/>
    </xf>
    <xf numFmtId="0" fontId="151" fillId="0" borderId="163" xfId="46" applyFont="1" applyFill="1" applyBorder="1" applyAlignment="1">
      <alignment horizontal="center" vertical="center"/>
    </xf>
    <xf numFmtId="0" fontId="151" fillId="0" borderId="156" xfId="46" applyFont="1" applyFill="1" applyBorder="1" applyAlignment="1">
      <alignment horizontal="center" vertical="center"/>
    </xf>
    <xf numFmtId="0" fontId="149" fillId="0" borderId="0" xfId="0" applyFont="1" applyBorder="1" applyAlignment="1">
      <alignment horizontal="left" wrapText="1"/>
    </xf>
    <xf numFmtId="0" fontId="148" fillId="0" borderId="161" xfId="0" applyFont="1" applyBorder="1" applyAlignment="1">
      <alignment horizontal="center"/>
    </xf>
    <xf numFmtId="0" fontId="0" fillId="0" borderId="43" xfId="0" applyBorder="1" applyAlignment="1">
      <alignment horizontal="center" vertical="center"/>
    </xf>
    <xf numFmtId="0" fontId="0" fillId="0" borderId="42" xfId="0" applyBorder="1" applyAlignment="1">
      <alignment horizontal="center" vertical="center"/>
    </xf>
    <xf numFmtId="0" fontId="0" fillId="0" borderId="41" xfId="0" applyBorder="1" applyAlignment="1">
      <alignment horizontal="center" vertical="center"/>
    </xf>
    <xf numFmtId="0" fontId="5" fillId="0" borderId="42" xfId="4" applyBorder="1" applyAlignment="1">
      <alignment horizontal="center" vertical="center" wrapText="1"/>
    </xf>
    <xf numFmtId="0" fontId="54" fillId="0" borderId="42" xfId="4" applyFont="1" applyBorder="1" applyAlignment="1">
      <alignment horizontal="center" vertical="center" wrapText="1"/>
    </xf>
    <xf numFmtId="0" fontId="5" fillId="0" borderId="7" xfId="4" applyBorder="1" applyAlignment="1">
      <alignment horizontal="center" vertical="center" wrapText="1"/>
    </xf>
    <xf numFmtId="0" fontId="54" fillId="0" borderId="6" xfId="4" applyFont="1" applyBorder="1" applyAlignment="1">
      <alignment horizontal="center" vertical="center" wrapText="1"/>
    </xf>
    <xf numFmtId="0" fontId="5" fillId="0" borderId="43" xfId="4" applyBorder="1" applyAlignment="1">
      <alignment horizontal="center" vertical="center" wrapText="1"/>
    </xf>
    <xf numFmtId="0" fontId="5" fillId="0" borderId="41" xfId="4" applyBorder="1" applyAlignment="1">
      <alignment horizontal="center" vertical="center" wrapText="1"/>
    </xf>
    <xf numFmtId="0" fontId="5" fillId="46" borderId="19" xfId="4" applyFill="1" applyBorder="1" applyAlignment="1">
      <alignment horizontal="center" vertical="center" wrapText="1"/>
    </xf>
    <xf numFmtId="0" fontId="5" fillId="46" borderId="18" xfId="4" applyFill="1" applyBorder="1" applyAlignment="1">
      <alignment horizontal="center" vertical="center" wrapText="1"/>
    </xf>
    <xf numFmtId="0" fontId="5" fillId="46" borderId="16" xfId="4" applyFont="1" applyFill="1" applyBorder="1" applyAlignment="1">
      <alignment horizontal="center" vertical="center" wrapText="1"/>
    </xf>
    <xf numFmtId="0" fontId="5" fillId="46" borderId="36" xfId="4" applyFont="1" applyFill="1" applyBorder="1" applyAlignment="1">
      <alignment horizontal="center" vertical="top" wrapText="1"/>
    </xf>
    <xf numFmtId="0" fontId="5" fillId="46" borderId="111" xfId="4" applyFont="1" applyFill="1" applyBorder="1" applyAlignment="1">
      <alignment horizontal="center" vertical="top" wrapText="1"/>
    </xf>
    <xf numFmtId="0" fontId="5" fillId="49" borderId="19" xfId="4" applyFill="1" applyBorder="1" applyAlignment="1">
      <alignment horizontal="center" vertical="center" wrapText="1"/>
    </xf>
    <xf numFmtId="0" fontId="5" fillId="49" borderId="18" xfId="4" applyFill="1" applyBorder="1" applyAlignment="1">
      <alignment horizontal="center" vertical="center" wrapText="1"/>
    </xf>
    <xf numFmtId="0" fontId="5" fillId="49" borderId="16" xfId="4" applyFont="1" applyFill="1" applyBorder="1" applyAlignment="1">
      <alignment horizontal="center" vertical="center" wrapText="1"/>
    </xf>
    <xf numFmtId="0" fontId="8" fillId="0" borderId="38" xfId="4" applyFont="1" applyBorder="1" applyAlignment="1">
      <alignment horizontal="center" vertical="center" wrapText="1"/>
    </xf>
    <xf numFmtId="0" fontId="8" fillId="0" borderId="7" xfId="4" applyFont="1" applyBorder="1" applyAlignment="1">
      <alignment horizontal="center" vertical="center" wrapText="1"/>
    </xf>
    <xf numFmtId="0" fontId="5" fillId="49" borderId="36" xfId="4" applyFont="1" applyFill="1" applyBorder="1" applyAlignment="1">
      <alignment horizontal="center" vertical="top" wrapText="1"/>
    </xf>
    <xf numFmtId="0" fontId="5" fillId="49" borderId="111" xfId="4" applyFont="1" applyFill="1" applyBorder="1" applyAlignment="1">
      <alignment horizontal="center" vertical="top" wrapText="1"/>
    </xf>
    <xf numFmtId="0" fontId="0" fillId="0" borderId="31" xfId="0" applyBorder="1" applyAlignment="1">
      <alignment horizontal="center"/>
    </xf>
    <xf numFmtId="2" fontId="113" fillId="0" borderId="31" xfId="4" applyNumberFormat="1" applyFont="1" applyBorder="1" applyAlignment="1">
      <alignment horizontal="center" vertical="center" wrapText="1"/>
    </xf>
    <xf numFmtId="0" fontId="113" fillId="0" borderId="0" xfId="4" applyFont="1" applyBorder="1" applyAlignment="1">
      <alignment horizontal="center" vertical="top" wrapText="1"/>
    </xf>
    <xf numFmtId="0" fontId="196" fillId="0" borderId="31" xfId="0" applyFont="1" applyBorder="1" applyAlignment="1">
      <alignment horizontal="center" wrapText="1"/>
    </xf>
    <xf numFmtId="0" fontId="9" fillId="0" borderId="256" xfId="4" applyFont="1" applyBorder="1" applyAlignment="1">
      <alignment horizontal="center" vertical="center" wrapText="1"/>
    </xf>
    <xf numFmtId="0" fontId="9" fillId="0" borderId="152" xfId="4" applyFont="1" applyBorder="1" applyAlignment="1">
      <alignment horizontal="center" vertical="center" wrapText="1"/>
    </xf>
    <xf numFmtId="0" fontId="87" fillId="0" borderId="90" xfId="0" applyFont="1" applyBorder="1" applyAlignment="1">
      <alignment wrapText="1"/>
    </xf>
    <xf numFmtId="0" fontId="0" fillId="0" borderId="90" xfId="0" applyBorder="1" applyAlignment="1">
      <alignment wrapText="1"/>
    </xf>
    <xf numFmtId="0" fontId="87" fillId="0" borderId="91" xfId="0" applyFont="1" applyBorder="1" applyAlignment="1">
      <alignment vertical="top" wrapText="1"/>
    </xf>
    <xf numFmtId="0" fontId="87" fillId="0" borderId="90" xfId="0" applyFont="1" applyBorder="1" applyAlignment="1">
      <alignment vertical="top" wrapText="1"/>
    </xf>
    <xf numFmtId="0" fontId="87" fillId="0" borderId="92" xfId="0" applyFont="1" applyBorder="1" applyAlignment="1">
      <alignment wrapText="1"/>
    </xf>
    <xf numFmtId="37" fontId="10" fillId="0" borderId="19" xfId="57" applyNumberFormat="1" applyFont="1" applyBorder="1" applyAlignment="1">
      <alignment horizontal="center" vertical="center" readingOrder="1"/>
    </xf>
    <xf numFmtId="37" fontId="10" fillId="0" borderId="16" xfId="57" applyNumberFormat="1" applyFont="1" applyBorder="1" applyAlignment="1">
      <alignment horizontal="center" vertical="center" readingOrder="1"/>
    </xf>
    <xf numFmtId="37" fontId="10" fillId="0" borderId="18" xfId="57" applyNumberFormat="1" applyFont="1" applyBorder="1" applyAlignment="1">
      <alignment horizontal="center" vertical="center" readingOrder="1"/>
    </xf>
    <xf numFmtId="37" fontId="8" fillId="0" borderId="19" xfId="57" applyNumberFormat="1" applyFont="1" applyBorder="1" applyAlignment="1">
      <alignment horizontal="center"/>
    </xf>
    <xf numFmtId="37" fontId="8" fillId="0" borderId="16" xfId="57" applyNumberFormat="1" applyFont="1" applyBorder="1" applyAlignment="1">
      <alignment horizontal="center"/>
    </xf>
    <xf numFmtId="37" fontId="8" fillId="0" borderId="18" xfId="57" applyNumberFormat="1" applyFont="1" applyBorder="1" applyAlignment="1">
      <alignment horizontal="center"/>
    </xf>
    <xf numFmtId="0" fontId="10" fillId="0" borderId="19" xfId="57" applyFont="1" applyBorder="1" applyAlignment="1" applyProtection="1">
      <alignment horizontal="center"/>
    </xf>
    <xf numFmtId="0" fontId="10" fillId="0" borderId="16" xfId="57" applyFont="1" applyBorder="1" applyAlignment="1" applyProtection="1">
      <alignment horizontal="center"/>
    </xf>
    <xf numFmtId="0" fontId="10" fillId="0" borderId="18" xfId="57" applyFont="1" applyBorder="1" applyAlignment="1" applyProtection="1">
      <alignment horizontal="center"/>
    </xf>
    <xf numFmtId="0" fontId="10" fillId="0" borderId="36" xfId="57" applyFont="1" applyBorder="1" applyAlignment="1" applyProtection="1">
      <alignment horizontal="center"/>
    </xf>
    <xf numFmtId="0" fontId="10" fillId="0" borderId="37" xfId="57" applyFont="1" applyBorder="1" applyAlignment="1" applyProtection="1">
      <alignment horizontal="center"/>
    </xf>
    <xf numFmtId="0" fontId="10" fillId="0" borderId="38" xfId="57" applyFont="1" applyBorder="1" applyAlignment="1" applyProtection="1">
      <alignment horizontal="center"/>
    </xf>
    <xf numFmtId="0" fontId="4" fillId="0" borderId="7" xfId="0" applyFont="1" applyBorder="1" applyAlignment="1">
      <alignment horizontal="center" vertical="center"/>
    </xf>
    <xf numFmtId="0" fontId="13" fillId="0" borderId="38" xfId="5" applyFont="1" applyFill="1" applyBorder="1" applyAlignment="1">
      <alignment horizontal="center" vertical="top" wrapText="1"/>
    </xf>
    <xf numFmtId="0" fontId="13" fillId="0" borderId="7" xfId="5" applyFont="1" applyFill="1" applyBorder="1" applyAlignment="1">
      <alignment horizontal="center" vertical="top" wrapText="1"/>
    </xf>
    <xf numFmtId="0" fontId="13" fillId="0" borderId="32" xfId="5" applyFont="1" applyFill="1" applyBorder="1" applyAlignment="1">
      <alignment horizontal="center" vertical="top" wrapText="1"/>
    </xf>
    <xf numFmtId="0" fontId="4" fillId="0" borderId="141" xfId="0" applyFont="1" applyBorder="1" applyAlignment="1">
      <alignment horizontal="center" vertical="center" wrapText="1"/>
    </xf>
    <xf numFmtId="0" fontId="0" fillId="0" borderId="84" xfId="0" applyBorder="1" applyAlignment="1">
      <alignment horizontal="center" wrapText="1"/>
    </xf>
    <xf numFmtId="0" fontId="0" fillId="0" borderId="7" xfId="0" applyBorder="1" applyAlignment="1">
      <alignment horizontal="center" wrapText="1"/>
    </xf>
    <xf numFmtId="0" fontId="0" fillId="0" borderId="32" xfId="0" applyBorder="1" applyAlignment="1">
      <alignment horizontal="center" wrapText="1"/>
    </xf>
    <xf numFmtId="0" fontId="0" fillId="0" borderId="7" xfId="0" applyBorder="1" applyAlignment="1">
      <alignment horizontal="center" vertical="center" wrapText="1"/>
    </xf>
    <xf numFmtId="0" fontId="0" fillId="0" borderId="32" xfId="0" applyBorder="1" applyAlignment="1">
      <alignment horizontal="center" vertical="center" wrapText="1"/>
    </xf>
    <xf numFmtId="0" fontId="16" fillId="0" borderId="7" xfId="7" applyFont="1" applyFill="1" applyBorder="1" applyAlignment="1">
      <alignment vertical="top" wrapText="1"/>
    </xf>
    <xf numFmtId="0" fontId="11" fillId="0" borderId="31" xfId="7" applyFont="1" applyFill="1" applyBorder="1" applyAlignment="1">
      <alignment vertical="center" wrapText="1"/>
    </xf>
    <xf numFmtId="0" fontId="11" fillId="0" borderId="38" xfId="5" applyFont="1" applyFill="1" applyBorder="1" applyAlignment="1">
      <alignment horizontal="center" vertical="top" wrapText="1"/>
    </xf>
    <xf numFmtId="0" fontId="11" fillId="0" borderId="7" xfId="5" applyFont="1" applyFill="1" applyBorder="1" applyAlignment="1">
      <alignment horizontal="center" vertical="top" wrapText="1"/>
    </xf>
    <xf numFmtId="0" fontId="11" fillId="0" borderId="32" xfId="5" applyFont="1" applyFill="1" applyBorder="1" applyAlignment="1">
      <alignment horizontal="center" vertical="top" wrapText="1"/>
    </xf>
    <xf numFmtId="0" fontId="0" fillId="0" borderId="38" xfId="0" applyBorder="1" applyAlignment="1">
      <alignment horizontal="center" vertical="center"/>
    </xf>
    <xf numFmtId="0" fontId="0" fillId="0" borderId="7" xfId="0" applyBorder="1" applyAlignment="1">
      <alignment horizontal="center" vertical="center"/>
    </xf>
    <xf numFmtId="0" fontId="0" fillId="0" borderId="46" xfId="0" applyBorder="1" applyAlignment="1">
      <alignment horizontal="center" vertical="center"/>
    </xf>
    <xf numFmtId="0" fontId="11" fillId="0" borderId="0" xfId="5" applyFont="1" applyFill="1" applyBorder="1" applyAlignment="1">
      <alignment horizontal="center" vertical="top" wrapText="1"/>
    </xf>
    <xf numFmtId="0" fontId="39" fillId="0" borderId="0" xfId="48"/>
    <xf numFmtId="0" fontId="21" fillId="0" borderId="39" xfId="48" applyFont="1" applyFill="1" applyBorder="1" applyAlignment="1">
      <alignment horizontal="left" vertical="top" wrapText="1"/>
    </xf>
    <xf numFmtId="0" fontId="21" fillId="0" borderId="31" xfId="48" applyFont="1" applyFill="1" applyBorder="1" applyAlignment="1">
      <alignment horizontal="left" vertical="top" wrapText="1"/>
    </xf>
    <xf numFmtId="0" fontId="11" fillId="0" borderId="6" xfId="48" applyFont="1" applyFill="1" applyBorder="1" applyAlignment="1">
      <alignment vertical="top" wrapText="1"/>
    </xf>
    <xf numFmtId="0" fontId="11" fillId="0" borderId="0" xfId="48" applyFont="1" applyFill="1" applyBorder="1" applyAlignment="1">
      <alignment vertical="top" wrapText="1"/>
    </xf>
    <xf numFmtId="0" fontId="11" fillId="0" borderId="7" xfId="48" applyFont="1" applyFill="1" applyBorder="1" applyAlignment="1">
      <alignment vertical="top" wrapText="1"/>
    </xf>
    <xf numFmtId="0" fontId="41" fillId="0" borderId="0" xfId="48" applyFont="1" applyFill="1" applyBorder="1" applyAlignment="1">
      <alignment vertical="top" wrapText="1"/>
    </xf>
    <xf numFmtId="0" fontId="41" fillId="0" borderId="52" xfId="48" applyFont="1" applyFill="1" applyBorder="1" applyAlignment="1">
      <alignment horizontal="left" wrapText="1"/>
    </xf>
    <xf numFmtId="0" fontId="41" fillId="0" borderId="53" xfId="48" applyFont="1" applyFill="1" applyBorder="1" applyAlignment="1">
      <alignment horizontal="left" wrapText="1"/>
    </xf>
    <xf numFmtId="0" fontId="41" fillId="0" borderId="54" xfId="48" applyFont="1" applyFill="1" applyBorder="1" applyAlignment="1">
      <alignment horizontal="left" wrapText="1"/>
    </xf>
    <xf numFmtId="0" fontId="41" fillId="0" borderId="49" xfId="48" applyFont="1" applyFill="1" applyBorder="1" applyAlignment="1">
      <alignment horizontal="center" wrapText="1"/>
    </xf>
    <xf numFmtId="0" fontId="41" fillId="0" borderId="33" xfId="48" applyFont="1" applyFill="1" applyBorder="1" applyAlignment="1">
      <alignment horizontal="center" wrapText="1"/>
    </xf>
    <xf numFmtId="0" fontId="41" fillId="0" borderId="50" xfId="48" applyFont="1" applyFill="1" applyBorder="1" applyAlignment="1">
      <alignment horizontal="center" wrapText="1"/>
    </xf>
    <xf numFmtId="0" fontId="41" fillId="0" borderId="34" xfId="48" applyFont="1" applyFill="1" applyBorder="1" applyAlignment="1">
      <alignment horizontal="center" wrapText="1"/>
    </xf>
    <xf numFmtId="0" fontId="41" fillId="0" borderId="35" xfId="48" applyFont="1" applyFill="1" applyBorder="1" applyAlignment="1">
      <alignment horizontal="center" wrapText="1"/>
    </xf>
    <xf numFmtId="0" fontId="11" fillId="0" borderId="29" xfId="7" applyFont="1" applyFill="1" applyBorder="1">
      <alignment wrapText="1"/>
    </xf>
    <xf numFmtId="0" fontId="21" fillId="0" borderId="0" xfId="7" applyFont="1" applyFill="1" applyBorder="1" applyAlignment="1">
      <alignment horizontal="right" vertical="center" wrapText="1"/>
    </xf>
    <xf numFmtId="0" fontId="11" fillId="0" borderId="0" xfId="7" applyFont="1" applyFill="1" applyBorder="1" applyAlignment="1">
      <alignment vertical="center" wrapText="1"/>
    </xf>
    <xf numFmtId="0" fontId="11" fillId="0" borderId="40" xfId="7" applyFont="1" applyFill="1" applyBorder="1" applyAlignment="1">
      <alignment horizontal="left" wrapText="1"/>
    </xf>
    <xf numFmtId="0" fontId="11" fillId="0" borderId="0" xfId="7" applyFont="1" applyFill="1" applyBorder="1" applyAlignment="1">
      <alignment vertical="top" wrapText="1"/>
    </xf>
    <xf numFmtId="0" fontId="11" fillId="0" borderId="0" xfId="4" applyFont="1" applyAlignment="1" applyProtection="1">
      <alignment horizontal="left" vertical="top" wrapText="1" readingOrder="1"/>
      <protection locked="0"/>
    </xf>
    <xf numFmtId="0" fontId="5" fillId="0" borderId="0" xfId="4"/>
    <xf numFmtId="0" fontId="5" fillId="0" borderId="2" xfId="4" applyBorder="1" applyAlignment="1" applyProtection="1">
      <alignment vertical="top" wrapText="1"/>
      <protection locked="0"/>
    </xf>
    <xf numFmtId="0" fontId="11" fillId="0" borderId="0" xfId="4" applyFont="1" applyAlignment="1" applyProtection="1">
      <alignment vertical="top" wrapText="1" readingOrder="1"/>
      <protection locked="0"/>
    </xf>
    <xf numFmtId="0" fontId="61" fillId="0" borderId="0" xfId="4" applyFont="1" applyAlignment="1" applyProtection="1">
      <alignment horizontal="right" vertical="top" wrapText="1" readingOrder="1"/>
      <protection locked="0"/>
    </xf>
    <xf numFmtId="0" fontId="11" fillId="0" borderId="12" xfId="5" applyFont="1" applyFill="1" applyBorder="1" applyAlignment="1">
      <alignment horizontal="center" vertical="center" wrapText="1"/>
    </xf>
    <xf numFmtId="0" fontId="11" fillId="0" borderId="59" xfId="5" applyFont="1" applyFill="1" applyBorder="1">
      <alignment wrapText="1"/>
    </xf>
    <xf numFmtId="0" fontId="11" fillId="0" borderId="70" xfId="5" applyFont="1" applyFill="1" applyBorder="1">
      <alignment wrapText="1"/>
    </xf>
    <xf numFmtId="0" fontId="11" fillId="0" borderId="9" xfId="5" applyFont="1" applyFill="1" applyBorder="1">
      <alignment wrapText="1"/>
    </xf>
    <xf numFmtId="0" fontId="11" fillId="0" borderId="17" xfId="5" applyFont="1" applyFill="1" applyBorder="1">
      <alignment wrapText="1"/>
    </xf>
    <xf numFmtId="0" fontId="11" fillId="0" borderId="69" xfId="5" applyFont="1" applyFill="1" applyBorder="1" applyAlignment="1">
      <alignment horizontal="center" wrapText="1"/>
    </xf>
    <xf numFmtId="0" fontId="11" fillId="0" borderId="60" xfId="5" applyFont="1" applyFill="1" applyBorder="1" applyAlignment="1">
      <alignment horizontal="center" wrapText="1"/>
    </xf>
    <xf numFmtId="0" fontId="11" fillId="0" borderId="70" xfId="5" applyFont="1" applyFill="1" applyBorder="1" applyAlignment="1">
      <alignment horizontal="center" wrapText="1"/>
    </xf>
    <xf numFmtId="0" fontId="11" fillId="0" borderId="65" xfId="5" applyFont="1" applyFill="1" applyBorder="1" applyAlignment="1">
      <alignment horizontal="center" wrapText="1"/>
    </xf>
    <xf numFmtId="0" fontId="11" fillId="0" borderId="31" xfId="5" applyFont="1" applyFill="1" applyBorder="1" applyAlignment="1">
      <alignment horizontal="center" wrapText="1"/>
    </xf>
    <xf numFmtId="0" fontId="11" fillId="0" borderId="66" xfId="5" applyFont="1" applyFill="1" applyBorder="1" applyAlignment="1">
      <alignment horizontal="center" wrapText="1"/>
    </xf>
    <xf numFmtId="0" fontId="11" fillId="0" borderId="67" xfId="5" applyFont="1" applyFill="1" applyBorder="1" applyAlignment="1">
      <alignment horizontal="center" wrapText="1"/>
    </xf>
    <xf numFmtId="0" fontId="11" fillId="0" borderId="16" xfId="5" applyFont="1" applyFill="1" applyBorder="1" applyAlignment="1">
      <alignment horizontal="center" wrapText="1"/>
    </xf>
    <xf numFmtId="0" fontId="11" fillId="0" borderId="68" xfId="5" applyFont="1" applyFill="1" applyBorder="1" applyAlignment="1">
      <alignment horizontal="center" wrapText="1"/>
    </xf>
    <xf numFmtId="0" fontId="11" fillId="0" borderId="0" xfId="4" applyFont="1" applyAlignment="1" applyProtection="1">
      <alignment vertical="center" wrapText="1" readingOrder="1"/>
      <protection locked="0"/>
    </xf>
    <xf numFmtId="0" fontId="11" fillId="0" borderId="1" xfId="4" applyFont="1" applyBorder="1" applyAlignment="1" applyProtection="1">
      <alignment wrapText="1" readingOrder="1"/>
      <protection locked="0"/>
    </xf>
    <xf numFmtId="0" fontId="5" fillId="0" borderId="14" xfId="4" applyBorder="1" applyAlignment="1" applyProtection="1">
      <alignment vertical="top" wrapText="1"/>
      <protection locked="0"/>
    </xf>
    <xf numFmtId="0" fontId="11" fillId="0" borderId="5" xfId="4" applyFont="1" applyBorder="1" applyAlignment="1" applyProtection="1">
      <alignment horizontal="center" wrapText="1" readingOrder="1"/>
      <protection locked="0"/>
    </xf>
    <xf numFmtId="0" fontId="5" fillId="0" borderId="62" xfId="4" applyBorder="1" applyAlignment="1" applyProtection="1">
      <alignment vertical="top" wrapText="1"/>
      <protection locked="0"/>
    </xf>
    <xf numFmtId="0" fontId="11" fillId="0" borderId="3" xfId="4" applyFont="1" applyBorder="1" applyAlignment="1" applyProtection="1">
      <alignment horizontal="center" wrapText="1" readingOrder="1"/>
      <protection locked="0"/>
    </xf>
    <xf numFmtId="0" fontId="5" fillId="0" borderId="17" xfId="4" applyBorder="1" applyAlignment="1" applyProtection="1">
      <alignment vertical="top" wrapText="1"/>
      <protection locked="0"/>
    </xf>
    <xf numFmtId="0" fontId="11" fillId="0" borderId="1" xfId="4" applyFont="1" applyBorder="1" applyAlignment="1" applyProtection="1">
      <alignment horizontal="left" wrapText="1" readingOrder="1"/>
      <protection locked="0"/>
    </xf>
    <xf numFmtId="0" fontId="61" fillId="0" borderId="0" xfId="4" applyFont="1" applyAlignment="1" applyProtection="1">
      <alignment horizontal="right" vertical="center" wrapText="1" readingOrder="1"/>
      <protection locked="0"/>
    </xf>
    <xf numFmtId="0" fontId="71" fillId="0" borderId="6" xfId="0" applyFont="1" applyBorder="1" applyAlignment="1">
      <alignment horizontal="center" wrapText="1"/>
    </xf>
    <xf numFmtId="0" fontId="71" fillId="0" borderId="7" xfId="0" applyFont="1" applyBorder="1" applyAlignment="1">
      <alignment horizontal="center" wrapText="1"/>
    </xf>
    <xf numFmtId="0" fontId="0" fillId="0" borderId="87" xfId="0" applyBorder="1" applyAlignment="1">
      <alignment horizontal="center" wrapText="1"/>
    </xf>
    <xf numFmtId="0" fontId="0" fillId="0" borderId="88" xfId="0" applyBorder="1" applyAlignment="1">
      <alignment horizontal="center" wrapText="1"/>
    </xf>
    <xf numFmtId="0" fontId="0" fillId="0" borderId="86" xfId="0" applyBorder="1" applyAlignment="1">
      <alignment horizontal="center"/>
    </xf>
    <xf numFmtId="0" fontId="0" fillId="0" borderId="16" xfId="0" applyBorder="1" applyAlignment="1">
      <alignment horizontal="center"/>
    </xf>
    <xf numFmtId="0" fontId="0" fillId="0" borderId="18" xfId="0" applyBorder="1" applyAlignment="1">
      <alignment horizontal="center"/>
    </xf>
  </cellXfs>
  <cellStyles count="118">
    <cellStyle name="20% - Accent1 2" xfId="6" xr:uid="{00000000-0005-0000-0000-000000000000}"/>
    <cellStyle name="20% - Accent1 3" xfId="67" xr:uid="{00000000-0005-0000-0000-000001000000}"/>
    <cellStyle name="20% - Accent2 2" xfId="8" xr:uid="{00000000-0005-0000-0000-000002000000}"/>
    <cellStyle name="20% - Accent2 3" xfId="68" xr:uid="{00000000-0005-0000-0000-000003000000}"/>
    <cellStyle name="20% - Accent3 2" xfId="10" xr:uid="{00000000-0005-0000-0000-000004000000}"/>
    <cellStyle name="20% - Accent3 3" xfId="69" xr:uid="{00000000-0005-0000-0000-000005000000}"/>
    <cellStyle name="20% - Accent4 2" xfId="9" xr:uid="{00000000-0005-0000-0000-000006000000}"/>
    <cellStyle name="20% - Accent4 3" xfId="70" xr:uid="{00000000-0005-0000-0000-000007000000}"/>
    <cellStyle name="20% - Accent5 2" xfId="11" xr:uid="{00000000-0005-0000-0000-000008000000}"/>
    <cellStyle name="20% - Accent5 3" xfId="71" xr:uid="{00000000-0005-0000-0000-000009000000}"/>
    <cellStyle name="20% - Accent6 2" xfId="12" xr:uid="{00000000-0005-0000-0000-00000A000000}"/>
    <cellStyle name="20% - Accent6 3" xfId="72" xr:uid="{00000000-0005-0000-0000-00000B000000}"/>
    <cellStyle name="40% - Accent1 2" xfId="13" xr:uid="{00000000-0005-0000-0000-00000C000000}"/>
    <cellStyle name="40% - Accent1 3" xfId="73" xr:uid="{00000000-0005-0000-0000-00000D000000}"/>
    <cellStyle name="40% - Accent2 2" xfId="14" xr:uid="{00000000-0005-0000-0000-00000E000000}"/>
    <cellStyle name="40% - Accent2 3" xfId="74" xr:uid="{00000000-0005-0000-0000-00000F000000}"/>
    <cellStyle name="40% - Accent3 2" xfId="15" xr:uid="{00000000-0005-0000-0000-000010000000}"/>
    <cellStyle name="40% - Accent3 3" xfId="75" xr:uid="{00000000-0005-0000-0000-000011000000}"/>
    <cellStyle name="40% - Accent4 2" xfId="16" xr:uid="{00000000-0005-0000-0000-000012000000}"/>
    <cellStyle name="40% - Accent4 3" xfId="76" xr:uid="{00000000-0005-0000-0000-000013000000}"/>
    <cellStyle name="40% - Accent5 2" xfId="17" xr:uid="{00000000-0005-0000-0000-000014000000}"/>
    <cellStyle name="40% - Accent5 3" xfId="77" xr:uid="{00000000-0005-0000-0000-000015000000}"/>
    <cellStyle name="40% - Accent6 2" xfId="18" xr:uid="{00000000-0005-0000-0000-000016000000}"/>
    <cellStyle name="40% - Accent6 3" xfId="78" xr:uid="{00000000-0005-0000-0000-000017000000}"/>
    <cellStyle name="60% - Accent1 2" xfId="19" xr:uid="{00000000-0005-0000-0000-000018000000}"/>
    <cellStyle name="60% - Accent1 3" xfId="79" xr:uid="{00000000-0005-0000-0000-000019000000}"/>
    <cellStyle name="60% - Accent2 2" xfId="20" xr:uid="{00000000-0005-0000-0000-00001A000000}"/>
    <cellStyle name="60% - Accent2 3" xfId="80" xr:uid="{00000000-0005-0000-0000-00001B000000}"/>
    <cellStyle name="60% - Accent3 2" xfId="21" xr:uid="{00000000-0005-0000-0000-00001C000000}"/>
    <cellStyle name="60% - Accent3 3" xfId="81" xr:uid="{00000000-0005-0000-0000-00001D000000}"/>
    <cellStyle name="60% - Accent4 2" xfId="22" xr:uid="{00000000-0005-0000-0000-00001E000000}"/>
    <cellStyle name="60% - Accent4 3" xfId="82" xr:uid="{00000000-0005-0000-0000-00001F000000}"/>
    <cellStyle name="60% - Accent5 2" xfId="23" xr:uid="{00000000-0005-0000-0000-000020000000}"/>
    <cellStyle name="60% - Accent5 3" xfId="83" xr:uid="{00000000-0005-0000-0000-000021000000}"/>
    <cellStyle name="60% - Accent6 2" xfId="24" xr:uid="{00000000-0005-0000-0000-000022000000}"/>
    <cellStyle name="60% - Accent6 3" xfId="84" xr:uid="{00000000-0005-0000-0000-000023000000}"/>
    <cellStyle name="Accent1 2" xfId="25" xr:uid="{00000000-0005-0000-0000-000024000000}"/>
    <cellStyle name="Accent1 3" xfId="85" xr:uid="{00000000-0005-0000-0000-000025000000}"/>
    <cellStyle name="Accent2 2" xfId="26" xr:uid="{00000000-0005-0000-0000-000026000000}"/>
    <cellStyle name="Accent2 3" xfId="86" xr:uid="{00000000-0005-0000-0000-000027000000}"/>
    <cellStyle name="Accent3 2" xfId="27" xr:uid="{00000000-0005-0000-0000-000028000000}"/>
    <cellStyle name="Accent3 3" xfId="87" xr:uid="{00000000-0005-0000-0000-000029000000}"/>
    <cellStyle name="Accent4 2" xfId="28" xr:uid="{00000000-0005-0000-0000-00002A000000}"/>
    <cellStyle name="Accent4 3" xfId="88" xr:uid="{00000000-0005-0000-0000-00002B000000}"/>
    <cellStyle name="Accent5 2" xfId="29" xr:uid="{00000000-0005-0000-0000-00002C000000}"/>
    <cellStyle name="Accent5 3" xfId="89" xr:uid="{00000000-0005-0000-0000-00002D000000}"/>
    <cellStyle name="Accent6 2" xfId="30" xr:uid="{00000000-0005-0000-0000-00002E000000}"/>
    <cellStyle name="Accent6 3" xfId="90" xr:uid="{00000000-0005-0000-0000-00002F000000}"/>
    <cellStyle name="Bad 2" xfId="31" xr:uid="{00000000-0005-0000-0000-000030000000}"/>
    <cellStyle name="Bad 3" xfId="91" xr:uid="{00000000-0005-0000-0000-000031000000}"/>
    <cellStyle name="Calculation 2" xfId="32" xr:uid="{00000000-0005-0000-0000-000032000000}"/>
    <cellStyle name="Calculation 3" xfId="92" xr:uid="{00000000-0005-0000-0000-000033000000}"/>
    <cellStyle name="Check Cell 2" xfId="33" xr:uid="{00000000-0005-0000-0000-000034000000}"/>
    <cellStyle name="Check Cell 3" xfId="93" xr:uid="{00000000-0005-0000-0000-000035000000}"/>
    <cellStyle name="Comma" xfId="1" builtinId="3"/>
    <cellStyle name="Comma 2" xfId="34" xr:uid="{00000000-0005-0000-0000-000037000000}"/>
    <cellStyle name="Comma 2 2" xfId="58" xr:uid="{00000000-0005-0000-0000-000038000000}"/>
    <cellStyle name="Comma 3" xfId="59" xr:uid="{00000000-0005-0000-0000-000039000000}"/>
    <cellStyle name="Comma 3 2" xfId="60" xr:uid="{00000000-0005-0000-0000-00003A000000}"/>
    <cellStyle name="Comma 4" xfId="61" xr:uid="{00000000-0005-0000-0000-00003B000000}"/>
    <cellStyle name="Comma 5" xfId="108" xr:uid="{00000000-0005-0000-0000-00003C000000}"/>
    <cellStyle name="Explanatory Text 2" xfId="35" xr:uid="{00000000-0005-0000-0000-00003D000000}"/>
    <cellStyle name="Explanatory Text 3" xfId="94" xr:uid="{00000000-0005-0000-0000-00003E000000}"/>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Good 2" xfId="36" xr:uid="{00000000-0005-0000-0000-000044000000}"/>
    <cellStyle name="Good 3" xfId="95" xr:uid="{00000000-0005-0000-0000-000045000000}"/>
    <cellStyle name="Heading 1 2" xfId="37" xr:uid="{00000000-0005-0000-0000-000046000000}"/>
    <cellStyle name="Heading 1 3" xfId="96" xr:uid="{00000000-0005-0000-0000-000047000000}"/>
    <cellStyle name="Heading 2 2" xfId="38" xr:uid="{00000000-0005-0000-0000-000048000000}"/>
    <cellStyle name="Heading 2 3" xfId="97" xr:uid="{00000000-0005-0000-0000-000049000000}"/>
    <cellStyle name="Heading 3 2" xfId="39" xr:uid="{00000000-0005-0000-0000-00004A000000}"/>
    <cellStyle name="Heading 3 2 2" xfId="110" xr:uid="{00000000-0005-0000-0000-00004B000000}"/>
    <cellStyle name="Heading 3 3" xfId="98" xr:uid="{00000000-0005-0000-0000-00004C000000}"/>
    <cellStyle name="Heading 3 3 2" xfId="111" xr:uid="{00000000-0005-0000-0000-00004D000000}"/>
    <cellStyle name="Heading 4 2" xfId="40" xr:uid="{00000000-0005-0000-0000-00004E000000}"/>
    <cellStyle name="Heading 4 3" xfId="99" xr:uid="{00000000-0005-0000-0000-00004F000000}"/>
    <cellStyle name="Hyperlink" xfId="3" builtinId="8"/>
    <cellStyle name="Hyperlink 2" xfId="62" xr:uid="{00000000-0005-0000-0000-000051000000}"/>
    <cellStyle name="Hyperlink 3" xfId="56" xr:uid="{00000000-0005-0000-0000-000052000000}"/>
    <cellStyle name="Hyperlink 4" xfId="112" xr:uid="{00000000-0005-0000-0000-000053000000}"/>
    <cellStyle name="Input 2" xfId="41" xr:uid="{00000000-0005-0000-0000-000054000000}"/>
    <cellStyle name="Input 3" xfId="100" xr:uid="{00000000-0005-0000-0000-000055000000}"/>
    <cellStyle name="Linked Cell 2" xfId="42" xr:uid="{00000000-0005-0000-0000-000056000000}"/>
    <cellStyle name="Linked Cell 3" xfId="101" xr:uid="{00000000-0005-0000-0000-000057000000}"/>
    <cellStyle name="Neutral 2" xfId="43" xr:uid="{00000000-0005-0000-0000-000058000000}"/>
    <cellStyle name="Neutral 3" xfId="44" xr:uid="{00000000-0005-0000-0000-000059000000}"/>
    <cellStyle name="Neutral 4" xfId="102" xr:uid="{00000000-0005-0000-0000-00005A000000}"/>
    <cellStyle name="Normal" xfId="0" builtinId="0"/>
    <cellStyle name="Normal 2" xfId="4" xr:uid="{00000000-0005-0000-0000-00005C000000}"/>
    <cellStyle name="Normal 2 2" xfId="46" xr:uid="{00000000-0005-0000-0000-00005D000000}"/>
    <cellStyle name="Normal 2 3" xfId="45" xr:uid="{00000000-0005-0000-0000-00005E000000}"/>
    <cellStyle name="Normal 3" xfId="5" xr:uid="{00000000-0005-0000-0000-00005F000000}"/>
    <cellStyle name="Normal 3 2" xfId="47" xr:uid="{00000000-0005-0000-0000-000060000000}"/>
    <cellStyle name="Normal 3 3" xfId="63" xr:uid="{00000000-0005-0000-0000-000061000000}"/>
    <cellStyle name="Normal 4" xfId="48" xr:uid="{00000000-0005-0000-0000-000062000000}"/>
    <cellStyle name="Normal 4 2" xfId="57" xr:uid="{00000000-0005-0000-0000-000063000000}"/>
    <cellStyle name="Normal 5" xfId="7" xr:uid="{00000000-0005-0000-0000-000064000000}"/>
    <cellStyle name="Normal 5 2" xfId="66" xr:uid="{00000000-0005-0000-0000-000065000000}"/>
    <cellStyle name="Normal 6" xfId="55" xr:uid="{00000000-0005-0000-0000-000066000000}"/>
    <cellStyle name="Normal 7" xfId="107" xr:uid="{00000000-0005-0000-0000-000067000000}"/>
    <cellStyle name="Normal_Table2" xfId="64" xr:uid="{00000000-0005-0000-0000-000068000000}"/>
    <cellStyle name="Note 2" xfId="49" xr:uid="{00000000-0005-0000-0000-000069000000}"/>
    <cellStyle name="Note 2 2" xfId="65" xr:uid="{00000000-0005-0000-0000-00006A000000}"/>
    <cellStyle name="Output 2" xfId="50" xr:uid="{00000000-0005-0000-0000-00006B000000}"/>
    <cellStyle name="Output 3" xfId="103" xr:uid="{00000000-0005-0000-0000-00006C000000}"/>
    <cellStyle name="Percent" xfId="2" builtinId="5"/>
    <cellStyle name="Percent 2" xfId="51" xr:uid="{00000000-0005-0000-0000-00006E000000}"/>
    <cellStyle name="Percent 3" xfId="109" xr:uid="{00000000-0005-0000-0000-00006F000000}"/>
    <cellStyle name="Title 2" xfId="52" xr:uid="{00000000-0005-0000-0000-000070000000}"/>
    <cellStyle name="Title 3" xfId="104" xr:uid="{00000000-0005-0000-0000-000071000000}"/>
    <cellStyle name="Total 2" xfId="53" xr:uid="{00000000-0005-0000-0000-000072000000}"/>
    <cellStyle name="Total 3" xfId="105" xr:uid="{00000000-0005-0000-0000-000073000000}"/>
    <cellStyle name="Warning Text 2" xfId="54" xr:uid="{00000000-0005-0000-0000-000074000000}"/>
    <cellStyle name="Warning Text 3" xfId="106" xr:uid="{00000000-0005-0000-0000-000075000000}"/>
  </cellStyles>
  <dxfs count="0"/>
  <tableStyles count="0" defaultTableStyle="TableStyleMedium2" defaultPivotStyle="PivotStyleMedium4"/>
  <colors>
    <mruColors>
      <color rgb="FF990099"/>
      <color rgb="FFD8E840"/>
      <color rgb="FF00B050"/>
      <color rgb="FFFFFF99"/>
      <color rgb="FFFF66FF"/>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38100</xdr:colOff>
      <xdr:row>2</xdr:row>
      <xdr:rowOff>38100</xdr:rowOff>
    </xdr:to>
    <xdr:pic>
      <xdr:nvPicPr>
        <xdr:cNvPr id="2" name="Picture 3">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68440" y="1272540"/>
          <a:ext cx="38100" cy="381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quickstats.nass.usda.gov/results/E43C512B-E62A-3B8F-91AC-F8A05EF10657"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usda.mannlib.cornell.edu/MannUsda/viewDocumentInfo.do?documentID=1290" TargetMode="External"/><Relationship Id="rId2" Type="http://schemas.openxmlformats.org/officeDocument/2006/relationships/hyperlink" Target="http://www.ers.usda.gov/data-products/wheat-data.aspx" TargetMode="External"/><Relationship Id="rId1" Type="http://schemas.openxmlformats.org/officeDocument/2006/relationships/hyperlink" Target="http://www.ers.usda.gov/data-products/feed-grains-database/feed-grains-yearbook-tables.aspx"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http://www.agcensus.usda.gov/Publications/2007/Online_Highlights/Farm_and_Ranch_Irrigation_Survey/index.asp"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www.ers.usda.gov/data-products/feed-grains-database/feed-grains-yearbook-tables.aspx"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www.ers.usda.gov/data-products/wheat-data.aspx"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ers.usda.gov/data-products/feed-grains-database/feed-grains-yearbook-tables.aspx"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ers.usda.gov/data-products/feed-grains-database/feed-grains-yearbook-tables.aspx"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ers.usda.gov/data-products/feed-grains-database/feed-grains-yearbook-tables.aspx"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usda.mannlib.cornell.edu/MannUsda/viewDocumentInfo.do?documentID=1290"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2.xml.rels><?xml version="1.0" encoding="UTF-8" standalone="yes"?>
<Relationships xmlns="http://schemas.openxmlformats.org/package/2006/relationships"><Relationship Id="rId3" Type="http://schemas.openxmlformats.org/officeDocument/2006/relationships/hyperlink" Target="http://pubs.usgs.gov/circ/1344/" TargetMode="External"/><Relationship Id="rId7" Type="http://schemas.openxmlformats.org/officeDocument/2006/relationships/comments" Target="../comments13.xml"/><Relationship Id="rId2" Type="http://schemas.openxmlformats.org/officeDocument/2006/relationships/hyperlink" Target="http://www.agcensus.usda.gov/Publications/2007/Online_Highlights/Farm_and_Ranch_Irrigation_Survey/index.php" TargetMode="External"/><Relationship Id="rId1" Type="http://schemas.openxmlformats.org/officeDocument/2006/relationships/hyperlink" Target="http://www.agcensus.usda.gov/Publications/2007/Online_Highlights/Farm_and_Ranch_Irrigation_Survey/index.php" TargetMode="External"/><Relationship Id="rId6" Type="http://schemas.openxmlformats.org/officeDocument/2006/relationships/vmlDrawing" Target="../drawings/vmlDrawing13.vml"/><Relationship Id="rId5" Type="http://schemas.openxmlformats.org/officeDocument/2006/relationships/printerSettings" Target="../printerSettings/printerSettings2.bin"/><Relationship Id="rId4" Type="http://schemas.openxmlformats.org/officeDocument/2006/relationships/hyperlink" Target="http://www.eia.gov/environment/emissions/ghg_report/pdf/0573(2009).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bin"/><Relationship Id="rId1" Type="http://schemas.openxmlformats.org/officeDocument/2006/relationships/hyperlink" Target="http://www.ers.usda.gov/data-products/food-availability-(per-capita)-data-system.aspx" TargetMode="Externa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beefmagazine.com/nutrition/feed-composition-tables/feed-composition-value-cattle--03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70"/>
  <sheetViews>
    <sheetView topLeftCell="A25" workbookViewId="0">
      <selection activeCell="B49" sqref="B49"/>
    </sheetView>
  </sheetViews>
  <sheetFormatPr baseColWidth="10" defaultColWidth="11" defaultRowHeight="15"/>
  <cols>
    <col min="1" max="1" width="4.33203125" style="938" customWidth="1"/>
    <col min="2" max="2" width="9.6640625" style="938" customWidth="1"/>
    <col min="3" max="3" width="135.5" style="938" customWidth="1"/>
    <col min="4" max="16384" width="11" style="938"/>
  </cols>
  <sheetData>
    <row r="1" spans="2:3" ht="16" thickBot="1"/>
    <row r="2" spans="2:3" ht="16">
      <c r="B2" s="1696" t="s">
        <v>858</v>
      </c>
      <c r="C2" s="1697"/>
    </row>
    <row r="3" spans="2:3" ht="16">
      <c r="B3" s="1487"/>
      <c r="C3" s="1488"/>
    </row>
    <row r="4" spans="2:3" ht="16">
      <c r="B4" s="1479" t="s">
        <v>944</v>
      </c>
      <c r="C4" s="1488"/>
    </row>
    <row r="5" spans="2:3" ht="31.5" customHeight="1">
      <c r="B5" s="1456" t="s">
        <v>900</v>
      </c>
      <c r="C5" s="1488"/>
    </row>
    <row r="6" spans="2:3">
      <c r="B6" s="222"/>
      <c r="C6" s="1239"/>
    </row>
    <row r="7" spans="2:3">
      <c r="B7" s="1482" t="s">
        <v>860</v>
      </c>
      <c r="C7" s="1239"/>
    </row>
    <row r="8" spans="2:3" ht="16">
      <c r="B8" s="1453"/>
      <c r="C8" s="1239"/>
    </row>
    <row r="9" spans="2:3">
      <c r="B9" s="1479" t="s">
        <v>877</v>
      </c>
      <c r="C9" s="1239"/>
    </row>
    <row r="10" spans="2:3">
      <c r="B10" s="1456" t="s">
        <v>862</v>
      </c>
      <c r="C10" s="1455"/>
    </row>
    <row r="11" spans="2:3">
      <c r="B11" s="1479" t="s">
        <v>863</v>
      </c>
      <c r="C11" s="1239"/>
    </row>
    <row r="12" spans="2:3">
      <c r="B12" s="1456" t="s">
        <v>861</v>
      </c>
      <c r="C12" s="1455"/>
    </row>
    <row r="13" spans="2:3">
      <c r="B13" s="1479" t="s">
        <v>870</v>
      </c>
      <c r="C13" s="1239"/>
    </row>
    <row r="14" spans="2:3">
      <c r="B14" s="1456" t="s">
        <v>865</v>
      </c>
      <c r="C14" s="1455"/>
    </row>
    <row r="15" spans="2:3">
      <c r="B15" s="1479" t="s">
        <v>869</v>
      </c>
      <c r="C15" s="1455"/>
    </row>
    <row r="16" spans="2:3">
      <c r="B16" s="1456" t="s">
        <v>864</v>
      </c>
      <c r="C16" s="1455"/>
    </row>
    <row r="17" spans="2:3">
      <c r="B17" s="1454"/>
      <c r="C17" s="1455"/>
    </row>
    <row r="18" spans="2:3" ht="16">
      <c r="B18" s="1462" t="s">
        <v>867</v>
      </c>
      <c r="C18" s="1457"/>
    </row>
    <row r="19" spans="2:3" ht="16">
      <c r="B19" s="1453"/>
      <c r="C19" s="1239"/>
    </row>
    <row r="20" spans="2:3">
      <c r="B20" s="1454" t="s">
        <v>866</v>
      </c>
      <c r="C20" s="1239"/>
    </row>
    <row r="21" spans="2:3">
      <c r="B21" s="1456" t="s">
        <v>868</v>
      </c>
      <c r="C21" s="1239"/>
    </row>
    <row r="22" spans="2:3">
      <c r="B22" s="1454"/>
      <c r="C22" s="1455"/>
    </row>
    <row r="23" spans="2:3">
      <c r="B23" s="222"/>
      <c r="C23" s="1455"/>
    </row>
    <row r="24" spans="2:3" ht="16">
      <c r="B24" s="1480" t="s">
        <v>871</v>
      </c>
      <c r="C24" s="1455"/>
    </row>
    <row r="25" spans="2:3">
      <c r="B25" s="1458"/>
      <c r="C25" s="1455"/>
    </row>
    <row r="26" spans="2:3">
      <c r="B26" s="1459" t="s">
        <v>872</v>
      </c>
      <c r="C26" s="1455"/>
    </row>
    <row r="27" spans="2:3">
      <c r="B27" s="1456" t="s">
        <v>902</v>
      </c>
      <c r="C27" s="1455"/>
    </row>
    <row r="28" spans="2:3">
      <c r="B28" s="1456"/>
      <c r="C28" s="1455"/>
    </row>
    <row r="29" spans="2:3" ht="16">
      <c r="B29" s="1470" t="s">
        <v>873</v>
      </c>
      <c r="C29" s="1455"/>
    </row>
    <row r="30" spans="2:3">
      <c r="B30" s="1456"/>
      <c r="C30" s="1455"/>
    </row>
    <row r="31" spans="2:3">
      <c r="B31" s="1460" t="s">
        <v>874</v>
      </c>
      <c r="C31" s="1455"/>
    </row>
    <row r="32" spans="2:3">
      <c r="B32" s="1469" t="s">
        <v>875</v>
      </c>
      <c r="C32" s="1455"/>
    </row>
    <row r="33" spans="2:3">
      <c r="B33" s="1469"/>
      <c r="C33" s="1455"/>
    </row>
    <row r="34" spans="2:3" ht="16">
      <c r="B34" s="1472" t="s">
        <v>876</v>
      </c>
      <c r="C34" s="1455"/>
    </row>
    <row r="35" spans="2:3">
      <c r="B35" s="1469"/>
      <c r="C35" s="1455"/>
    </row>
    <row r="36" spans="2:3">
      <c r="B36" s="1473" t="s">
        <v>879</v>
      </c>
      <c r="C36" s="1455"/>
    </row>
    <row r="37" spans="2:3">
      <c r="B37" s="1469" t="s">
        <v>878</v>
      </c>
      <c r="C37" s="1455"/>
    </row>
    <row r="38" spans="2:3">
      <c r="B38" s="1469"/>
      <c r="C38" s="1455"/>
    </row>
    <row r="39" spans="2:3" ht="16">
      <c r="B39" s="1483" t="s">
        <v>880</v>
      </c>
      <c r="C39" s="1455"/>
    </row>
    <row r="40" spans="2:3">
      <c r="B40" s="1475"/>
      <c r="C40" s="1455"/>
    </row>
    <row r="41" spans="2:3">
      <c r="B41" s="1474" t="s">
        <v>881</v>
      </c>
      <c r="C41" s="1455"/>
    </row>
    <row r="42" spans="2:3">
      <c r="B42" s="1469" t="s">
        <v>506</v>
      </c>
      <c r="C42" s="1455"/>
    </row>
    <row r="43" spans="2:3">
      <c r="B43" s="222"/>
      <c r="C43" s="1239"/>
    </row>
    <row r="44" spans="2:3" ht="16">
      <c r="B44" s="1471" t="s">
        <v>859</v>
      </c>
      <c r="C44" s="1239"/>
    </row>
    <row r="45" spans="2:3">
      <c r="B45" s="222"/>
      <c r="C45" s="1239"/>
    </row>
    <row r="46" spans="2:3">
      <c r="B46" s="1454" t="s">
        <v>883</v>
      </c>
      <c r="C46" s="1239"/>
    </row>
    <row r="47" spans="2:3">
      <c r="B47" s="1461" t="s">
        <v>882</v>
      </c>
      <c r="C47" s="1239"/>
    </row>
    <row r="48" spans="2:3">
      <c r="B48" s="1454" t="s">
        <v>886</v>
      </c>
      <c r="C48" s="1455"/>
    </row>
    <row r="49" spans="2:3">
      <c r="B49" s="1456" t="s">
        <v>372</v>
      </c>
      <c r="C49" s="1455"/>
    </row>
    <row r="50" spans="2:3">
      <c r="B50" s="1481" t="s">
        <v>633</v>
      </c>
      <c r="C50" s="1455"/>
    </row>
    <row r="51" spans="2:3">
      <c r="B51" s="1458" t="s">
        <v>884</v>
      </c>
      <c r="C51" s="1455"/>
    </row>
    <row r="52" spans="2:3">
      <c r="B52" s="1476" t="s">
        <v>444</v>
      </c>
      <c r="C52" s="1455"/>
    </row>
    <row r="53" spans="2:3">
      <c r="B53" s="1458" t="s">
        <v>262</v>
      </c>
      <c r="C53" s="1455"/>
    </row>
    <row r="54" spans="2:3">
      <c r="B54" s="1476" t="s">
        <v>440</v>
      </c>
      <c r="C54" s="1455"/>
    </row>
    <row r="55" spans="2:3">
      <c r="B55" s="1458" t="s">
        <v>261</v>
      </c>
      <c r="C55" s="1455"/>
    </row>
    <row r="56" spans="2:3">
      <c r="B56" s="1481" t="s">
        <v>436</v>
      </c>
      <c r="C56" s="1455"/>
    </row>
    <row r="57" spans="2:3">
      <c r="B57" s="1458" t="s">
        <v>436</v>
      </c>
      <c r="C57" s="1455"/>
    </row>
    <row r="58" spans="2:3">
      <c r="B58" s="1476" t="s">
        <v>887</v>
      </c>
      <c r="C58" s="1455"/>
    </row>
    <row r="59" spans="2:3">
      <c r="B59" s="1458" t="s">
        <v>885</v>
      </c>
      <c r="C59" s="1455"/>
    </row>
    <row r="60" spans="2:3">
      <c r="B60" s="1460" t="s">
        <v>888</v>
      </c>
      <c r="C60" s="1455"/>
    </row>
    <row r="61" spans="2:3">
      <c r="B61" s="1469" t="s">
        <v>889</v>
      </c>
      <c r="C61" s="1455"/>
    </row>
    <row r="62" spans="2:3">
      <c r="B62" s="1454" t="s">
        <v>890</v>
      </c>
      <c r="C62" s="1455"/>
    </row>
    <row r="63" spans="2:3">
      <c r="B63" s="1458" t="s">
        <v>891</v>
      </c>
      <c r="C63" s="1455"/>
    </row>
    <row r="64" spans="2:3">
      <c r="B64" s="1476" t="s">
        <v>892</v>
      </c>
      <c r="C64" s="1455"/>
    </row>
    <row r="65" spans="2:3">
      <c r="B65" s="1458" t="s">
        <v>892</v>
      </c>
      <c r="C65" s="1455"/>
    </row>
    <row r="66" spans="2:3">
      <c r="B66" s="1458"/>
      <c r="C66" s="1455"/>
    </row>
    <row r="67" spans="2:3" ht="16">
      <c r="B67" s="1477" t="s">
        <v>893</v>
      </c>
      <c r="C67" s="1455"/>
    </row>
    <row r="68" spans="2:3">
      <c r="B68" s="1476" t="s">
        <v>894</v>
      </c>
      <c r="C68" s="1455"/>
    </row>
    <row r="69" spans="2:3">
      <c r="B69" s="1458" t="s">
        <v>895</v>
      </c>
      <c r="C69" s="1455"/>
    </row>
    <row r="70" spans="2:3" ht="16" thickBot="1">
      <c r="B70" s="1248"/>
      <c r="C70" s="1244"/>
    </row>
  </sheetData>
  <mergeCells count="1">
    <mergeCell ref="B2:C2"/>
  </mergeCells>
  <hyperlinks>
    <hyperlink ref="B32" location="FeedNutrientComposition!A1" display="'FeedNutrientComposition'" xr:uid="{00000000-0004-0000-0000-000000000000}"/>
    <hyperlink ref="B47" location="'crop yields'!A1" display="crop yields" xr:uid="{00000000-0004-0000-0000-000001000000}"/>
    <hyperlink ref="B59" location="'soy '!A1" display="soy" xr:uid="{00000000-0004-0000-0000-000002000000}"/>
    <hyperlink ref="B61" location="'soy table2'!A1" display="soy table2'!" xr:uid="{00000000-0004-0000-0000-000003000000}"/>
    <hyperlink ref="B63" location="ProcessedRoughage!A1" display="ProcessedRoughage!" xr:uid="{00000000-0004-0000-0000-000004000000}"/>
    <hyperlink ref="B53" location="oats!A1" display="oats" xr:uid="{00000000-0004-0000-0000-000005000000}"/>
    <hyperlink ref="B49" location="'wheat '!A1" display="wheat" xr:uid="{00000000-0004-0000-0000-000006000000}"/>
    <hyperlink ref="B10" location="ResourceFeedMain!A1" display="ResourceFeedMain'!A1" xr:uid="{00000000-0004-0000-0000-000007000000}"/>
    <hyperlink ref="B12" location="PartitioningResources!A1" display="'PartioningResources'!" xr:uid="{00000000-0004-0000-0000-000008000000}"/>
    <hyperlink ref="B14" location="PartitioningPerCal!A1" display="PartioningPerCal'" xr:uid="{00000000-0004-0000-0000-000009000000}"/>
    <hyperlink ref="B16" location="PartitioningPerProtein!A1" display="PartitioningPerProtein" xr:uid="{00000000-0004-0000-0000-00000A000000}"/>
    <hyperlink ref="B21" location="'GHG Animals'!A1" display="GHG Animals" xr:uid="{00000000-0004-0000-0000-00000B000000}"/>
    <hyperlink ref="B27" location="'USA Cal-Protein Intake'!A1" display="USA Calories/Protein Intake" xr:uid="{00000000-0004-0000-0000-00000C000000}"/>
    <hyperlink ref="B37" location="ConcentratsNr!A1" display="ConcentratsNr" xr:uid="{00000000-0004-0000-0000-00000D000000}"/>
    <hyperlink ref="B42" location="water!A1" display="water" xr:uid="{00000000-0004-0000-0000-00000E000000}"/>
    <hyperlink ref="B51" location="corn!A1" display="corn" xr:uid="{00000000-0004-0000-0000-00000F000000}"/>
    <hyperlink ref="B55" location="barley!A1" display="barley" xr:uid="{00000000-0004-0000-0000-000010000000}"/>
    <hyperlink ref="B57" location="sorghum!A1" display="Sorghum" xr:uid="{00000000-0004-0000-0000-000011000000}"/>
    <hyperlink ref="B65" location="Pasture!A1" display="Pasture" xr:uid="{00000000-0004-0000-0000-000012000000}"/>
    <hyperlink ref="B69" location="comments!A1" display="comments" xr:uid="{00000000-0004-0000-0000-000013000000}"/>
    <hyperlink ref="B5" location="'Animal Partitioning'!A1" display="Animal Partitioning'!" xr:uid="{00000000-0004-0000-0000-000014000000}"/>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90099"/>
  </sheetPr>
  <dimension ref="A2:Z35"/>
  <sheetViews>
    <sheetView topLeftCell="A3" workbookViewId="0">
      <pane xSplit="2" ySplit="4" topLeftCell="C7" activePane="bottomRight" state="frozen"/>
      <selection activeCell="A3" sqref="A3"/>
      <selection pane="topRight" activeCell="C3" sqref="C3"/>
      <selection pane="bottomLeft" activeCell="A8" sqref="A8"/>
      <selection pane="bottomRight" activeCell="G22" sqref="G22:J22"/>
    </sheetView>
  </sheetViews>
  <sheetFormatPr baseColWidth="10" defaultColWidth="8.83203125" defaultRowHeight="15"/>
  <cols>
    <col min="1" max="1" width="5.6640625" style="124" customWidth="1"/>
    <col min="2" max="2" width="12.1640625" customWidth="1"/>
    <col min="3" max="3" width="7.83203125" customWidth="1"/>
    <col min="4" max="4" width="7.1640625" style="96" customWidth="1"/>
    <col min="5" max="5" width="7.1640625" style="938" customWidth="1"/>
    <col min="6" max="6" width="9.1640625" style="96" customWidth="1"/>
    <col min="7" max="7" width="7.6640625" style="96" customWidth="1"/>
    <col min="8" max="8" width="7.1640625" style="96" customWidth="1"/>
    <col min="9" max="9" width="7.1640625" style="938" customWidth="1"/>
    <col min="10" max="11" width="8.1640625" style="96" customWidth="1"/>
    <col min="12" max="12" width="7.83203125" style="96" customWidth="1"/>
    <col min="13" max="13" width="6.1640625" style="938" customWidth="1"/>
    <col min="14" max="14" width="8.6640625" style="96" customWidth="1"/>
    <col min="15" max="15" width="7.83203125" style="96" customWidth="1"/>
    <col min="16" max="16" width="7.1640625" style="96" customWidth="1"/>
    <col min="17" max="17" width="7.1640625" style="938" customWidth="1"/>
    <col min="18" max="18" width="9.1640625" style="96" customWidth="1"/>
    <col min="19" max="19" width="8.1640625" customWidth="1"/>
    <col min="20" max="20" width="9.1640625" style="96" customWidth="1"/>
    <col min="21" max="21" width="9.1640625" style="938" customWidth="1"/>
    <col min="22" max="22" width="9.1640625" style="96" customWidth="1"/>
    <col min="23" max="23" width="8.1640625" customWidth="1"/>
    <col min="24" max="24" width="6.6640625" style="96" customWidth="1"/>
    <col min="25" max="25" width="6.6640625" style="938" customWidth="1"/>
    <col min="26" max="26" width="8.1640625" style="96" customWidth="1"/>
  </cols>
  <sheetData>
    <row r="2" spans="2:26">
      <c r="B2" s="101"/>
      <c r="C2" s="98"/>
      <c r="D2" s="98"/>
      <c r="E2" s="127"/>
      <c r="F2" s="98"/>
      <c r="G2" s="98"/>
      <c r="H2" s="98"/>
      <c r="I2" s="127"/>
      <c r="J2" s="98"/>
      <c r="K2" s="98"/>
      <c r="L2" s="98"/>
      <c r="M2" s="127"/>
      <c r="N2" s="98"/>
      <c r="O2" s="98"/>
      <c r="P2" s="98"/>
      <c r="Q2" s="127"/>
      <c r="R2" s="98"/>
      <c r="S2" s="98"/>
      <c r="T2" s="98"/>
      <c r="U2" s="127"/>
      <c r="V2" s="98"/>
      <c r="W2" s="98"/>
      <c r="X2" s="98"/>
      <c r="Y2" s="127"/>
      <c r="Z2" s="98"/>
    </row>
    <row r="3" spans="2:26" s="124" customFormat="1">
      <c r="B3" s="128"/>
      <c r="C3" s="127"/>
      <c r="D3" s="127"/>
      <c r="E3" s="127"/>
      <c r="F3" s="127"/>
      <c r="G3" s="127"/>
      <c r="H3" s="127"/>
      <c r="I3" s="127"/>
      <c r="J3" s="127"/>
      <c r="K3" s="127"/>
      <c r="L3" s="127"/>
      <c r="M3" s="127"/>
      <c r="N3" s="127"/>
      <c r="O3" s="127"/>
      <c r="P3" s="127"/>
      <c r="Q3" s="127"/>
      <c r="R3" s="127"/>
      <c r="S3" s="127"/>
      <c r="T3" s="127"/>
      <c r="U3" s="127"/>
      <c r="V3" s="127"/>
      <c r="W3" s="127"/>
      <c r="X3" s="127"/>
      <c r="Y3" s="127"/>
      <c r="Z3" s="127"/>
    </row>
    <row r="4" spans="2:26" s="122" customFormat="1">
      <c r="C4" s="1974" t="s">
        <v>474</v>
      </c>
      <c r="D4" s="1975"/>
      <c r="E4" s="1975"/>
      <c r="F4" s="1976"/>
      <c r="G4" s="1977" t="s">
        <v>581</v>
      </c>
      <c r="H4" s="1978"/>
      <c r="I4" s="1978"/>
      <c r="J4" s="1979"/>
      <c r="K4" s="1974" t="s">
        <v>582</v>
      </c>
      <c r="L4" s="1975"/>
      <c r="M4" s="1975"/>
      <c r="N4" s="1975"/>
      <c r="O4" s="1975" t="s">
        <v>583</v>
      </c>
      <c r="P4" s="1975"/>
      <c r="Q4" s="1975"/>
      <c r="R4" s="1976"/>
      <c r="S4" s="1974" t="s">
        <v>577</v>
      </c>
      <c r="T4" s="1975"/>
      <c r="U4" s="1975"/>
      <c r="V4" s="1976"/>
      <c r="W4" s="1974" t="s">
        <v>578</v>
      </c>
      <c r="X4" s="1975"/>
      <c r="Y4" s="1975"/>
      <c r="Z4" s="1976"/>
    </row>
    <row r="5" spans="2:26" ht="27.5" customHeight="1">
      <c r="B5" s="133" t="s">
        <v>469</v>
      </c>
      <c r="C5" s="121" t="s">
        <v>384</v>
      </c>
      <c r="D5" s="6" t="s">
        <v>606</v>
      </c>
      <c r="E5" s="1189" t="s">
        <v>760</v>
      </c>
      <c r="F5" s="110" t="s">
        <v>473</v>
      </c>
      <c r="G5" s="123" t="s">
        <v>384</v>
      </c>
      <c r="H5" s="114" t="s">
        <v>606</v>
      </c>
      <c r="I5" s="1189" t="s">
        <v>760</v>
      </c>
      <c r="J5" s="115" t="s">
        <v>473</v>
      </c>
      <c r="K5" s="121" t="s">
        <v>384</v>
      </c>
      <c r="L5" s="114" t="s">
        <v>606</v>
      </c>
      <c r="M5" s="1189" t="s">
        <v>760</v>
      </c>
      <c r="N5" s="115" t="s">
        <v>473</v>
      </c>
      <c r="O5" s="121" t="s">
        <v>384</v>
      </c>
      <c r="P5" s="114" t="s">
        <v>606</v>
      </c>
      <c r="Q5" s="1189" t="s">
        <v>760</v>
      </c>
      <c r="R5" s="115" t="s">
        <v>473</v>
      </c>
      <c r="S5" s="121" t="s">
        <v>384</v>
      </c>
      <c r="T5" s="6" t="s">
        <v>606</v>
      </c>
      <c r="U5" s="1189" t="s">
        <v>760</v>
      </c>
      <c r="V5" s="110" t="s">
        <v>473</v>
      </c>
      <c r="W5" s="123" t="s">
        <v>384</v>
      </c>
      <c r="X5" s="114" t="s">
        <v>606</v>
      </c>
      <c r="Y5" s="1189" t="s">
        <v>760</v>
      </c>
      <c r="Z5" s="115" t="s">
        <v>473</v>
      </c>
    </row>
    <row r="6" spans="2:26">
      <c r="B6" s="134"/>
      <c r="C6" s="109" t="s">
        <v>385</v>
      </c>
      <c r="D6" s="112" t="s">
        <v>258</v>
      </c>
      <c r="E6" s="112" t="s">
        <v>761</v>
      </c>
      <c r="F6" s="111" t="s">
        <v>495</v>
      </c>
      <c r="G6" s="119" t="s">
        <v>385</v>
      </c>
      <c r="H6" s="112" t="s">
        <v>258</v>
      </c>
      <c r="I6" s="112" t="s">
        <v>761</v>
      </c>
      <c r="J6" s="120" t="s">
        <v>259</v>
      </c>
      <c r="K6" s="109" t="s">
        <v>385</v>
      </c>
      <c r="L6" s="112" t="s">
        <v>258</v>
      </c>
      <c r="M6" s="112" t="s">
        <v>761</v>
      </c>
      <c r="N6" s="120" t="s">
        <v>259</v>
      </c>
      <c r="O6" s="109" t="s">
        <v>385</v>
      </c>
      <c r="P6" s="112" t="s">
        <v>258</v>
      </c>
      <c r="Q6" s="112" t="s">
        <v>761</v>
      </c>
      <c r="R6" s="120" t="s">
        <v>259</v>
      </c>
      <c r="S6" s="109" t="s">
        <v>385</v>
      </c>
      <c r="T6" s="112" t="s">
        <v>258</v>
      </c>
      <c r="U6" s="112" t="s">
        <v>761</v>
      </c>
      <c r="V6" s="111" t="s">
        <v>259</v>
      </c>
      <c r="W6" s="116" t="s">
        <v>385</v>
      </c>
      <c r="X6" s="117" t="s">
        <v>258</v>
      </c>
      <c r="Y6" s="112" t="s">
        <v>761</v>
      </c>
      <c r="Z6" s="118" t="s">
        <v>259</v>
      </c>
    </row>
    <row r="7" spans="2:26">
      <c r="B7" s="135">
        <v>2000</v>
      </c>
      <c r="C7" s="138">
        <v>4908.5024800000001</v>
      </c>
      <c r="D7" s="741"/>
      <c r="E7" s="741"/>
      <c r="F7" s="719">
        <v>98</v>
      </c>
      <c r="G7" s="138"/>
      <c r="H7" s="740"/>
      <c r="I7" s="740"/>
      <c r="J7" s="139"/>
      <c r="K7" s="138"/>
      <c r="L7" s="145">
        <f>'crop yields'!C37</f>
        <v>5.8010000000000002</v>
      </c>
      <c r="M7" s="1273"/>
      <c r="N7" s="139"/>
      <c r="O7" s="138"/>
      <c r="P7" s="1273">
        <v>4.4729999999999999</v>
      </c>
      <c r="Q7" s="742"/>
      <c r="R7" s="139"/>
      <c r="S7" s="138">
        <v>160.41455999999999</v>
      </c>
      <c r="T7" s="139">
        <f>'soy table2'!B8/1000</f>
        <v>74.266000000000005</v>
      </c>
      <c r="U7" s="1272">
        <f t="shared" ref="U7:U17" si="0">2*S7/T7</f>
        <v>4.3199999999999994</v>
      </c>
      <c r="V7" s="139">
        <v>18</v>
      </c>
      <c r="W7" s="138">
        <v>1890.5133799987204</v>
      </c>
      <c r="X7" s="139">
        <f>wheat!C6</f>
        <v>62.55</v>
      </c>
      <c r="Y7" s="1272">
        <f t="shared" ref="Y7:Y17" si="1">2*W7/X7</f>
        <v>60.448069704195703</v>
      </c>
      <c r="Z7" s="140">
        <v>89</v>
      </c>
    </row>
    <row r="8" spans="2:26">
      <c r="B8" s="135">
        <v>2001</v>
      </c>
      <c r="C8" s="141">
        <v>4249.3021479999998</v>
      </c>
      <c r="D8" s="1272">
        <f>'crop yields'!H8</f>
        <v>69.495062555066085</v>
      </c>
      <c r="E8" s="1272">
        <f>2*C8/D8</f>
        <v>122.29076402752966</v>
      </c>
      <c r="F8" s="720">
        <v>96</v>
      </c>
      <c r="G8" s="141"/>
      <c r="H8" s="145">
        <f>'crop yields'!C23</f>
        <v>10.247999999999999</v>
      </c>
      <c r="I8" s="741"/>
      <c r="J8" s="142"/>
      <c r="K8" s="141"/>
      <c r="L8" s="145">
        <f>'crop yields'!C38</f>
        <v>4.9509999999999996</v>
      </c>
      <c r="M8" s="1273"/>
      <c r="N8" s="142"/>
      <c r="O8" s="141"/>
      <c r="P8" s="1273">
        <v>4.4009999999999998</v>
      </c>
      <c r="Q8" s="742"/>
      <c r="R8" s="142"/>
      <c r="S8" s="141">
        <v>148</v>
      </c>
      <c r="T8" s="142">
        <f>'soy table2'!B9/1000</f>
        <v>74.075000000000003</v>
      </c>
      <c r="U8" s="1272">
        <f t="shared" si="0"/>
        <v>3.995950050624367</v>
      </c>
      <c r="V8" s="142">
        <v>11</v>
      </c>
      <c r="W8" s="141">
        <v>1763.7024825000003</v>
      </c>
      <c r="X8" s="142">
        <f>wheat!C7</f>
        <v>59.43</v>
      </c>
      <c r="Y8" s="1272">
        <f t="shared" si="1"/>
        <v>59.35394522968199</v>
      </c>
      <c r="Z8" s="143">
        <v>88</v>
      </c>
    </row>
    <row r="9" spans="2:26">
      <c r="B9" s="135">
        <v>2002</v>
      </c>
      <c r="C9" s="144">
        <v>4719.7267199999997</v>
      </c>
      <c r="D9" s="1272">
        <f>'crop yields'!H9</f>
        <v>71.544511850572903</v>
      </c>
      <c r="E9" s="1272">
        <f t="shared" ref="E9:E17" si="2">2*C9/D9</f>
        <v>131.93819058707314</v>
      </c>
      <c r="F9" s="720">
        <v>96</v>
      </c>
      <c r="G9" s="144"/>
      <c r="H9" s="145">
        <f>'crop yields'!C24</f>
        <v>9.5890000000000004</v>
      </c>
      <c r="I9" s="741"/>
      <c r="J9" s="145"/>
      <c r="K9" s="144"/>
      <c r="L9" s="145">
        <f>'crop yields'!C39</f>
        <v>5.008</v>
      </c>
      <c r="M9" s="1273"/>
      <c r="N9" s="145"/>
      <c r="O9" s="144"/>
      <c r="P9" s="1273">
        <v>4.9950000000000001</v>
      </c>
      <c r="Q9" s="742"/>
      <c r="R9" s="145"/>
      <c r="S9" s="144">
        <v>155</v>
      </c>
      <c r="T9" s="145">
        <f>'soy table2'!B10/1000</f>
        <v>73.962999999999994</v>
      </c>
      <c r="U9" s="1272">
        <f t="shared" si="0"/>
        <v>4.1912848316049924</v>
      </c>
      <c r="V9" s="145">
        <v>20</v>
      </c>
      <c r="W9" s="144">
        <v>1751.2640700000004</v>
      </c>
      <c r="X9" s="145">
        <f>wheat!C8</f>
        <v>60.32</v>
      </c>
      <c r="Y9" s="1272">
        <f t="shared" si="1"/>
        <v>58.065784814323621</v>
      </c>
      <c r="Z9" s="146">
        <v>86</v>
      </c>
    </row>
    <row r="10" spans="2:26">
      <c r="B10" s="135">
        <v>2003</v>
      </c>
      <c r="C10" s="144">
        <v>4710.1478399999996</v>
      </c>
      <c r="D10" s="1272">
        <f>'crop yields'!H10</f>
        <v>71.928634308047506</v>
      </c>
      <c r="E10" s="1272">
        <f t="shared" si="2"/>
        <v>130.96725345369222</v>
      </c>
      <c r="F10" s="720">
        <v>96</v>
      </c>
      <c r="G10" s="144">
        <f>562600/2000</f>
        <v>281.3</v>
      </c>
      <c r="H10" s="145">
        <f>'crop yields'!C25</f>
        <v>9.42</v>
      </c>
      <c r="I10" s="1272">
        <f t="shared" ref="I10:I18" si="3">2*G10/H10</f>
        <v>59.723991507431002</v>
      </c>
      <c r="J10" s="145">
        <v>82</v>
      </c>
      <c r="K10" s="144">
        <v>135</v>
      </c>
      <c r="L10" s="145">
        <f>'crop yields'!C40</f>
        <v>5.3479999999999999</v>
      </c>
      <c r="M10" s="1272">
        <f t="shared" ref="M10" si="4">2*K10/L10</f>
        <v>50.486163051608081</v>
      </c>
      <c r="N10" s="145">
        <v>93</v>
      </c>
      <c r="O10" s="144"/>
      <c r="P10" s="1273">
        <v>4.5970000000000004</v>
      </c>
      <c r="Q10" s="742"/>
      <c r="R10" s="145"/>
      <c r="S10" s="144">
        <v>154</v>
      </c>
      <c r="T10" s="145">
        <f>'soy table2'!B11/1000</f>
        <v>73.403999999999996</v>
      </c>
      <c r="U10" s="1272">
        <f t="shared" si="0"/>
        <v>4.1959566236172421</v>
      </c>
      <c r="V10" s="145"/>
      <c r="W10" s="144">
        <v>1804.1927877892174</v>
      </c>
      <c r="X10" s="145">
        <f>wheat!C9</f>
        <v>62.14</v>
      </c>
      <c r="Y10" s="1272">
        <f t="shared" si="1"/>
        <v>58.068644602163417</v>
      </c>
      <c r="Z10" s="146">
        <v>86</v>
      </c>
    </row>
    <row r="11" spans="2:26">
      <c r="B11" s="135">
        <v>2004</v>
      </c>
      <c r="C11" s="144">
        <v>4792.0524429555544</v>
      </c>
      <c r="D11" s="1272">
        <f>'crop yields'!H11</f>
        <v>74.736406950785124</v>
      </c>
      <c r="E11" s="1272">
        <f t="shared" si="2"/>
        <v>128.23876979023575</v>
      </c>
      <c r="F11" s="720">
        <v>96</v>
      </c>
      <c r="G11" s="144"/>
      <c r="H11" s="145">
        <f>'crop yields'!C26</f>
        <v>7.4859999999999998</v>
      </c>
      <c r="I11" s="741"/>
      <c r="J11" s="145"/>
      <c r="K11" s="144"/>
      <c r="L11" s="145">
        <f>'crop yields'!C41</f>
        <v>4.5270000000000001</v>
      </c>
      <c r="M11" s="1273"/>
      <c r="N11" s="145"/>
      <c r="O11" s="144">
        <v>54</v>
      </c>
      <c r="P11" s="1273">
        <v>4.085</v>
      </c>
      <c r="Q11" s="1272">
        <f t="shared" ref="Q11" si="5">2*O11/P11</f>
        <v>26.438188494492046</v>
      </c>
      <c r="R11" s="145"/>
      <c r="S11" s="144">
        <v>156</v>
      </c>
      <c r="T11" s="145">
        <f>'soy table2'!B12/1000</f>
        <v>75.207999999999998</v>
      </c>
      <c r="U11" s="1272">
        <f t="shared" si="0"/>
        <v>4.1484948409743643</v>
      </c>
      <c r="V11" s="145">
        <v>21</v>
      </c>
      <c r="W11" s="144">
        <v>1957</v>
      </c>
      <c r="X11" s="145">
        <f>wheat!C10</f>
        <v>59.64</v>
      </c>
      <c r="Y11" s="1272">
        <f t="shared" si="1"/>
        <v>65.627095908786046</v>
      </c>
      <c r="Z11" s="146">
        <v>87</v>
      </c>
    </row>
    <row r="12" spans="2:26">
      <c r="B12" s="135">
        <v>2005</v>
      </c>
      <c r="C12" s="144">
        <v>5023</v>
      </c>
      <c r="D12" s="1272">
        <f>'crop yields'!H12</f>
        <v>75.796589759407766</v>
      </c>
      <c r="E12" s="1272">
        <f t="shared" si="2"/>
        <v>132.5389444549925</v>
      </c>
      <c r="F12" s="720"/>
      <c r="G12" s="144"/>
      <c r="H12" s="145">
        <f>'crop yields'!C27</f>
        <v>6.45</v>
      </c>
      <c r="I12" s="741"/>
      <c r="J12" s="145"/>
      <c r="K12" s="144"/>
      <c r="L12" s="145">
        <f>'crop yields'!C42</f>
        <v>3.88</v>
      </c>
      <c r="M12" s="145"/>
      <c r="N12" s="145"/>
      <c r="O12" s="144"/>
      <c r="P12" s="145">
        <f>'crop yields'!C57</f>
        <v>4.25</v>
      </c>
      <c r="Q12" s="145"/>
      <c r="R12" s="145">
        <v>56</v>
      </c>
      <c r="S12" s="144">
        <v>151</v>
      </c>
      <c r="T12" s="145">
        <f>'soy table2'!B13/1000</f>
        <v>72.031999999999996</v>
      </c>
      <c r="U12" s="1272">
        <f t="shared" si="0"/>
        <v>4.1925810750777437</v>
      </c>
      <c r="V12" s="145"/>
      <c r="W12" s="144">
        <v>1625</v>
      </c>
      <c r="X12" s="145">
        <f>wheat!C11</f>
        <v>57.21</v>
      </c>
      <c r="Y12" s="1272">
        <f t="shared" si="1"/>
        <v>56.808250305890574</v>
      </c>
      <c r="Z12" s="147"/>
    </row>
    <row r="13" spans="2:26">
      <c r="B13" s="136">
        <v>2006</v>
      </c>
      <c r="C13" s="144">
        <v>4690</v>
      </c>
      <c r="D13" s="1272">
        <f>'crop yields'!H13</f>
        <v>71.741818040374966</v>
      </c>
      <c r="E13" s="1272">
        <f t="shared" si="2"/>
        <v>130.74661691345918</v>
      </c>
      <c r="F13" s="720"/>
      <c r="G13" s="144"/>
      <c r="H13" s="145">
        <f>'crop yields'!C28</f>
        <v>6.52</v>
      </c>
      <c r="I13" s="741"/>
      <c r="J13" s="145"/>
      <c r="K13" s="144"/>
      <c r="L13" s="145">
        <f>'crop yields'!C43</f>
        <v>3.45</v>
      </c>
      <c r="M13" s="145"/>
      <c r="N13" s="145"/>
      <c r="O13" s="144"/>
      <c r="P13" s="145">
        <f>'crop yields'!C58</f>
        <v>4.17</v>
      </c>
      <c r="Q13" s="145"/>
      <c r="R13" s="145"/>
      <c r="S13" s="144">
        <v>109</v>
      </c>
      <c r="T13" s="145">
        <f>'soy table2'!B14/1000</f>
        <v>75.522000000000006</v>
      </c>
      <c r="U13" s="1272">
        <f t="shared" si="0"/>
        <v>2.8865760970313286</v>
      </c>
      <c r="V13" s="145">
        <v>18</v>
      </c>
      <c r="W13" s="144">
        <v>1430</v>
      </c>
      <c r="X13" s="145">
        <f>wheat!C12</f>
        <v>57.33</v>
      </c>
      <c r="Y13" s="1272">
        <f t="shared" si="1"/>
        <v>49.886621315192748</v>
      </c>
      <c r="Z13" s="146">
        <v>85</v>
      </c>
    </row>
    <row r="14" spans="2:26">
      <c r="B14" s="136">
        <v>2007</v>
      </c>
      <c r="C14" s="144">
        <v>5714</v>
      </c>
      <c r="D14" s="1272">
        <f>'crop yields'!H14</f>
        <v>87.407815942968242</v>
      </c>
      <c r="E14" s="1272">
        <f t="shared" si="2"/>
        <v>130.74345671165756</v>
      </c>
      <c r="F14" s="720"/>
      <c r="G14" s="144"/>
      <c r="H14" s="145">
        <f>'crop yields'!C29</f>
        <v>7.71</v>
      </c>
      <c r="I14" s="741"/>
      <c r="J14" s="145"/>
      <c r="K14" s="144"/>
      <c r="L14" s="145">
        <f>'crop yields'!C44</f>
        <v>4.0199999999999996</v>
      </c>
      <c r="M14" s="145"/>
      <c r="N14" s="145"/>
      <c r="O14" s="144"/>
      <c r="P14" s="145">
        <f>'crop yields'!C59</f>
        <v>3.76</v>
      </c>
      <c r="Q14" s="145"/>
      <c r="R14" s="145"/>
      <c r="S14" s="144">
        <v>121</v>
      </c>
      <c r="T14" s="145">
        <f>'soy table2'!B15/1000</f>
        <v>64.741</v>
      </c>
      <c r="U14" s="1272">
        <f t="shared" si="0"/>
        <v>3.7379713010302589</v>
      </c>
      <c r="V14" s="145"/>
      <c r="W14" s="144">
        <v>1689</v>
      </c>
      <c r="X14" s="145">
        <f>wheat!C13</f>
        <v>60.46</v>
      </c>
      <c r="Y14" s="1272">
        <f t="shared" si="1"/>
        <v>55.871650678134301</v>
      </c>
      <c r="Z14" s="146"/>
    </row>
    <row r="15" spans="2:26">
      <c r="B15" s="136">
        <v>2008</v>
      </c>
      <c r="C15" s="148">
        <v>5224</v>
      </c>
      <c r="D15" s="1272">
        <f>'crop yields'!H15</f>
        <v>79.913037203525164</v>
      </c>
      <c r="E15" s="1272">
        <f t="shared" si="2"/>
        <v>130.74212125601844</v>
      </c>
      <c r="F15" s="721"/>
      <c r="G15" s="144"/>
      <c r="H15" s="145">
        <f>'crop yields'!C30</f>
        <v>8.2799999999999994</v>
      </c>
      <c r="I15" s="741"/>
      <c r="J15" s="149"/>
      <c r="K15" s="148"/>
      <c r="L15" s="145">
        <f>'crop yields'!C45</f>
        <v>4.25</v>
      </c>
      <c r="M15" s="145"/>
      <c r="N15" s="149"/>
      <c r="O15" s="148"/>
      <c r="P15" s="145">
        <f>'crop yields'!C60</f>
        <v>3.25</v>
      </c>
      <c r="Q15" s="145"/>
      <c r="R15" s="149"/>
      <c r="S15" s="148">
        <v>120</v>
      </c>
      <c r="T15" s="145">
        <f>'soy table2'!B16/1000</f>
        <v>75.718000000000004</v>
      </c>
      <c r="U15" s="1272">
        <f t="shared" si="0"/>
        <v>3.1696558282046539</v>
      </c>
      <c r="V15" s="149"/>
      <c r="W15" s="148">
        <v>1647</v>
      </c>
      <c r="X15" s="145">
        <f>wheat!C14</f>
        <v>63.19</v>
      </c>
      <c r="Y15" s="1272">
        <f t="shared" si="1"/>
        <v>52.128501345149552</v>
      </c>
      <c r="Z15" s="150"/>
    </row>
    <row r="16" spans="2:26">
      <c r="B16" s="136">
        <v>2009</v>
      </c>
      <c r="C16" s="148">
        <v>4875.1361567999993</v>
      </c>
      <c r="D16" s="1272">
        <f>'crop yields'!H16</f>
        <v>80.69036018567482</v>
      </c>
      <c r="E16" s="1272">
        <f t="shared" si="2"/>
        <v>120.83565237735785</v>
      </c>
      <c r="F16" s="721"/>
      <c r="G16" s="144"/>
      <c r="H16" s="145">
        <f>'crop yields'!C31</f>
        <v>6.63</v>
      </c>
      <c r="I16" s="741"/>
      <c r="J16" s="149"/>
      <c r="K16" s="148"/>
      <c r="L16" s="145">
        <f>'crop yields'!C46</f>
        <v>3.57</v>
      </c>
      <c r="M16" s="145"/>
      <c r="N16" s="149"/>
      <c r="O16" s="148"/>
      <c r="P16" s="145">
        <f>'crop yields'!C61</f>
        <v>3.4</v>
      </c>
      <c r="Q16" s="145"/>
      <c r="R16" s="149"/>
      <c r="S16" s="148">
        <v>101.49179040000001</v>
      </c>
      <c r="T16" s="145">
        <f>'soy table2'!B17/1000</f>
        <v>77.450999999999993</v>
      </c>
      <c r="U16" s="1272">
        <f t="shared" si="0"/>
        <v>2.6208000000000005</v>
      </c>
      <c r="V16" s="149"/>
      <c r="W16" s="148">
        <v>1393.8106</v>
      </c>
      <c r="X16" s="145">
        <f>wheat!C15</f>
        <v>59.17</v>
      </c>
      <c r="Y16" s="1272">
        <f t="shared" si="1"/>
        <v>47.112070305898257</v>
      </c>
      <c r="Z16" s="150">
        <v>86</v>
      </c>
    </row>
    <row r="17" spans="1:26">
      <c r="B17" s="136">
        <v>2010</v>
      </c>
      <c r="C17" s="151">
        <v>5610.2375000000002</v>
      </c>
      <c r="D17" s="1272">
        <f>'crop yields'!H17</f>
        <v>82.547956146500113</v>
      </c>
      <c r="E17" s="1272">
        <f t="shared" si="2"/>
        <v>135.92674517690924</v>
      </c>
      <c r="F17" s="722">
        <v>97</v>
      </c>
      <c r="G17" s="144"/>
      <c r="H17" s="145">
        <f>'crop yields'!C32</f>
        <v>5.4</v>
      </c>
      <c r="I17" s="741"/>
      <c r="J17" s="152"/>
      <c r="K17" s="151"/>
      <c r="L17" s="145">
        <f>'crop yields'!C47</f>
        <v>2.87</v>
      </c>
      <c r="M17" s="145"/>
      <c r="N17" s="152"/>
      <c r="O17" s="151"/>
      <c r="P17" s="145">
        <f>'crop yields'!C62</f>
        <v>3.14</v>
      </c>
      <c r="Q17" s="145"/>
      <c r="R17" s="152"/>
      <c r="S17" s="151">
        <v>111.46176</v>
      </c>
      <c r="T17" s="145">
        <f>'soy table2'!B18/1000</f>
        <v>77.403999999999996</v>
      </c>
      <c r="U17" s="1272">
        <f t="shared" si="0"/>
        <v>2.88</v>
      </c>
      <c r="V17" s="149"/>
      <c r="W17" s="148">
        <v>1330.9510499999999</v>
      </c>
      <c r="X17" s="145">
        <f>wheat!C16</f>
        <v>53.59</v>
      </c>
      <c r="Y17" s="1272">
        <f t="shared" si="1"/>
        <v>49.671619705168865</v>
      </c>
      <c r="Z17" s="153"/>
    </row>
    <row r="18" spans="1:26" s="130" customFormat="1" ht="16" thickBot="1">
      <c r="B18" s="137">
        <v>2011</v>
      </c>
      <c r="C18" s="154"/>
      <c r="D18" s="155"/>
      <c r="E18" s="155"/>
      <c r="F18" s="723"/>
      <c r="G18" s="154">
        <f>269100000/2000000</f>
        <v>134.55000000000001</v>
      </c>
      <c r="H18" s="155">
        <f>'crop yields'!C33</f>
        <v>5.48</v>
      </c>
      <c r="I18" s="155">
        <f t="shared" si="3"/>
        <v>49.105839416058394</v>
      </c>
      <c r="J18" s="155">
        <v>81</v>
      </c>
      <c r="K18" s="154"/>
      <c r="L18" s="155">
        <f>'crop yields'!C48</f>
        <v>2.56</v>
      </c>
      <c r="M18" s="155"/>
      <c r="N18" s="155">
        <v>86</v>
      </c>
      <c r="O18" s="154"/>
      <c r="P18" s="155">
        <f>'crop yields'!C63</f>
        <v>2.5</v>
      </c>
      <c r="Q18" s="155"/>
      <c r="R18" s="155"/>
      <c r="S18" s="154"/>
      <c r="T18" s="155"/>
      <c r="U18" s="155"/>
      <c r="V18" s="155"/>
      <c r="W18" s="154"/>
      <c r="X18" s="155"/>
      <c r="Y18" s="155"/>
      <c r="Z18" s="156"/>
    </row>
    <row r="19" spans="1:26" s="122" customFormat="1">
      <c r="B19" s="131" t="s">
        <v>263</v>
      </c>
      <c r="C19" s="172">
        <f>AVERAGE(C7:C18)</f>
        <v>4956.0095716141423</v>
      </c>
      <c r="D19" s="725">
        <f>AVERAGE(D7:D18)</f>
        <v>76.580219294292263</v>
      </c>
      <c r="E19" s="725">
        <f>AVERAGE(E7:E18)</f>
        <v>129.49685147489254</v>
      </c>
      <c r="F19" s="174">
        <f t="shared" ref="F19:Z19" si="6">AVERAGE(F7:F18)</f>
        <v>96.5</v>
      </c>
      <c r="G19" s="173">
        <f t="shared" si="6"/>
        <v>207.92500000000001</v>
      </c>
      <c r="H19" s="173">
        <f t="shared" si="6"/>
        <v>7.5648181818181817</v>
      </c>
      <c r="I19" s="173"/>
      <c r="J19" s="173">
        <f t="shared" si="6"/>
        <v>81.5</v>
      </c>
      <c r="K19" s="172">
        <f t="shared" si="6"/>
        <v>135</v>
      </c>
      <c r="L19" s="173">
        <f t="shared" si="6"/>
        <v>4.1862500000000002</v>
      </c>
      <c r="M19" s="173"/>
      <c r="N19" s="174">
        <f t="shared" si="6"/>
        <v>89.5</v>
      </c>
      <c r="O19" s="173">
        <f t="shared" si="6"/>
        <v>54</v>
      </c>
      <c r="P19" s="173">
        <f t="shared" si="6"/>
        <v>3.9184166666666669</v>
      </c>
      <c r="Q19" s="173"/>
      <c r="R19" s="173">
        <f t="shared" si="6"/>
        <v>56</v>
      </c>
      <c r="S19" s="172">
        <f t="shared" si="6"/>
        <v>135.21528276363637</v>
      </c>
      <c r="T19" s="173">
        <f t="shared" si="6"/>
        <v>73.98036363636362</v>
      </c>
      <c r="U19" s="173"/>
      <c r="V19" s="174">
        <f t="shared" si="6"/>
        <v>17.600000000000001</v>
      </c>
      <c r="W19" s="173">
        <f t="shared" si="6"/>
        <v>1662.0394882079943</v>
      </c>
      <c r="X19" s="173">
        <f t="shared" si="6"/>
        <v>59.548181818181817</v>
      </c>
      <c r="Y19" s="173"/>
      <c r="Z19" s="174">
        <f t="shared" si="6"/>
        <v>86.714285714285708</v>
      </c>
    </row>
    <row r="20" spans="1:26" s="122" customFormat="1">
      <c r="B20" s="131" t="s">
        <v>257</v>
      </c>
      <c r="C20" s="172">
        <f>STDEV(C7:C18)</f>
        <v>424.38469386189951</v>
      </c>
      <c r="D20" s="173">
        <f>STDEV(D7:D18)</f>
        <v>5.8259052701327869</v>
      </c>
      <c r="E20" s="173"/>
      <c r="F20" s="174">
        <f t="shared" ref="F20:Z20" si="7">STDEV(F7:F18)</f>
        <v>0.83666002653407556</v>
      </c>
      <c r="G20" s="173">
        <f>G19*0.1</f>
        <v>20.792500000000004</v>
      </c>
      <c r="H20" s="173">
        <f>STDEV(H7:H18)</f>
        <v>1.6588702672711833</v>
      </c>
      <c r="I20" s="173"/>
      <c r="J20" s="173">
        <f t="shared" si="7"/>
        <v>0.70710678118654757</v>
      </c>
      <c r="K20" s="172">
        <f>0.1*K19</f>
        <v>13.5</v>
      </c>
      <c r="L20" s="173">
        <f t="shared" si="7"/>
        <v>0.988931022964602</v>
      </c>
      <c r="M20" s="173"/>
      <c r="N20" s="174">
        <f t="shared" si="7"/>
        <v>4.9497474683058327</v>
      </c>
      <c r="O20" s="173">
        <f>O19*0.1</f>
        <v>5.4</v>
      </c>
      <c r="P20" s="173">
        <f t="shared" si="7"/>
        <v>0.72107362608988868</v>
      </c>
      <c r="Q20" s="173"/>
      <c r="R20" s="173" t="s">
        <v>104</v>
      </c>
      <c r="S20" s="172">
        <f t="shared" si="7"/>
        <v>22.463835156840911</v>
      </c>
      <c r="T20" s="173">
        <f t="shared" si="7"/>
        <v>3.4677762117163002</v>
      </c>
      <c r="U20" s="173"/>
      <c r="V20" s="174">
        <f t="shared" si="7"/>
        <v>3.9115214431215906</v>
      </c>
      <c r="W20" s="173">
        <f t="shared" si="7"/>
        <v>203.82334687010251</v>
      </c>
      <c r="X20" s="173">
        <f t="shared" si="7"/>
        <v>2.765341997590236</v>
      </c>
      <c r="Y20" s="173"/>
      <c r="Z20" s="174">
        <f t="shared" si="7"/>
        <v>1.3801311186847085</v>
      </c>
    </row>
    <row r="21" spans="1:26" s="122" customFormat="1" ht="29">
      <c r="B21" s="132" t="s">
        <v>386</v>
      </c>
      <c r="C21" s="1968">
        <f>AVERAGE(E7:E17)</f>
        <v>129.49685147489254</v>
      </c>
      <c r="D21" s="1969"/>
      <c r="E21" s="1969"/>
      <c r="F21" s="1970"/>
      <c r="G21" s="1968">
        <f>AVERAGE(I10:I18)</f>
        <v>54.414915461744698</v>
      </c>
      <c r="H21" s="1969"/>
      <c r="I21" s="1969"/>
      <c r="J21" s="1970"/>
      <c r="K21" s="1968">
        <f>AVERAGE(M10)</f>
        <v>50.486163051608081</v>
      </c>
      <c r="L21" s="1969"/>
      <c r="M21" s="1969"/>
      <c r="N21" s="1970"/>
      <c r="O21" s="1968">
        <f>AVERAGE(Q11)</f>
        <v>26.438188494492046</v>
      </c>
      <c r="P21" s="1969"/>
      <c r="Q21" s="1969"/>
      <c r="R21" s="1970"/>
      <c r="S21" s="1968">
        <f>AVERAGE(U7:U17)</f>
        <v>3.6672064225604513</v>
      </c>
      <c r="T21" s="1969"/>
      <c r="U21" s="1969"/>
      <c r="V21" s="1970"/>
      <c r="W21" s="1968">
        <f>AVERAGE(Y7:Y17)</f>
        <v>55.731113992235002</v>
      </c>
      <c r="X21" s="1969"/>
      <c r="Y21" s="1969"/>
      <c r="Z21" s="1970"/>
    </row>
    <row r="22" spans="1:26" s="96" customFormat="1">
      <c r="A22" s="124"/>
      <c r="B22" s="724" t="s">
        <v>105</v>
      </c>
      <c r="C22" s="1971">
        <f>C21*SQRT(C20^2/C19^2+D20^2/D19^2)</f>
        <v>14.832951122333204</v>
      </c>
      <c r="D22" s="1972"/>
      <c r="E22" s="1972"/>
      <c r="F22" s="1973"/>
      <c r="G22" s="1971">
        <f>G21*SQRT(G20^2/G19^2+H20^2/H19^2)</f>
        <v>13.114674147610486</v>
      </c>
      <c r="H22" s="1972"/>
      <c r="I22" s="1972"/>
      <c r="J22" s="1973"/>
      <c r="K22" s="1971">
        <f>K21*SQRT(K20^2/K19^2+L20^2/L19^2)</f>
        <v>12.951063879460985</v>
      </c>
      <c r="L22" s="1972"/>
      <c r="M22" s="1972"/>
      <c r="N22" s="1973"/>
      <c r="O22" s="1971">
        <f>O21*SQRT(O20^2/O19^2+P20^2/P19^2)</f>
        <v>5.5371426159937132</v>
      </c>
      <c r="P22" s="1972"/>
      <c r="Q22" s="1972"/>
      <c r="R22" s="1973"/>
      <c r="S22" s="1971">
        <f>S21*SQRT(S20^2/S19^2+T20^2/T19^2)</f>
        <v>0.63303305477042615</v>
      </c>
      <c r="T22" s="1972"/>
      <c r="U22" s="1972"/>
      <c r="V22" s="1973"/>
      <c r="W22" s="1971">
        <f>W21*SQRT(W20^2/W19^2+X20^2/X19^2)</f>
        <v>7.3081685174530389</v>
      </c>
      <c r="X22" s="1972"/>
      <c r="Y22" s="1972"/>
      <c r="Z22" s="1973"/>
    </row>
    <row r="23" spans="1:26">
      <c r="B23" s="99" t="s">
        <v>484</v>
      </c>
      <c r="C23" s="98"/>
      <c r="D23" s="98"/>
      <c r="E23" s="127"/>
      <c r="F23" s="98"/>
      <c r="G23" s="98"/>
      <c r="H23" s="98"/>
      <c r="I23" s="127"/>
      <c r="J23" s="98"/>
      <c r="K23" s="98"/>
      <c r="L23" s="98"/>
      <c r="M23" s="127"/>
      <c r="N23" s="98"/>
      <c r="O23" s="98"/>
      <c r="P23" s="98"/>
      <c r="Q23" s="127"/>
      <c r="R23" s="98"/>
      <c r="S23" s="98"/>
      <c r="T23" s="98"/>
      <c r="U23" s="127"/>
      <c r="V23" s="98"/>
      <c r="W23" s="98"/>
      <c r="X23" s="98"/>
      <c r="Y23" s="127"/>
      <c r="Z23" s="98"/>
    </row>
    <row r="24" spans="1:26">
      <c r="B24" s="99" t="s">
        <v>485</v>
      </c>
      <c r="C24" s="98"/>
      <c r="D24" s="98"/>
      <c r="E24" s="127"/>
      <c r="F24" s="98"/>
      <c r="G24" s="98"/>
      <c r="H24" s="98"/>
      <c r="I24" s="127"/>
      <c r="J24" s="98"/>
      <c r="K24" s="98"/>
      <c r="L24" s="98"/>
      <c r="M24" s="127"/>
      <c r="N24" s="98"/>
      <c r="O24" s="98"/>
      <c r="P24" s="98"/>
      <c r="Q24" s="127"/>
      <c r="R24" s="98"/>
      <c r="S24" s="98"/>
      <c r="T24" s="98"/>
      <c r="U24" s="127"/>
      <c r="V24" s="98"/>
      <c r="W24" s="98"/>
      <c r="X24" s="98"/>
      <c r="Y24" s="127"/>
      <c r="Z24" s="98"/>
    </row>
    <row r="25" spans="1:26">
      <c r="B25" s="463" t="s">
        <v>238</v>
      </c>
      <c r="C25" s="98"/>
      <c r="D25" s="98"/>
      <c r="E25" s="127"/>
      <c r="F25" s="98"/>
      <c r="G25" s="98"/>
      <c r="H25" s="98"/>
      <c r="I25" s="127"/>
      <c r="J25" s="98"/>
      <c r="K25" s="98"/>
      <c r="L25" s="98"/>
      <c r="M25" s="127"/>
      <c r="N25" s="98"/>
      <c r="O25" s="98"/>
      <c r="P25" s="98"/>
      <c r="Q25" s="127"/>
      <c r="R25" s="98"/>
      <c r="S25" s="100"/>
      <c r="T25" s="100"/>
      <c r="U25" s="100"/>
      <c r="V25" s="100"/>
      <c r="W25" s="100"/>
      <c r="X25" s="100"/>
      <c r="Y25" s="100"/>
      <c r="Z25" s="100"/>
    </row>
    <row r="26" spans="1:26" s="96" customFormat="1">
      <c r="A26" s="124"/>
      <c r="B26" s="99"/>
      <c r="C26" s="98"/>
      <c r="D26" s="98"/>
      <c r="E26" s="127"/>
      <c r="F26" s="98"/>
      <c r="G26" s="98"/>
      <c r="H26" s="98"/>
      <c r="I26" s="127"/>
      <c r="J26" s="98"/>
      <c r="K26" s="98"/>
      <c r="L26" s="98"/>
      <c r="M26" s="127"/>
      <c r="N26" s="98"/>
      <c r="O26" s="98"/>
      <c r="P26" s="98"/>
      <c r="Q26" s="127"/>
      <c r="R26" s="98"/>
      <c r="S26" s="100"/>
      <c r="T26" s="100"/>
      <c r="U26" s="100"/>
      <c r="V26" s="100"/>
      <c r="W26" s="100"/>
      <c r="X26" s="100"/>
      <c r="Y26" s="100"/>
      <c r="Z26" s="100"/>
    </row>
    <row r="27" spans="1:26" s="96" customFormat="1">
      <c r="A27" s="124"/>
      <c r="B27" s="99"/>
      <c r="C27" s="98"/>
      <c r="D27" s="98"/>
      <c r="E27" s="127"/>
      <c r="F27" s="98"/>
      <c r="G27" s="98"/>
      <c r="H27" s="98"/>
      <c r="I27" s="127"/>
      <c r="J27" s="98"/>
      <c r="K27" s="98"/>
      <c r="L27" s="98"/>
      <c r="M27" s="127"/>
      <c r="N27" s="98"/>
      <c r="O27" s="98"/>
      <c r="P27" s="98"/>
      <c r="Q27" s="127"/>
      <c r="R27" s="98"/>
      <c r="S27" s="100"/>
      <c r="T27" s="100"/>
      <c r="U27" s="100"/>
      <c r="V27" s="100"/>
      <c r="W27" s="100"/>
      <c r="X27" s="100"/>
      <c r="Y27" s="100"/>
      <c r="Z27" s="100"/>
    </row>
    <row r="28" spans="1:26" s="96" customFormat="1" ht="13.25" customHeight="1">
      <c r="A28" s="124"/>
      <c r="B28" s="99"/>
      <c r="C28" s="98">
        <v>1</v>
      </c>
      <c r="D28" s="1179" t="s">
        <v>272</v>
      </c>
      <c r="E28" s="1179"/>
      <c r="F28" s="98"/>
      <c r="G28" s="98"/>
      <c r="H28" s="98"/>
      <c r="I28" s="127"/>
      <c r="J28" s="98"/>
      <c r="K28" s="98"/>
      <c r="L28" s="98"/>
      <c r="M28" s="127"/>
      <c r="N28" s="98"/>
      <c r="O28" s="98"/>
      <c r="P28" s="98"/>
      <c r="Q28" s="127"/>
      <c r="R28" s="98"/>
      <c r="S28" s="100"/>
      <c r="T28" s="100"/>
      <c r="U28" s="100"/>
      <c r="V28" s="100"/>
      <c r="W28" s="100"/>
      <c r="X28" s="100"/>
      <c r="Y28" s="100"/>
      <c r="Z28" s="100"/>
    </row>
    <row r="29" spans="1:26" s="96" customFormat="1">
      <c r="A29" s="124"/>
      <c r="B29" s="99"/>
      <c r="C29" s="98"/>
      <c r="D29" s="95" t="s">
        <v>472</v>
      </c>
      <c r="E29" s="95"/>
      <c r="F29" s="98"/>
      <c r="G29" s="98"/>
      <c r="H29" s="98"/>
      <c r="I29" s="127"/>
      <c r="J29" s="98"/>
      <c r="K29" s="98"/>
      <c r="L29" s="98"/>
      <c r="M29" s="127"/>
      <c r="N29" s="98"/>
      <c r="O29" s="98"/>
      <c r="P29" s="98"/>
      <c r="Q29" s="127"/>
      <c r="R29" s="98"/>
      <c r="S29" s="100"/>
      <c r="T29" s="100"/>
      <c r="U29" s="100"/>
      <c r="V29" s="100"/>
      <c r="W29" s="100"/>
      <c r="X29" s="100"/>
      <c r="Y29" s="100"/>
      <c r="Z29" s="100"/>
    </row>
    <row r="30" spans="1:26" s="96" customFormat="1">
      <c r="A30" s="124"/>
      <c r="B30" s="99"/>
      <c r="C30" s="98"/>
      <c r="D30" s="95" t="s">
        <v>580</v>
      </c>
      <c r="E30" s="95"/>
      <c r="F30" s="98"/>
      <c r="G30" s="98"/>
      <c r="H30" s="98"/>
      <c r="I30" s="127"/>
      <c r="J30" s="98"/>
      <c r="K30" s="98"/>
      <c r="L30" s="98"/>
      <c r="M30" s="127"/>
      <c r="N30" s="98"/>
      <c r="O30" s="98"/>
      <c r="P30" s="98"/>
      <c r="Q30" s="127"/>
      <c r="R30" s="98"/>
      <c r="S30" s="100"/>
      <c r="T30" s="100"/>
      <c r="U30" s="100"/>
      <c r="V30" s="100"/>
      <c r="W30" s="100"/>
      <c r="X30" s="100"/>
      <c r="Y30" s="100"/>
      <c r="Z30" s="100"/>
    </row>
    <row r="31" spans="1:26" s="96" customFormat="1">
      <c r="A31" s="124"/>
      <c r="B31" s="99"/>
      <c r="C31" s="98"/>
      <c r="D31" s="95" t="s">
        <v>565</v>
      </c>
      <c r="E31" s="95"/>
      <c r="F31" s="98"/>
      <c r="G31" s="98"/>
      <c r="H31" s="98"/>
      <c r="I31" s="127"/>
      <c r="J31" s="98"/>
      <c r="K31" s="98"/>
      <c r="L31" s="98"/>
      <c r="M31" s="127"/>
      <c r="N31" s="98"/>
      <c r="O31" s="98"/>
      <c r="P31" s="98"/>
      <c r="Q31" s="127"/>
      <c r="R31" s="98"/>
      <c r="S31" s="100"/>
      <c r="T31" s="100"/>
      <c r="U31" s="100"/>
      <c r="V31" s="100"/>
      <c r="W31" s="100"/>
      <c r="X31" s="100"/>
      <c r="Y31" s="100"/>
      <c r="Z31" s="100"/>
    </row>
    <row r="32" spans="1:26">
      <c r="B32" s="99"/>
      <c r="C32" s="95">
        <v>2</v>
      </c>
      <c r="D32" s="95" t="s">
        <v>493</v>
      </c>
      <c r="E32" s="95"/>
      <c r="F32" s="97"/>
      <c r="G32" s="97"/>
      <c r="H32" s="97"/>
      <c r="I32" s="97"/>
      <c r="J32" s="97"/>
      <c r="K32" s="97"/>
      <c r="L32" s="97"/>
      <c r="M32" s="97"/>
      <c r="N32" s="97"/>
      <c r="O32" s="97"/>
      <c r="P32" s="97"/>
      <c r="Q32" s="97"/>
      <c r="R32" s="97"/>
      <c r="S32" s="97"/>
      <c r="T32" s="97"/>
      <c r="U32" s="97"/>
      <c r="V32" s="97"/>
      <c r="W32" s="97"/>
      <c r="X32" s="97"/>
      <c r="Y32" s="97"/>
      <c r="Z32" s="97"/>
    </row>
    <row r="33" spans="2:26">
      <c r="C33" s="106"/>
      <c r="D33" s="248" t="s">
        <v>382</v>
      </c>
      <c r="E33" s="248"/>
      <c r="F33" s="106"/>
      <c r="G33" s="106"/>
      <c r="H33" s="106"/>
      <c r="I33" s="106"/>
      <c r="J33" s="106"/>
      <c r="K33" s="106"/>
      <c r="L33" s="106"/>
      <c r="M33" s="106"/>
      <c r="N33" s="106"/>
      <c r="O33" s="106"/>
      <c r="P33" s="106"/>
      <c r="Q33" s="106"/>
      <c r="R33" s="106"/>
      <c r="S33" s="104"/>
      <c r="T33" s="104"/>
      <c r="U33" s="104"/>
      <c r="V33" s="104"/>
      <c r="W33" s="104"/>
      <c r="X33" s="103"/>
      <c r="Y33" s="103"/>
      <c r="Z33" s="103"/>
    </row>
    <row r="34" spans="2:26">
      <c r="C34" s="105"/>
      <c r="D34" s="129" t="s">
        <v>383</v>
      </c>
      <c r="E34" s="129"/>
      <c r="F34" s="105"/>
      <c r="G34" s="105"/>
      <c r="H34" s="105"/>
      <c r="I34" s="129"/>
      <c r="J34" s="105"/>
      <c r="K34" s="105"/>
      <c r="L34" s="105"/>
      <c r="M34" s="129"/>
      <c r="N34" s="105"/>
      <c r="O34" s="105"/>
      <c r="P34" s="105"/>
      <c r="Q34" s="129"/>
      <c r="R34" s="105"/>
      <c r="S34" s="105"/>
      <c r="T34" s="105"/>
      <c r="U34" s="129"/>
      <c r="V34" s="105"/>
      <c r="W34" s="108"/>
      <c r="X34" s="107"/>
      <c r="Y34" s="107"/>
      <c r="Z34" s="107"/>
    </row>
    <row r="35" spans="2:26">
      <c r="B35" s="102"/>
      <c r="C35" s="104"/>
      <c r="D35" s="104"/>
      <c r="E35" s="104"/>
      <c r="F35" s="104"/>
      <c r="G35" s="104"/>
      <c r="H35" s="104"/>
      <c r="I35" s="104"/>
      <c r="J35" s="104"/>
      <c r="K35" s="104"/>
      <c r="L35" s="104"/>
      <c r="M35" s="104"/>
      <c r="N35" s="104"/>
      <c r="O35" s="104"/>
      <c r="P35" s="104"/>
      <c r="Q35" s="104"/>
      <c r="R35" s="104"/>
      <c r="S35" s="104"/>
      <c r="T35" s="104"/>
      <c r="U35" s="104"/>
      <c r="V35" s="104"/>
      <c r="W35" s="104"/>
      <c r="X35" s="103"/>
      <c r="Y35" s="103"/>
      <c r="Z35" s="103"/>
    </row>
  </sheetData>
  <mergeCells count="18">
    <mergeCell ref="W4:Z4"/>
    <mergeCell ref="C4:F4"/>
    <mergeCell ref="S4:V4"/>
    <mergeCell ref="G4:J4"/>
    <mergeCell ref="K4:N4"/>
    <mergeCell ref="O4:R4"/>
    <mergeCell ref="C21:F21"/>
    <mergeCell ref="C22:F22"/>
    <mergeCell ref="G21:J21"/>
    <mergeCell ref="G22:J22"/>
    <mergeCell ref="K21:N21"/>
    <mergeCell ref="K22:N22"/>
    <mergeCell ref="O21:R21"/>
    <mergeCell ref="O22:R22"/>
    <mergeCell ref="S21:V21"/>
    <mergeCell ref="S22:V22"/>
    <mergeCell ref="W21:Z21"/>
    <mergeCell ref="W22:Z22"/>
  </mergeCells>
  <phoneticPr fontId="107" type="noConversion"/>
  <hyperlinks>
    <hyperlink ref="D33" r:id="rId1" xr:uid="{00000000-0004-0000-0900-000000000000}"/>
  </hyperlinks>
  <pageMargins left="0.7" right="0.7" top="0.75" bottom="0.75" header="0.3" footer="0.3"/>
  <pageSetup orientation="portrait"/>
  <legacy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F0"/>
  </sheetPr>
  <dimension ref="A1:W167"/>
  <sheetViews>
    <sheetView workbookViewId="0">
      <pane xSplit="2" ySplit="6" topLeftCell="C7" activePane="bottomRight" state="frozen"/>
      <selection pane="topRight" activeCell="C1" sqref="C1"/>
      <selection pane="bottomLeft" activeCell="A7" sqref="A7"/>
      <selection pane="bottomRight" activeCell="D24" sqref="D24"/>
    </sheetView>
  </sheetViews>
  <sheetFormatPr baseColWidth="10" defaultColWidth="8.83203125" defaultRowHeight="15"/>
  <cols>
    <col min="1" max="1" width="8.83203125" style="326"/>
    <col min="2" max="2" width="8.83203125" style="288"/>
    <col min="3" max="3" width="14" style="288" bestFit="1" customWidth="1"/>
    <col min="4" max="5" width="10.1640625" bestFit="1" customWidth="1"/>
    <col min="6" max="7" width="12.1640625" bestFit="1" customWidth="1"/>
    <col min="8" max="8" width="11.1640625" bestFit="1" customWidth="1"/>
  </cols>
  <sheetData>
    <row r="1" spans="1:16" ht="23" customHeight="1">
      <c r="A1" s="323"/>
      <c r="B1" s="427" t="s">
        <v>570</v>
      </c>
      <c r="C1" s="177"/>
      <c r="I1" s="327" t="s">
        <v>647</v>
      </c>
    </row>
    <row r="2" spans="1:16" s="288" customFormat="1" ht="14" customHeight="1">
      <c r="A2" s="428">
        <v>1</v>
      </c>
      <c r="B2" s="177" t="s">
        <v>743</v>
      </c>
      <c r="C2" s="177"/>
      <c r="I2" s="2"/>
    </row>
    <row r="3" spans="1:16" s="288" customFormat="1" ht="11.5" customHeight="1">
      <c r="A3" s="428">
        <v>2</v>
      </c>
      <c r="B3" s="177" t="s">
        <v>745</v>
      </c>
      <c r="C3" s="177"/>
      <c r="I3" s="2"/>
    </row>
    <row r="4" spans="1:16" s="288" customFormat="1" ht="15" customHeight="1">
      <c r="A4" s="323"/>
      <c r="B4" s="320" t="s">
        <v>193</v>
      </c>
      <c r="C4" s="177"/>
      <c r="I4" s="2"/>
    </row>
    <row r="6" spans="1:16" s="332" customFormat="1" ht="50">
      <c r="A6" s="364" t="s">
        <v>631</v>
      </c>
      <c r="B6" s="365"/>
      <c r="C6" s="445" t="s">
        <v>321</v>
      </c>
      <c r="D6" s="445" t="s">
        <v>572</v>
      </c>
      <c r="E6" s="445" t="s">
        <v>194</v>
      </c>
      <c r="F6" s="444" t="s">
        <v>357</v>
      </c>
      <c r="G6" s="444" t="s">
        <v>195</v>
      </c>
      <c r="H6" s="444" t="s">
        <v>358</v>
      </c>
      <c r="I6" s="444" t="s">
        <v>359</v>
      </c>
      <c r="L6" s="332" t="s">
        <v>748</v>
      </c>
      <c r="P6" s="332">
        <v>1233.4818399999999</v>
      </c>
    </row>
    <row r="7" spans="1:16">
      <c r="A7" s="322" t="s">
        <v>626</v>
      </c>
      <c r="B7" s="177"/>
      <c r="C7" s="177"/>
      <c r="I7" s="329" t="s">
        <v>447</v>
      </c>
    </row>
    <row r="8" spans="1:16">
      <c r="A8" s="323" t="s">
        <v>501</v>
      </c>
      <c r="B8" s="177"/>
      <c r="C8" s="177"/>
      <c r="I8" s="329" t="s">
        <v>549</v>
      </c>
    </row>
    <row r="9" spans="1:16">
      <c r="A9" s="324" t="s">
        <v>502</v>
      </c>
      <c r="B9" s="177"/>
      <c r="C9" s="177"/>
      <c r="I9" s="329" t="s">
        <v>646</v>
      </c>
    </row>
    <row r="10" spans="1:16" ht="16.25" customHeight="1">
      <c r="A10" s="328" t="s">
        <v>630</v>
      </c>
      <c r="B10" s="157"/>
      <c r="C10" s="157"/>
    </row>
    <row r="11" spans="1:16">
      <c r="A11" s="1981" t="s">
        <v>633</v>
      </c>
      <c r="B11" s="333" t="s">
        <v>543</v>
      </c>
      <c r="C11" s="334"/>
      <c r="D11" s="334"/>
      <c r="E11" s="334"/>
      <c r="F11" s="332"/>
      <c r="G11" s="332"/>
      <c r="H11" s="332"/>
    </row>
    <row r="12" spans="1:16">
      <c r="A12" s="1982"/>
      <c r="B12" s="317" t="s">
        <v>445</v>
      </c>
      <c r="C12" s="334">
        <f>'crop yields'!H8</f>
        <v>69.495062555066085</v>
      </c>
      <c r="D12" s="330"/>
      <c r="E12" s="330"/>
    </row>
    <row r="13" spans="1:16">
      <c r="A13" s="1982"/>
      <c r="B13" s="317" t="s">
        <v>545</v>
      </c>
      <c r="C13" s="334">
        <f>'crop yields'!H9</f>
        <v>71.544511850572903</v>
      </c>
      <c r="D13" s="330">
        <f>9747474/1000000</f>
        <v>9.7474740000000004</v>
      </c>
      <c r="E13" s="330">
        <v>1.2</v>
      </c>
      <c r="F13" s="330">
        <f>E13*P6</f>
        <v>1480.1782079999998</v>
      </c>
      <c r="G13" s="330">
        <f>F13*D13</f>
        <v>14427.99859784659</v>
      </c>
      <c r="H13" s="330">
        <f>G13/C13</f>
        <v>201.66464519292202</v>
      </c>
    </row>
    <row r="14" spans="1:16">
      <c r="A14" s="1982"/>
      <c r="B14" s="317" t="s">
        <v>547</v>
      </c>
      <c r="C14" s="334">
        <f>'crop yields'!H10</f>
        <v>71.928634308047506</v>
      </c>
      <c r="D14" s="330"/>
      <c r="E14" s="330"/>
      <c r="F14" s="330"/>
      <c r="G14" s="330"/>
      <c r="H14" s="330"/>
    </row>
    <row r="15" spans="1:16">
      <c r="A15" s="1982"/>
      <c r="B15" s="335" t="s">
        <v>548</v>
      </c>
      <c r="C15" s="334">
        <f>'crop yields'!H11</f>
        <v>74.736406950785124</v>
      </c>
      <c r="D15" s="330"/>
      <c r="E15" s="330"/>
      <c r="F15" s="330"/>
      <c r="G15" s="330"/>
      <c r="H15" s="330"/>
    </row>
    <row r="16" spans="1:16">
      <c r="A16" s="1982"/>
      <c r="B16" s="5" t="s">
        <v>434</v>
      </c>
      <c r="C16" s="334">
        <f>'crop yields'!H12</f>
        <v>75.796589759407766</v>
      </c>
      <c r="D16" s="330"/>
      <c r="E16" s="330"/>
      <c r="F16" s="330"/>
      <c r="G16" s="330"/>
      <c r="H16" s="330"/>
    </row>
    <row r="17" spans="1:9">
      <c r="A17" s="1982"/>
      <c r="B17" s="5" t="s">
        <v>730</v>
      </c>
      <c r="C17" s="334">
        <f>'crop yields'!H13</f>
        <v>71.741818040374966</v>
      </c>
      <c r="D17" s="330"/>
      <c r="E17" s="330"/>
      <c r="F17" s="330"/>
      <c r="G17" s="330"/>
      <c r="H17" s="330"/>
    </row>
    <row r="18" spans="1:9">
      <c r="A18" s="1982"/>
      <c r="B18" s="5" t="s">
        <v>739</v>
      </c>
      <c r="C18" s="334">
        <f>'crop yields'!H14</f>
        <v>87.407815942968242</v>
      </c>
      <c r="D18" s="330">
        <f>11991515/1000000</f>
        <v>11.991515</v>
      </c>
      <c r="E18" s="330">
        <v>1</v>
      </c>
      <c r="F18" s="330">
        <f>E18*P6</f>
        <v>1233.4818399999999</v>
      </c>
      <c r="G18" s="330">
        <f t="shared" ref="G18" si="0">F18*D18</f>
        <v>14791.315986587599</v>
      </c>
      <c r="H18" s="330">
        <f t="shared" ref="H18" si="1">G18/C18</f>
        <v>169.22189196717397</v>
      </c>
    </row>
    <row r="19" spans="1:9">
      <c r="A19" s="1982"/>
      <c r="B19" s="5" t="s">
        <v>741</v>
      </c>
      <c r="C19" s="334">
        <f>'crop yields'!H15</f>
        <v>79.913037203525164</v>
      </c>
      <c r="D19" s="330"/>
      <c r="E19" s="330"/>
      <c r="F19" s="330"/>
      <c r="G19" s="330"/>
      <c r="H19" s="330"/>
    </row>
    <row r="20" spans="1:9">
      <c r="A20" s="1982"/>
      <c r="B20" s="5" t="s">
        <v>735</v>
      </c>
      <c r="C20" s="334">
        <f>'crop yields'!H16</f>
        <v>80.69036018567482</v>
      </c>
      <c r="D20" s="330"/>
      <c r="E20" s="330"/>
      <c r="F20" s="330"/>
      <c r="G20" s="330"/>
      <c r="H20" s="330"/>
    </row>
    <row r="21" spans="1:9">
      <c r="A21" s="1982"/>
      <c r="B21" s="5" t="s">
        <v>737</v>
      </c>
      <c r="C21" s="334">
        <f>'crop yields'!H17</f>
        <v>82.547956146500113</v>
      </c>
      <c r="D21" s="330"/>
      <c r="E21" s="330"/>
      <c r="F21" s="330"/>
      <c r="G21" s="330"/>
      <c r="H21" s="330"/>
    </row>
    <row r="22" spans="1:9">
      <c r="A22" s="1982"/>
      <c r="B22" s="5" t="s">
        <v>738</v>
      </c>
      <c r="C22" s="334"/>
      <c r="D22" s="330"/>
      <c r="E22" s="330"/>
      <c r="F22" s="330"/>
      <c r="G22" s="330"/>
      <c r="H22" s="330"/>
    </row>
    <row r="23" spans="1:9">
      <c r="A23" s="1982"/>
      <c r="B23" s="11"/>
      <c r="C23" s="12"/>
      <c r="D23" s="330"/>
      <c r="E23" s="330"/>
      <c r="F23" s="330"/>
      <c r="G23" s="330"/>
      <c r="H23" s="330"/>
    </row>
    <row r="24" spans="1:9">
      <c r="A24" s="1982"/>
      <c r="B24" s="337" t="s">
        <v>740</v>
      </c>
      <c r="C24" s="338">
        <f>AVERAGE(C11:C22)</f>
        <v>76.580219294292263</v>
      </c>
      <c r="D24" s="338">
        <f t="shared" ref="D24" si="2">AVERAGE(D11:D22)</f>
        <v>10.8694945</v>
      </c>
      <c r="E24" s="338">
        <f>AVERAGE(E11:E22)</f>
        <v>1.1000000000000001</v>
      </c>
      <c r="F24" s="338">
        <f t="shared" ref="F24:H24" si="3">AVERAGE(F11:F22)</f>
        <v>1356.8300239999999</v>
      </c>
      <c r="G24" s="338">
        <f t="shared" si="3"/>
        <v>14609.657292217094</v>
      </c>
      <c r="H24" s="338">
        <f t="shared" si="3"/>
        <v>185.443268580048</v>
      </c>
      <c r="I24" s="892">
        <f>D24/C24</f>
        <v>0.14193605868676501</v>
      </c>
    </row>
    <row r="25" spans="1:9" s="126" customFormat="1">
      <c r="A25" s="1983"/>
      <c r="B25" s="338" t="s">
        <v>257</v>
      </c>
      <c r="C25" s="338">
        <f>STDEV(C11:C22)</f>
        <v>5.8259052701327869</v>
      </c>
      <c r="D25" s="338">
        <f t="shared" ref="D25:E25" si="4">STDEV(D11:D22)</f>
        <v>1.5867766083606369</v>
      </c>
      <c r="E25" s="338">
        <f t="shared" si="4"/>
        <v>0.14142135623730948</v>
      </c>
      <c r="F25" s="338">
        <f>E25*P6</f>
        <v>174.44067470689197</v>
      </c>
      <c r="G25" s="338">
        <f>G24*SQRT(F25^2/F24^2+D25^2/D24^2)</f>
        <v>2841.9583945182039</v>
      </c>
      <c r="H25" s="338">
        <f>H24*SQRT(F25^2/F24^2+D25^2/D24^2+C25^2/C24^2)</f>
        <v>38.734080659026631</v>
      </c>
    </row>
    <row r="26" spans="1:9" s="177" customFormat="1">
      <c r="A26" s="1992" t="s">
        <v>436</v>
      </c>
      <c r="B26" s="335" t="s">
        <v>445</v>
      </c>
      <c r="C26" s="330">
        <f>'crop yields'!H23</f>
        <v>9.8440927107826663</v>
      </c>
      <c r="F26" s="330"/>
      <c r="G26" s="330"/>
      <c r="H26" s="330"/>
    </row>
    <row r="27" spans="1:9">
      <c r="A27" s="1993"/>
      <c r="B27" s="317" t="s">
        <v>545</v>
      </c>
      <c r="C27" s="330">
        <f>'crop yields'!H24</f>
        <v>9.0696435682994814</v>
      </c>
      <c r="D27" s="10">
        <f>1108375/1000000</f>
        <v>1.1083750000000001</v>
      </c>
      <c r="E27" s="10">
        <v>1</v>
      </c>
      <c r="F27" s="330">
        <f>E27*P6</f>
        <v>1233.4818399999999</v>
      </c>
      <c r="G27" s="330">
        <f t="shared" ref="G27:G81" si="5">F27*D27</f>
        <v>1367.1604344100001</v>
      </c>
      <c r="H27" s="330">
        <f>G27/C26</f>
        <v>138.88130420719111</v>
      </c>
    </row>
    <row r="28" spans="1:9">
      <c r="A28" s="1993"/>
      <c r="B28" s="317" t="s">
        <v>547</v>
      </c>
      <c r="C28" s="330">
        <f>'crop yields'!H25</f>
        <v>9.0231126397248502</v>
      </c>
      <c r="D28" s="10"/>
      <c r="E28" s="10"/>
      <c r="F28" s="330"/>
      <c r="G28" s="330"/>
      <c r="H28" s="330"/>
    </row>
    <row r="29" spans="1:9">
      <c r="A29" s="1993"/>
      <c r="B29" s="335" t="s">
        <v>548</v>
      </c>
      <c r="C29" s="330">
        <f>'crop yields'!H26</f>
        <v>7.1023820061144267</v>
      </c>
      <c r="D29" s="10"/>
      <c r="E29" s="10"/>
      <c r="F29" s="330"/>
      <c r="G29" s="330"/>
      <c r="H29" s="330"/>
    </row>
    <row r="30" spans="1:9">
      <c r="A30" s="1993"/>
      <c r="B30" s="5" t="s">
        <v>434</v>
      </c>
      <c r="C30" s="330">
        <f>'crop yields'!H27</f>
        <v>6.1184928111056029</v>
      </c>
      <c r="D30" s="10"/>
      <c r="E30" s="10"/>
      <c r="F30" s="330"/>
      <c r="G30" s="330"/>
      <c r="H30" s="330"/>
    </row>
    <row r="31" spans="1:9">
      <c r="A31" s="1993"/>
      <c r="B31" s="5" t="s">
        <v>730</v>
      </c>
      <c r="C31" s="330">
        <f>'crop yields'!H28</f>
        <v>6.0920749006998296</v>
      </c>
      <c r="D31" s="10"/>
      <c r="E31" s="10"/>
      <c r="F31" s="330"/>
      <c r="G31" s="330"/>
      <c r="H31" s="330"/>
    </row>
    <row r="32" spans="1:9">
      <c r="A32" s="1993"/>
      <c r="B32" s="5" t="s">
        <v>739</v>
      </c>
      <c r="C32" s="330">
        <f>'crop yields'!H29</f>
        <v>7.2891812865497077</v>
      </c>
      <c r="D32" s="10">
        <f>1042392/1000000</f>
        <v>1.042392</v>
      </c>
      <c r="E32" s="10">
        <v>0.9</v>
      </c>
      <c r="F32" s="330">
        <f>E32*P6</f>
        <v>1110.133656</v>
      </c>
      <c r="G32" s="330">
        <f t="shared" si="5"/>
        <v>1157.194441945152</v>
      </c>
      <c r="H32" s="330">
        <f>G32/C31</f>
        <v>189.95079029842833</v>
      </c>
    </row>
    <row r="33" spans="1:9">
      <c r="A33" s="1993"/>
      <c r="B33" s="5" t="s">
        <v>741</v>
      </c>
      <c r="C33" s="330">
        <f>'crop yields'!H30</f>
        <v>7.8400104193800457</v>
      </c>
      <c r="F33" s="330"/>
      <c r="G33" s="330"/>
      <c r="H33" s="330"/>
    </row>
    <row r="34" spans="1:9">
      <c r="A34" s="1993"/>
      <c r="B34" s="5" t="s">
        <v>735</v>
      </c>
      <c r="C34" s="330">
        <f>'crop yields'!H31</f>
        <v>6.3383443020436445</v>
      </c>
      <c r="F34" s="330"/>
      <c r="G34" s="330"/>
      <c r="H34" s="330"/>
    </row>
    <row r="35" spans="1:9">
      <c r="A35" s="1993"/>
      <c r="B35" s="5" t="s">
        <v>737</v>
      </c>
      <c r="C35" s="330">
        <f>'crop yields'!H32</f>
        <v>5.1099744245524308</v>
      </c>
      <c r="F35" s="330"/>
      <c r="G35" s="330"/>
      <c r="H35" s="330"/>
    </row>
    <row r="36" spans="1:9">
      <c r="A36" s="1993"/>
      <c r="B36" s="5" t="s">
        <v>738</v>
      </c>
      <c r="F36" s="330"/>
      <c r="G36" s="330"/>
      <c r="H36" s="330"/>
    </row>
    <row r="37" spans="1:9">
      <c r="A37" s="1993"/>
      <c r="B37" s="11"/>
      <c r="C37" s="11"/>
      <c r="F37" s="330"/>
      <c r="G37" s="330"/>
      <c r="H37" s="330"/>
    </row>
    <row r="38" spans="1:9">
      <c r="A38" s="1993"/>
      <c r="B38" s="338" t="s">
        <v>740</v>
      </c>
      <c r="C38" s="338">
        <f>AVERAGE(C26:C35)</f>
        <v>7.3827309069252696</v>
      </c>
      <c r="D38" s="338">
        <f t="shared" ref="D38:H38" si="6">AVERAGE(D26:D36)</f>
        <v>1.0753835</v>
      </c>
      <c r="E38" s="338">
        <f t="shared" si="6"/>
        <v>0.95</v>
      </c>
      <c r="F38" s="338">
        <f t="shared" si="6"/>
        <v>1171.8077479999999</v>
      </c>
      <c r="G38" s="338">
        <f t="shared" si="6"/>
        <v>1262.1774381775761</v>
      </c>
      <c r="H38" s="338">
        <f t="shared" si="6"/>
        <v>164.41604725280973</v>
      </c>
      <c r="I38" s="446">
        <f>D38/C38</f>
        <v>0.14566202040375753</v>
      </c>
    </row>
    <row r="39" spans="1:9">
      <c r="A39" s="1994"/>
      <c r="B39" s="338" t="s">
        <v>257</v>
      </c>
      <c r="C39" s="338">
        <f>STDEV(C26:C35)</f>
        <v>1.5424200456143187</v>
      </c>
      <c r="D39" s="338">
        <f t="shared" ref="D39:E39" si="7">STDEV(D26:D36)</f>
        <v>4.665702674303205E-2</v>
      </c>
      <c r="E39" s="366">
        <f t="shared" si="7"/>
        <v>7.0710678118654738E-2</v>
      </c>
      <c r="F39" s="366">
        <f>E39*P6</f>
        <v>87.220337353445984</v>
      </c>
      <c r="G39" s="366">
        <f>G38*SQRT(F39^2/F38^2+D39^2/D38^2)</f>
        <v>108.7418902465168</v>
      </c>
      <c r="H39" s="338">
        <f>H38*SQRT(F39^2/F38^2+D39^2/D38^2+C39^2/C38^2)</f>
        <v>37.156294997171763</v>
      </c>
    </row>
    <row r="40" spans="1:9" s="332" customFormat="1">
      <c r="A40" s="1992" t="s">
        <v>440</v>
      </c>
      <c r="B40" s="333" t="s">
        <v>543</v>
      </c>
      <c r="C40" s="334">
        <v>5.8010000000000002</v>
      </c>
      <c r="E40" s="177"/>
      <c r="F40" s="330"/>
      <c r="G40" s="330"/>
      <c r="H40" s="330"/>
    </row>
    <row r="41" spans="1:9">
      <c r="A41" s="1993"/>
      <c r="B41" s="317" t="s">
        <v>445</v>
      </c>
      <c r="C41" s="318">
        <v>4.9509999999999996</v>
      </c>
      <c r="F41" s="330"/>
      <c r="G41" s="330"/>
      <c r="H41" s="330"/>
    </row>
    <row r="42" spans="1:9">
      <c r="A42" s="1993"/>
      <c r="B42" s="317" t="s">
        <v>545</v>
      </c>
      <c r="C42" s="318">
        <v>5.008</v>
      </c>
      <c r="D42" s="10">
        <f>990827/1000000</f>
        <v>0.99082700000000001</v>
      </c>
      <c r="E42" s="10">
        <v>1.5</v>
      </c>
      <c r="F42" s="330">
        <f>E42*P6</f>
        <v>1850.2227599999999</v>
      </c>
      <c r="G42" s="330">
        <f t="shared" si="5"/>
        <v>1833.2506666225199</v>
      </c>
      <c r="H42" s="330">
        <f t="shared" ref="H42:H81" si="8">G42/C42</f>
        <v>366.06443023612616</v>
      </c>
    </row>
    <row r="43" spans="1:9">
      <c r="A43" s="1993"/>
      <c r="B43" s="317" t="s">
        <v>547</v>
      </c>
      <c r="C43" s="318">
        <v>5.3479999999999999</v>
      </c>
      <c r="F43" s="330"/>
      <c r="G43" s="330"/>
      <c r="H43" s="330"/>
    </row>
    <row r="44" spans="1:9">
      <c r="A44" s="1993"/>
      <c r="B44" s="317" t="s">
        <v>548</v>
      </c>
      <c r="C44" s="318">
        <v>4.5270000000000001</v>
      </c>
      <c r="F44" s="330"/>
      <c r="G44" s="330"/>
      <c r="H44" s="330"/>
    </row>
    <row r="45" spans="1:9">
      <c r="A45" s="1993"/>
      <c r="B45" s="5" t="s">
        <v>434</v>
      </c>
      <c r="C45" s="10">
        <v>3.88</v>
      </c>
      <c r="F45" s="330"/>
      <c r="G45" s="330"/>
      <c r="H45" s="330"/>
    </row>
    <row r="46" spans="1:9">
      <c r="A46" s="1993"/>
      <c r="B46" s="5" t="s">
        <v>730</v>
      </c>
      <c r="C46" s="10">
        <v>3.45</v>
      </c>
      <c r="F46" s="330"/>
      <c r="G46" s="330"/>
      <c r="H46" s="330"/>
    </row>
    <row r="47" spans="1:9">
      <c r="A47" s="1993"/>
      <c r="B47" s="5" t="s">
        <v>739</v>
      </c>
      <c r="C47" s="10">
        <v>4.0199999999999996</v>
      </c>
      <c r="D47" s="10">
        <f>762240/1000000</f>
        <v>0.76224000000000003</v>
      </c>
      <c r="E47" s="10">
        <v>1.5</v>
      </c>
      <c r="F47" s="330">
        <f>E47*P6</f>
        <v>1850.2227599999999</v>
      </c>
      <c r="G47" s="330">
        <f t="shared" si="5"/>
        <v>1410.3137965824001</v>
      </c>
      <c r="H47" s="330">
        <f t="shared" si="8"/>
        <v>350.82432750805975</v>
      </c>
    </row>
    <row r="48" spans="1:9">
      <c r="A48" s="1993"/>
      <c r="B48" s="5" t="s">
        <v>741</v>
      </c>
      <c r="C48" s="10">
        <v>4.25</v>
      </c>
      <c r="F48" s="330"/>
      <c r="G48" s="330"/>
      <c r="H48" s="330"/>
    </row>
    <row r="49" spans="1:17">
      <c r="A49" s="1993"/>
      <c r="B49" s="5" t="s">
        <v>735</v>
      </c>
      <c r="C49" s="10">
        <v>3.57</v>
      </c>
      <c r="F49" s="330"/>
      <c r="G49" s="330"/>
      <c r="H49" s="330"/>
    </row>
    <row r="50" spans="1:17">
      <c r="A50" s="1993"/>
      <c r="B50" s="5" t="s">
        <v>737</v>
      </c>
      <c r="C50" s="10">
        <v>2.87</v>
      </c>
      <c r="F50" s="330"/>
      <c r="G50" s="330"/>
      <c r="H50" s="330"/>
    </row>
    <row r="51" spans="1:17">
      <c r="A51" s="1993"/>
      <c r="B51" s="5" t="s">
        <v>738</v>
      </c>
      <c r="C51" s="10">
        <v>2.56</v>
      </c>
      <c r="F51" s="330"/>
      <c r="G51" s="330"/>
      <c r="H51" s="330"/>
    </row>
    <row r="52" spans="1:17">
      <c r="A52" s="1993"/>
      <c r="B52" s="11" t="s">
        <v>742</v>
      </c>
      <c r="C52" s="11" t="s">
        <v>442</v>
      </c>
      <c r="F52" s="330"/>
      <c r="G52" s="330"/>
      <c r="H52" s="330"/>
    </row>
    <row r="53" spans="1:17">
      <c r="A53" s="1993"/>
      <c r="B53" s="337" t="s">
        <v>740</v>
      </c>
      <c r="C53" s="368">
        <f>AVERAGE(C40:C51)</f>
        <v>4.1862500000000002</v>
      </c>
      <c r="D53" s="368">
        <f t="shared" ref="D53:H53" si="9">AVERAGE(D40:D51)</f>
        <v>0.87653350000000008</v>
      </c>
      <c r="E53" s="368">
        <f t="shared" si="9"/>
        <v>1.5</v>
      </c>
      <c r="F53" s="368">
        <f t="shared" si="9"/>
        <v>1850.2227599999999</v>
      </c>
      <c r="G53" s="368">
        <f t="shared" si="9"/>
        <v>1621.7822316024599</v>
      </c>
      <c r="H53" s="368">
        <f t="shared" si="9"/>
        <v>358.44437887209295</v>
      </c>
      <c r="I53" s="446">
        <f>D53/C53</f>
        <v>0.20938393550313528</v>
      </c>
    </row>
    <row r="54" spans="1:17">
      <c r="A54" s="1994"/>
      <c r="B54" s="369" t="s">
        <v>257</v>
      </c>
      <c r="C54" s="366">
        <f>STDEV(C40:C50)</f>
        <v>0.88728320783675874</v>
      </c>
      <c r="D54" s="366">
        <f>0.1*D53</f>
        <v>8.7653350000000019E-2</v>
      </c>
      <c r="E54" s="366">
        <f>E53*0.1</f>
        <v>0.15000000000000002</v>
      </c>
      <c r="F54" s="366">
        <f>E54*P6</f>
        <v>185.02227600000001</v>
      </c>
      <c r="G54" s="366">
        <f>G53*SQRT(F54^2/F53^2+D54^2/D53^2)</f>
        <v>229.35464271479032</v>
      </c>
      <c r="H54" s="366">
        <f>H53*SQRT(F54^2/F53^2+D54^2/D53^2+C54^2/C53^2)</f>
        <v>91.331996318193205</v>
      </c>
    </row>
    <row r="55" spans="1:17" s="332" customFormat="1">
      <c r="A55" s="1992" t="s">
        <v>444</v>
      </c>
      <c r="B55" s="335" t="s">
        <v>543</v>
      </c>
      <c r="C55" s="330">
        <v>4.4729999999999999</v>
      </c>
      <c r="D55" s="177"/>
      <c r="E55" s="177"/>
      <c r="F55" s="330"/>
      <c r="G55" s="330"/>
      <c r="H55" s="330"/>
    </row>
    <row r="56" spans="1:17">
      <c r="A56" s="1993"/>
      <c r="B56" s="317" t="s">
        <v>445</v>
      </c>
      <c r="C56" s="318">
        <v>4.4009999999999998</v>
      </c>
      <c r="F56" s="330"/>
      <c r="G56" s="330"/>
      <c r="H56" s="330"/>
    </row>
    <row r="57" spans="1:17">
      <c r="A57" s="1993"/>
      <c r="B57" s="317" t="s">
        <v>545</v>
      </c>
      <c r="C57" s="318">
        <v>4.9950000000000001</v>
      </c>
      <c r="F57" s="330"/>
      <c r="G57" s="330"/>
      <c r="H57" s="330"/>
    </row>
    <row r="58" spans="1:17">
      <c r="A58" s="1993"/>
      <c r="B58" s="317" t="s">
        <v>547</v>
      </c>
      <c r="C58" s="318">
        <v>4.5970000000000004</v>
      </c>
      <c r="F58" s="330"/>
      <c r="G58" s="330"/>
      <c r="H58" s="330"/>
    </row>
    <row r="59" spans="1:17">
      <c r="A59" s="1993"/>
      <c r="B59" s="317" t="s">
        <v>548</v>
      </c>
      <c r="C59" s="318">
        <v>4.085</v>
      </c>
      <c r="F59" s="330"/>
      <c r="G59" s="330"/>
      <c r="H59" s="330"/>
    </row>
    <row r="60" spans="1:17">
      <c r="A60" s="1993"/>
      <c r="B60" s="5" t="s">
        <v>434</v>
      </c>
      <c r="C60" s="10">
        <v>4.25</v>
      </c>
      <c r="F60" s="330"/>
      <c r="G60" s="330"/>
      <c r="H60" s="330"/>
    </row>
    <row r="61" spans="1:17">
      <c r="A61" s="1993"/>
      <c r="B61" s="5" t="s">
        <v>730</v>
      </c>
      <c r="C61" s="10">
        <v>4.17</v>
      </c>
      <c r="F61" s="330"/>
      <c r="G61" s="330"/>
      <c r="H61" s="330"/>
      <c r="M61" s="891" t="s">
        <v>106</v>
      </c>
      <c r="Q61" s="891" t="s">
        <v>108</v>
      </c>
    </row>
    <row r="62" spans="1:17">
      <c r="A62" s="1993"/>
      <c r="B62" s="5" t="s">
        <v>739</v>
      </c>
      <c r="C62" s="10">
        <v>3.76</v>
      </c>
      <c r="D62" s="10">
        <f>(67958+10266)/1000000</f>
        <v>7.8224000000000002E-2</v>
      </c>
      <c r="E62" s="10">
        <v>1.4</v>
      </c>
      <c r="F62" s="330">
        <f>E62*P6</f>
        <v>1726.8745759999997</v>
      </c>
      <c r="G62" s="330">
        <f t="shared" si="5"/>
        <v>135.08303683302398</v>
      </c>
      <c r="H62" s="330">
        <f>M65</f>
        <v>90.441301067437777</v>
      </c>
      <c r="M62" s="890">
        <f>D62/(Q62/10^6)</f>
        <v>5.237282563793897E-2</v>
      </c>
      <c r="Q62" s="890">
        <f>67958+10266+1415375</f>
        <v>1493599</v>
      </c>
    </row>
    <row r="63" spans="1:17">
      <c r="A63" s="1993"/>
      <c r="B63" s="5" t="s">
        <v>741</v>
      </c>
      <c r="C63" s="10">
        <v>3.25</v>
      </c>
      <c r="F63" s="330"/>
      <c r="G63" s="330"/>
      <c r="H63" s="330"/>
      <c r="M63" s="891" t="s">
        <v>107</v>
      </c>
    </row>
    <row r="64" spans="1:17">
      <c r="A64" s="1993"/>
      <c r="B64" s="5" t="s">
        <v>735</v>
      </c>
      <c r="C64" s="10">
        <v>3.4</v>
      </c>
      <c r="F64" s="330"/>
      <c r="G64" s="330"/>
      <c r="H64" s="330"/>
      <c r="M64" s="891" t="s">
        <v>215</v>
      </c>
    </row>
    <row r="65" spans="1:13">
      <c r="A65" s="1993"/>
      <c r="B65" s="5" t="s">
        <v>737</v>
      </c>
      <c r="C65" s="10">
        <v>3.14</v>
      </c>
      <c r="F65" s="330"/>
      <c r="G65" s="330"/>
      <c r="H65" s="330"/>
      <c r="M65">
        <f>G62/(Q62/10^6)</f>
        <v>90.441301067437777</v>
      </c>
    </row>
    <row r="66" spans="1:13">
      <c r="A66" s="1993"/>
      <c r="B66" s="5" t="s">
        <v>738</v>
      </c>
      <c r="C66" s="10">
        <v>2.5</v>
      </c>
      <c r="F66" s="330"/>
      <c r="G66" s="330"/>
      <c r="H66" s="330"/>
    </row>
    <row r="67" spans="1:13">
      <c r="A67" s="1993"/>
      <c r="B67" s="11" t="s">
        <v>742</v>
      </c>
      <c r="C67" s="11" t="s">
        <v>685</v>
      </c>
      <c r="F67" s="330"/>
      <c r="G67" s="330"/>
      <c r="H67" s="330"/>
    </row>
    <row r="68" spans="1:13">
      <c r="A68" s="1993"/>
      <c r="B68" s="367" t="s">
        <v>740</v>
      </c>
      <c r="C68" s="368">
        <f>AVERAGE(C55:C66)</f>
        <v>3.9184166666666669</v>
      </c>
      <c r="D68" s="368">
        <f>AVERAGE(D55:D66)</f>
        <v>7.8224000000000002E-2</v>
      </c>
      <c r="E68" s="368">
        <f t="shared" ref="E68:H68" si="10">AVERAGE(E55:E66)</f>
        <v>1.4</v>
      </c>
      <c r="F68" s="368">
        <f t="shared" si="10"/>
        <v>1726.8745759999997</v>
      </c>
      <c r="G68" s="368">
        <f t="shared" si="10"/>
        <v>135.08303683302398</v>
      </c>
      <c r="H68" s="368">
        <f t="shared" si="10"/>
        <v>90.441301067437777</v>
      </c>
      <c r="I68" s="446">
        <f>M62</f>
        <v>5.237282563793897E-2</v>
      </c>
    </row>
    <row r="69" spans="1:13" s="126" customFormat="1">
      <c r="A69" s="1994"/>
      <c r="B69" s="370" t="s">
        <v>257</v>
      </c>
      <c r="C69" s="366">
        <f>STDEV(C55:C66)</f>
        <v>0.72107362608988868</v>
      </c>
      <c r="D69" s="366">
        <f>0.1*D68</f>
        <v>7.8224000000000002E-3</v>
      </c>
      <c r="E69" s="366">
        <f>E68*0.1</f>
        <v>0.13999999999999999</v>
      </c>
      <c r="F69" s="366">
        <f>E69*P6</f>
        <v>172.68745759999996</v>
      </c>
      <c r="G69" s="366">
        <f>G68*SQRT(F69^2/F68^2+D69^2/D68^2)</f>
        <v>19.103626273580687</v>
      </c>
      <c r="H69" s="366">
        <f>H68*SQRT(F69^2/F68^2+D69^2/D68^2+C69^2/C68^2)</f>
        <v>20.990173064443077</v>
      </c>
    </row>
    <row r="70" spans="1:13" s="288" customFormat="1">
      <c r="A70" s="326"/>
      <c r="B70" s="319"/>
      <c r="C70" s="339"/>
      <c r="D70" s="339"/>
      <c r="E70" s="339"/>
      <c r="F70" s="339"/>
      <c r="G70" s="339"/>
      <c r="H70" s="339"/>
    </row>
    <row r="71" spans="1:13" s="126" customFormat="1">
      <c r="A71" s="302" t="s">
        <v>370</v>
      </c>
      <c r="B71" s="288"/>
      <c r="C71" s="288"/>
      <c r="D71" s="288"/>
      <c r="E71" s="288"/>
      <c r="F71" s="288"/>
      <c r="G71" s="288"/>
      <c r="H71" s="288"/>
    </row>
    <row r="72" spans="1:13" s="177" customFormat="1">
      <c r="A72" s="248" t="s">
        <v>369</v>
      </c>
      <c r="B72" s="288"/>
      <c r="C72" s="288"/>
      <c r="D72" s="288"/>
      <c r="E72" s="288"/>
      <c r="F72" s="288"/>
      <c r="G72" s="288"/>
      <c r="H72" s="288"/>
    </row>
    <row r="73" spans="1:13" s="126" customFormat="1">
      <c r="A73" s="1991" t="s">
        <v>604</v>
      </c>
      <c r="B73" s="1991"/>
      <c r="C73" s="1991"/>
      <c r="D73" s="1991"/>
      <c r="E73" s="1991"/>
      <c r="F73" s="1991"/>
      <c r="G73" s="1991"/>
      <c r="H73" s="1991"/>
    </row>
    <row r="74" spans="1:13">
      <c r="A74" s="1990" t="s">
        <v>468</v>
      </c>
      <c r="B74" s="60" t="s">
        <v>543</v>
      </c>
      <c r="C74" s="63">
        <v>62.55</v>
      </c>
      <c r="D74" s="177"/>
      <c r="E74" s="177"/>
      <c r="F74" s="330"/>
      <c r="G74" s="330"/>
      <c r="H74" s="330"/>
    </row>
    <row r="75" spans="1:13">
      <c r="A75" s="1990"/>
      <c r="B75" s="60" t="s">
        <v>445</v>
      </c>
      <c r="C75" s="63">
        <v>59.43</v>
      </c>
      <c r="F75" s="330"/>
      <c r="G75" s="330"/>
      <c r="H75" s="330"/>
    </row>
    <row r="76" spans="1:13">
      <c r="A76" s="1990"/>
      <c r="B76" s="60" t="s">
        <v>545</v>
      </c>
      <c r="C76" s="63">
        <v>60.32</v>
      </c>
      <c r="D76" s="341">
        <f>3267978/1000000</f>
        <v>3.2679779999999998</v>
      </c>
      <c r="E76" s="341">
        <v>1.5</v>
      </c>
      <c r="F76" s="341">
        <f>E76*P6</f>
        <v>1850.2227599999999</v>
      </c>
      <c r="G76" s="341">
        <f t="shared" si="5"/>
        <v>6046.4872747792797</v>
      </c>
      <c r="H76" s="341">
        <f t="shared" si="8"/>
        <v>100.24017365350265</v>
      </c>
    </row>
    <row r="77" spans="1:13">
      <c r="A77" s="1990"/>
      <c r="B77" s="60" t="s">
        <v>547</v>
      </c>
      <c r="C77" s="63">
        <v>62.14</v>
      </c>
      <c r="D77" s="341"/>
      <c r="E77" s="341"/>
      <c r="F77" s="341"/>
      <c r="G77" s="341"/>
      <c r="H77" s="341"/>
    </row>
    <row r="78" spans="1:13">
      <c r="A78" s="1990"/>
      <c r="B78" s="60" t="s">
        <v>548</v>
      </c>
      <c r="C78" s="63">
        <v>59.64</v>
      </c>
      <c r="D78" s="341"/>
      <c r="E78" s="341"/>
      <c r="F78" s="341"/>
      <c r="G78" s="341"/>
      <c r="H78" s="341"/>
    </row>
    <row r="79" spans="1:13">
      <c r="A79" s="1990"/>
      <c r="B79" s="60" t="s">
        <v>434</v>
      </c>
      <c r="C79" s="63">
        <v>57.21</v>
      </c>
      <c r="D79" s="341"/>
      <c r="E79" s="341"/>
      <c r="F79" s="341"/>
      <c r="G79" s="341"/>
      <c r="H79" s="341"/>
    </row>
    <row r="80" spans="1:13">
      <c r="A80" s="1990"/>
      <c r="B80" s="60" t="s">
        <v>730</v>
      </c>
      <c r="C80" s="63">
        <v>57.33</v>
      </c>
      <c r="D80" s="341"/>
      <c r="E80" s="341"/>
      <c r="F80" s="341"/>
      <c r="G80" s="341"/>
      <c r="H80" s="341"/>
    </row>
    <row r="81" spans="1:23">
      <c r="A81" s="1990"/>
      <c r="B81" s="60" t="s">
        <v>739</v>
      </c>
      <c r="C81" s="63">
        <v>60.46</v>
      </c>
      <c r="D81" s="341">
        <f>4107463/1000000</f>
        <v>4.1074630000000001</v>
      </c>
      <c r="E81" s="341">
        <v>1.4</v>
      </c>
      <c r="F81" s="341">
        <f>E81*P6</f>
        <v>1726.8745759999997</v>
      </c>
      <c r="G81" s="341">
        <f t="shared" si="5"/>
        <v>7093.073426560687</v>
      </c>
      <c r="H81" s="341">
        <f t="shared" si="8"/>
        <v>117.31844900034216</v>
      </c>
    </row>
    <row r="82" spans="1:23">
      <c r="A82" s="1990"/>
      <c r="B82" s="60" t="s">
        <v>741</v>
      </c>
      <c r="C82" s="63">
        <v>63.19</v>
      </c>
      <c r="D82" s="341"/>
      <c r="E82" s="341"/>
      <c r="F82" s="341"/>
      <c r="G82" s="341"/>
      <c r="H82" s="341"/>
    </row>
    <row r="83" spans="1:23">
      <c r="A83" s="1990"/>
      <c r="B83" s="60" t="s">
        <v>735</v>
      </c>
      <c r="C83" s="63">
        <v>59.17</v>
      </c>
      <c r="F83" s="330"/>
      <c r="G83" s="330"/>
      <c r="H83" s="330"/>
    </row>
    <row r="84" spans="1:23">
      <c r="A84" s="1990"/>
      <c r="B84" s="60" t="s">
        <v>737</v>
      </c>
      <c r="C84" s="63">
        <v>53.59</v>
      </c>
      <c r="F84" s="330"/>
      <c r="G84" s="330"/>
      <c r="H84" s="330"/>
    </row>
    <row r="85" spans="1:23" s="126" customFormat="1">
      <c r="A85" s="1990"/>
      <c r="B85" s="60" t="s">
        <v>738</v>
      </c>
      <c r="C85" s="63">
        <v>54.41</v>
      </c>
      <c r="D85"/>
      <c r="E85"/>
      <c r="F85" s="330"/>
      <c r="G85" s="330"/>
      <c r="H85" s="330"/>
      <c r="I85" s="177"/>
      <c r="J85" s="177"/>
      <c r="K85" s="177"/>
      <c r="L85" s="177"/>
      <c r="M85" s="177"/>
      <c r="N85" s="177"/>
      <c r="O85" s="177"/>
      <c r="P85" s="177"/>
      <c r="Q85" s="177"/>
      <c r="R85" s="177"/>
      <c r="S85" s="177"/>
      <c r="T85" s="177"/>
      <c r="U85" s="177"/>
      <c r="V85" s="177"/>
      <c r="W85" s="177"/>
    </row>
    <row r="86" spans="1:23">
      <c r="A86" s="1990"/>
      <c r="B86" s="64" t="s">
        <v>742</v>
      </c>
      <c r="C86" s="65" t="s">
        <v>592</v>
      </c>
      <c r="F86" s="330"/>
      <c r="G86" s="330"/>
      <c r="H86" s="330"/>
      <c r="I86" s="177"/>
      <c r="J86" s="177"/>
      <c r="K86" s="177"/>
      <c r="L86" s="177"/>
      <c r="M86" s="177"/>
      <c r="N86" s="177"/>
      <c r="O86" s="177"/>
      <c r="P86" s="177"/>
      <c r="Q86" s="177"/>
      <c r="R86" s="177"/>
      <c r="S86" s="177"/>
      <c r="T86" s="177"/>
      <c r="U86" s="177"/>
      <c r="V86" s="177"/>
      <c r="W86" s="177"/>
    </row>
    <row r="87" spans="1:23">
      <c r="A87" s="1990"/>
      <c r="B87" s="371" t="s">
        <v>740</v>
      </c>
      <c r="C87" s="368">
        <f t="shared" ref="C87:G87" si="11">AVERAGE(C74:C85)</f>
        <v>59.12</v>
      </c>
      <c r="D87" s="368">
        <f t="shared" si="11"/>
        <v>3.6877205000000002</v>
      </c>
      <c r="E87" s="368">
        <f>AVERAGE(E74:E85)</f>
        <v>1.45</v>
      </c>
      <c r="F87" s="368">
        <f t="shared" si="11"/>
        <v>1788.5486679999999</v>
      </c>
      <c r="G87" s="368">
        <f t="shared" si="11"/>
        <v>6569.7803506699838</v>
      </c>
      <c r="H87" s="368">
        <f>AVERAGE(H74:H85)</f>
        <v>108.7793113269224</v>
      </c>
      <c r="I87" s="446">
        <f>D87/C87</f>
        <v>6.2376869079837624E-2</v>
      </c>
      <c r="J87" s="177"/>
      <c r="K87" s="177"/>
      <c r="L87" s="177"/>
      <c r="M87" s="177"/>
      <c r="N87" s="177"/>
      <c r="O87" s="177"/>
      <c r="P87" s="177"/>
      <c r="Q87" s="177"/>
      <c r="R87" s="177"/>
      <c r="S87" s="177"/>
      <c r="T87" s="177"/>
      <c r="U87" s="177"/>
      <c r="V87" s="177"/>
      <c r="W87" s="177"/>
    </row>
    <row r="88" spans="1:23">
      <c r="A88" s="336"/>
      <c r="B88" s="372" t="s">
        <v>257</v>
      </c>
      <c r="C88" s="366">
        <f>STDEV(C74:C85)</f>
        <v>3.0252272641902453</v>
      </c>
      <c r="D88" s="366">
        <f>0.1*D87</f>
        <v>0.36877205000000002</v>
      </c>
      <c r="E88" s="366">
        <f>E87*0.1</f>
        <v>0.14499999999999999</v>
      </c>
      <c r="F88" s="366">
        <f>E88*P6</f>
        <v>178.85486679999997</v>
      </c>
      <c r="G88" s="366">
        <f>G87*SQRT(F88^2/F87^2+D88^2/D87^2)</f>
        <v>929.10724737297596</v>
      </c>
      <c r="H88" s="366">
        <f>H87*SQRT(F88^2/F87^2+D88^2/D87^2+C88^2/C87^2)</f>
        <v>16.359796288364233</v>
      </c>
      <c r="I88" s="177"/>
      <c r="J88" s="177"/>
      <c r="K88" s="177"/>
      <c r="L88" s="177"/>
      <c r="M88" s="177"/>
      <c r="N88" s="177"/>
      <c r="O88" s="177"/>
      <c r="P88" s="177"/>
      <c r="Q88" s="177"/>
      <c r="R88" s="177"/>
      <c r="S88" s="177"/>
      <c r="T88" s="177"/>
      <c r="U88" s="177"/>
      <c r="V88" s="177"/>
      <c r="W88" s="177"/>
    </row>
    <row r="89" spans="1:23" s="288" customFormat="1">
      <c r="A89" s="288" t="s">
        <v>377</v>
      </c>
      <c r="I89" s="177"/>
      <c r="J89" s="177"/>
      <c r="K89" s="177"/>
      <c r="L89" s="177"/>
      <c r="M89" s="177"/>
      <c r="N89" s="177"/>
      <c r="O89" s="177"/>
      <c r="P89" s="177"/>
      <c r="Q89" s="177"/>
      <c r="R89" s="177"/>
      <c r="S89" s="177"/>
      <c r="T89" s="177"/>
      <c r="U89" s="177"/>
      <c r="V89" s="177"/>
      <c r="W89" s="177"/>
    </row>
    <row r="90" spans="1:23" s="288" customFormat="1">
      <c r="A90" s="248" t="s">
        <v>376</v>
      </c>
      <c r="I90" s="177"/>
      <c r="J90" s="177"/>
      <c r="K90" s="177"/>
      <c r="L90" s="177"/>
      <c r="M90" s="177"/>
      <c r="N90" s="177"/>
      <c r="O90" s="177"/>
      <c r="P90" s="177"/>
      <c r="Q90" s="177"/>
      <c r="R90" s="177"/>
      <c r="S90" s="177"/>
      <c r="T90" s="177"/>
      <c r="U90" s="177"/>
      <c r="V90" s="177"/>
      <c r="W90" s="177"/>
    </row>
    <row r="91" spans="1:23" s="288" customFormat="1">
      <c r="A91" s="89" t="s">
        <v>690</v>
      </c>
      <c r="B91" s="72"/>
      <c r="C91" s="72"/>
      <c r="D91" s="72"/>
      <c r="E91" s="72"/>
      <c r="F91" s="72"/>
      <c r="G91" s="72"/>
      <c r="H91" s="72"/>
      <c r="I91" s="363"/>
      <c r="J91" s="363"/>
      <c r="K91" s="363"/>
      <c r="L91" s="363"/>
      <c r="M91" s="177"/>
      <c r="N91" s="177"/>
      <c r="O91" s="363"/>
      <c r="P91" s="363"/>
      <c r="Q91" s="363"/>
      <c r="R91" s="363"/>
      <c r="S91" s="363"/>
      <c r="T91" s="363"/>
      <c r="U91" s="363"/>
      <c r="V91" s="177"/>
      <c r="W91" s="177"/>
    </row>
    <row r="92" spans="1:23">
      <c r="A92" s="1995" t="s">
        <v>371</v>
      </c>
      <c r="B92" s="81">
        <v>2000</v>
      </c>
      <c r="C92" s="82">
        <v>74.266000000000005</v>
      </c>
      <c r="F92" s="330"/>
      <c r="G92" s="330"/>
      <c r="H92" s="330"/>
      <c r="I92" s="177"/>
      <c r="J92" s="177"/>
      <c r="K92" s="177"/>
      <c r="L92" s="177"/>
      <c r="M92" s="177"/>
      <c r="N92" s="177"/>
      <c r="O92" s="177"/>
      <c r="P92" s="177"/>
      <c r="Q92" s="177"/>
      <c r="R92" s="177"/>
      <c r="S92" s="177"/>
      <c r="T92" s="177"/>
      <c r="U92" s="177"/>
      <c r="V92" s="177"/>
      <c r="W92" s="177"/>
    </row>
    <row r="93" spans="1:23">
      <c r="A93" s="1996"/>
      <c r="B93" s="81">
        <v>2001</v>
      </c>
      <c r="C93" s="82">
        <v>74.075000000000003</v>
      </c>
      <c r="F93" s="330"/>
      <c r="G93" s="330"/>
      <c r="H93" s="330"/>
      <c r="I93" s="177"/>
      <c r="J93" s="177"/>
      <c r="K93" s="177"/>
      <c r="L93" s="177"/>
      <c r="M93" s="177"/>
      <c r="N93" s="177"/>
      <c r="O93" s="177"/>
      <c r="P93" s="177"/>
      <c r="Q93" s="177"/>
      <c r="R93" s="177"/>
      <c r="S93" s="177"/>
      <c r="T93" s="177"/>
      <c r="U93" s="177"/>
      <c r="V93" s="177"/>
      <c r="W93" s="177"/>
    </row>
    <row r="94" spans="1:23">
      <c r="A94" s="1996"/>
      <c r="B94" s="81">
        <v>2002</v>
      </c>
      <c r="C94" s="82">
        <v>73.962999999999994</v>
      </c>
      <c r="F94" s="330"/>
      <c r="G94" s="330"/>
      <c r="H94" s="330"/>
    </row>
    <row r="95" spans="1:23">
      <c r="A95" s="1996"/>
      <c r="B95" s="81">
        <v>2003</v>
      </c>
      <c r="C95" s="82">
        <v>73.403999999999996</v>
      </c>
      <c r="D95" s="340">
        <f>5346276/1000000</f>
        <v>5.3462759999999996</v>
      </c>
      <c r="E95" s="340">
        <v>0.8</v>
      </c>
      <c r="F95" s="340">
        <f>E95*P6</f>
        <v>986.78547200000003</v>
      </c>
      <c r="G95" s="340">
        <f t="shared" ref="G95" si="12">F95*D95</f>
        <v>5275.6274861022721</v>
      </c>
      <c r="H95" s="466">
        <f t="shared" ref="H95" si="13">G95/C95</f>
        <v>71.871117188467551</v>
      </c>
    </row>
    <row r="96" spans="1:23">
      <c r="A96" s="1996"/>
      <c r="B96" s="81">
        <v>2004</v>
      </c>
      <c r="C96" s="82">
        <v>75.207999999999998</v>
      </c>
      <c r="D96" s="340"/>
      <c r="E96" s="340"/>
      <c r="F96" s="340"/>
      <c r="G96" s="340"/>
      <c r="H96" s="340"/>
    </row>
    <row r="97" spans="1:9">
      <c r="A97" s="1996"/>
      <c r="B97" s="81">
        <v>2005</v>
      </c>
      <c r="C97" s="82">
        <v>72.031999999999996</v>
      </c>
      <c r="D97" s="340"/>
      <c r="E97" s="340"/>
      <c r="F97" s="340"/>
      <c r="G97" s="340"/>
      <c r="H97" s="340"/>
    </row>
    <row r="98" spans="1:9">
      <c r="A98" s="1996"/>
      <c r="B98" s="81">
        <v>2006</v>
      </c>
      <c r="C98" s="82">
        <v>75.522000000000006</v>
      </c>
      <c r="D98" s="340"/>
      <c r="E98" s="340"/>
      <c r="F98" s="340"/>
      <c r="G98" s="340"/>
      <c r="H98" s="340"/>
    </row>
    <row r="99" spans="1:9">
      <c r="A99" s="1996"/>
      <c r="B99" s="81">
        <v>2007</v>
      </c>
      <c r="C99" s="82">
        <v>64.741</v>
      </c>
      <c r="D99" s="340"/>
      <c r="E99" s="340"/>
      <c r="F99" s="340"/>
      <c r="G99" s="340"/>
      <c r="H99" s="340"/>
    </row>
    <row r="100" spans="1:9">
      <c r="A100" s="1996"/>
      <c r="B100" s="81">
        <v>2008</v>
      </c>
      <c r="C100" s="82">
        <v>75.718000000000004</v>
      </c>
      <c r="D100" s="340">
        <f>7044546/1000000</f>
        <v>7.0445460000000004</v>
      </c>
      <c r="E100" s="340">
        <v>0.7</v>
      </c>
      <c r="F100" s="340">
        <f>E100*P6</f>
        <v>863.43728799999985</v>
      </c>
      <c r="G100" s="340">
        <f>F100*D100</f>
        <v>6082.523693431247</v>
      </c>
      <c r="H100" s="466">
        <f>G100/C100</f>
        <v>80.331277812821881</v>
      </c>
    </row>
    <row r="101" spans="1:9">
      <c r="A101" s="1996"/>
      <c r="B101" s="81">
        <v>2009</v>
      </c>
      <c r="C101" s="82">
        <v>77.450999999999993</v>
      </c>
      <c r="D101" s="340"/>
      <c r="E101" s="340"/>
      <c r="F101" s="340"/>
      <c r="G101" s="340"/>
      <c r="H101" s="340"/>
    </row>
    <row r="102" spans="1:9">
      <c r="A102" s="1996"/>
      <c r="B102" s="84" t="s">
        <v>567</v>
      </c>
      <c r="C102" s="85">
        <v>77.403999999999996</v>
      </c>
      <c r="F102" s="330"/>
      <c r="G102" s="330"/>
      <c r="H102" s="330"/>
    </row>
    <row r="103" spans="1:9">
      <c r="A103" s="1996"/>
      <c r="B103" s="395" t="s">
        <v>740</v>
      </c>
      <c r="C103" s="368">
        <f>AVERAGE(C92:C102)</f>
        <v>73.98036363636362</v>
      </c>
      <c r="D103" s="368">
        <f t="shared" ref="D103:G103" si="14">AVERAGE(D92:D102)</f>
        <v>6.195411</v>
      </c>
      <c r="E103" s="368">
        <f t="shared" si="14"/>
        <v>0.75</v>
      </c>
      <c r="F103" s="368">
        <f t="shared" si="14"/>
        <v>925.11137999999994</v>
      </c>
      <c r="G103" s="368">
        <f t="shared" si="14"/>
        <v>5679.0755897667595</v>
      </c>
      <c r="H103" s="464">
        <f>AVERAGE(H92:H102)</f>
        <v>76.101197500644716</v>
      </c>
      <c r="I103" s="447">
        <f>D103/C103</f>
        <v>8.3743992263303299E-2</v>
      </c>
    </row>
    <row r="104" spans="1:9" s="130" customFormat="1" ht="16" thickBot="1">
      <c r="A104" s="1997"/>
      <c r="B104" s="459" t="s">
        <v>257</v>
      </c>
      <c r="C104" s="366">
        <f>STDEV(C92:C102)</f>
        <v>3.4677762117163002</v>
      </c>
      <c r="D104" s="366">
        <f>0.1*D103</f>
        <v>0.61954110000000007</v>
      </c>
      <c r="E104" s="366">
        <f>E103*0.1</f>
        <v>7.5000000000000011E-2</v>
      </c>
      <c r="F104" s="366">
        <f>E104*P6</f>
        <v>92.511138000000003</v>
      </c>
      <c r="G104" s="366">
        <f>G103*SQRT(F104^2/F103^2+D104^2/D103^2)</f>
        <v>803.14257207901358</v>
      </c>
      <c r="H104" s="728">
        <f>H103*SQRT(F104^2/F103^2+D104^2/D103^2+C104^2/C103^2)</f>
        <v>11.338107467412089</v>
      </c>
      <c r="I104" s="453"/>
    </row>
    <row r="105" spans="1:9" s="430" customFormat="1">
      <c r="A105" s="429"/>
      <c r="B105" s="437" t="s">
        <v>571</v>
      </c>
    </row>
    <row r="107" spans="1:9">
      <c r="A107" s="1984" t="s">
        <v>317</v>
      </c>
      <c r="B107" s="317"/>
    </row>
    <row r="108" spans="1:9">
      <c r="A108" s="1984"/>
      <c r="B108" s="317" t="s">
        <v>445</v>
      </c>
      <c r="C108" s="440">
        <f>'crop yields'!L8</f>
        <v>6.2069374449339207</v>
      </c>
    </row>
    <row r="109" spans="1:9">
      <c r="A109" s="1984"/>
      <c r="B109" s="317" t="s">
        <v>545</v>
      </c>
      <c r="C109" s="440">
        <f>'crop yields'!L9</f>
        <v>7.3494881494270912</v>
      </c>
      <c r="D109" s="440">
        <v>1.311674</v>
      </c>
      <c r="E109">
        <v>2.2000000000000002</v>
      </c>
      <c r="F109" s="442">
        <f>E109*P6</f>
        <v>2713.6600480000002</v>
      </c>
      <c r="G109" s="442">
        <f>F109*D109</f>
        <v>3559.4373298003525</v>
      </c>
      <c r="H109" s="440">
        <f>G109/C109</f>
        <v>484.31091491423365</v>
      </c>
      <c r="I109" s="391">
        <f>D109/C109</f>
        <v>0.17847147628944035</v>
      </c>
    </row>
    <row r="110" spans="1:9">
      <c r="A110" s="1984"/>
      <c r="B110" s="317" t="s">
        <v>547</v>
      </c>
      <c r="C110" s="440">
        <f>'crop yields'!L10</f>
        <v>6.6743656919524801</v>
      </c>
      <c r="D110" s="440"/>
      <c r="F110" s="443"/>
      <c r="G110" s="443"/>
      <c r="H110" s="440"/>
    </row>
    <row r="111" spans="1:9">
      <c r="A111" s="1984"/>
      <c r="B111" s="317" t="s">
        <v>548</v>
      </c>
      <c r="C111" s="440">
        <f>'crop yields'!L11</f>
        <v>6.19259304921487</v>
      </c>
      <c r="D111" s="440"/>
      <c r="F111" s="443"/>
      <c r="G111" s="443"/>
      <c r="H111" s="440"/>
    </row>
    <row r="112" spans="1:9">
      <c r="A112" s="1984"/>
      <c r="B112" s="164" t="s">
        <v>434</v>
      </c>
      <c r="C112" s="440">
        <f>'crop yields'!L12</f>
        <v>5.9834102405922263</v>
      </c>
      <c r="D112" s="440"/>
      <c r="F112" s="443"/>
      <c r="G112" s="443"/>
      <c r="H112" s="440"/>
    </row>
    <row r="113" spans="1:9">
      <c r="A113" s="1984"/>
      <c r="B113" s="5" t="s">
        <v>730</v>
      </c>
      <c r="C113" s="440">
        <f>'crop yields'!L13</f>
        <v>6.5881819596250342</v>
      </c>
      <c r="D113" s="440"/>
      <c r="F113" s="443"/>
      <c r="G113" s="443"/>
      <c r="H113" s="440"/>
    </row>
    <row r="114" spans="1:9">
      <c r="A114" s="1984"/>
      <c r="B114" s="5" t="s">
        <v>739</v>
      </c>
      <c r="C114" s="440">
        <f>'crop yields'!L14</f>
        <v>6.1221840570317561</v>
      </c>
      <c r="D114" s="440">
        <v>1.63354</v>
      </c>
      <c r="E114">
        <v>2.1</v>
      </c>
      <c r="F114" s="442">
        <f>E114*P6</f>
        <v>2590.3118639999998</v>
      </c>
      <c r="G114" s="442">
        <f>F114*D114</f>
        <v>4231.3780423185599</v>
      </c>
      <c r="H114" s="440">
        <f>G114/C114</f>
        <v>691.15498699496413</v>
      </c>
    </row>
    <row r="115" spans="1:9">
      <c r="A115" s="1984"/>
      <c r="B115" s="5" t="s">
        <v>741</v>
      </c>
      <c r="C115" s="440">
        <f>'crop yields'!L15</f>
        <v>6.0669627964748338</v>
      </c>
      <c r="H115" s="440"/>
    </row>
    <row r="116" spans="1:9">
      <c r="A116" s="1984"/>
      <c r="B116" s="5" t="s">
        <v>735</v>
      </c>
      <c r="C116" s="440">
        <f>'crop yields'!L16</f>
        <v>5.6896398143251661</v>
      </c>
    </row>
    <row r="117" spans="1:9" ht="16" thickBot="1">
      <c r="A117" s="1984"/>
      <c r="B117" s="5" t="s">
        <v>737</v>
      </c>
      <c r="C117" s="440">
        <f>'crop yields'!L17</f>
        <v>5.6420438534998913</v>
      </c>
    </row>
    <row r="118" spans="1:9" ht="16" thickTop="1">
      <c r="B118" s="458" t="s">
        <v>740</v>
      </c>
      <c r="C118" s="460">
        <f>AVERAGE(C108:C117)</f>
        <v>6.2515807057077275</v>
      </c>
      <c r="D118" s="460">
        <f t="shared" ref="D118:H118" si="15">AVERAGE(D108:D117)</f>
        <v>1.472607</v>
      </c>
      <c r="E118" s="460">
        <f t="shared" si="15"/>
        <v>2.1500000000000004</v>
      </c>
      <c r="F118" s="460">
        <f t="shared" si="15"/>
        <v>2651.985956</v>
      </c>
      <c r="G118" s="460">
        <f t="shared" si="15"/>
        <v>3895.407686059456</v>
      </c>
      <c r="H118" s="460">
        <f t="shared" si="15"/>
        <v>587.73295095459889</v>
      </c>
      <c r="I118" s="446">
        <f>D118/C118</f>
        <v>0.23555754445519703</v>
      </c>
    </row>
    <row r="119" spans="1:9" s="130" customFormat="1" ht="16" thickBot="1">
      <c r="A119" s="438"/>
      <c r="B119" s="459" t="s">
        <v>257</v>
      </c>
      <c r="C119" s="366">
        <f>STDEV(C108:C117)</f>
        <v>0.50694907383108256</v>
      </c>
      <c r="D119" s="366">
        <f>0.1*D118</f>
        <v>0.14726069999999999</v>
      </c>
      <c r="E119" s="366">
        <f>E118*0.1</f>
        <v>0.21500000000000005</v>
      </c>
      <c r="F119" s="366">
        <f>E119*P6</f>
        <v>265.19859560000003</v>
      </c>
      <c r="G119" s="366">
        <f>G118*SQRT(F119^2/F118^2+D119^2/D118^2)</f>
        <v>550.89383805976797</v>
      </c>
      <c r="H119" s="728">
        <f>H118*SQRT(F119^2/F118^2+D119^2/D118^2+C119^2/C118^2)</f>
        <v>95.8127402657055</v>
      </c>
      <c r="I119" s="457"/>
    </row>
    <row r="121" spans="1:9">
      <c r="A121" s="1984" t="s">
        <v>518</v>
      </c>
      <c r="B121" s="317" t="s">
        <v>445</v>
      </c>
      <c r="C121" s="439">
        <f>'crop yields'!L23</f>
        <v>0.40390728921733277</v>
      </c>
    </row>
    <row r="122" spans="1:9">
      <c r="A122" s="1984"/>
      <c r="B122" s="317" t="s">
        <v>545</v>
      </c>
      <c r="C122" s="439">
        <f>'crop yields'!L24</f>
        <v>0.51935643170051771</v>
      </c>
    </row>
    <row r="123" spans="1:9">
      <c r="A123" s="1984"/>
      <c r="B123" s="317" t="s">
        <v>547</v>
      </c>
      <c r="C123" s="439">
        <f>'crop yields'!L25</f>
        <v>0.39688736027515048</v>
      </c>
    </row>
    <row r="124" spans="1:9">
      <c r="A124" s="1984"/>
      <c r="B124" s="317" t="s">
        <v>548</v>
      </c>
      <c r="C124" s="439">
        <f>'crop yields'!L26</f>
        <v>0.38361799388557277</v>
      </c>
    </row>
    <row r="125" spans="1:9">
      <c r="A125" s="1984"/>
      <c r="B125" s="164" t="s">
        <v>434</v>
      </c>
      <c r="C125" s="439">
        <f>'crop yields'!L27</f>
        <v>0.33150718889439762</v>
      </c>
    </row>
    <row r="126" spans="1:9">
      <c r="A126" s="1984"/>
      <c r="B126" s="5" t="s">
        <v>730</v>
      </c>
      <c r="C126" s="439">
        <f>'crop yields'!L28</f>
        <v>0.42792509930017014</v>
      </c>
    </row>
    <row r="127" spans="1:9">
      <c r="A127" s="1984"/>
      <c r="B127" s="5" t="s">
        <v>739</v>
      </c>
      <c r="C127" s="439">
        <f>'crop yields'!L29</f>
        <v>0.42081871345029237</v>
      </c>
    </row>
    <row r="128" spans="1:9">
      <c r="A128" s="1984"/>
      <c r="B128" s="5" t="s">
        <v>741</v>
      </c>
      <c r="C128" s="439">
        <f>'crop yields'!L30</f>
        <v>0.43998958061995302</v>
      </c>
    </row>
    <row r="129" spans="1:10">
      <c r="A129" s="1984"/>
      <c r="B129" s="5" t="s">
        <v>735</v>
      </c>
      <c r="C129" s="439">
        <f>'crop yields'!L31</f>
        <v>0.29165569795635615</v>
      </c>
    </row>
    <row r="130" spans="1:10">
      <c r="A130" s="1984"/>
      <c r="B130" s="5" t="s">
        <v>737</v>
      </c>
      <c r="C130" s="439">
        <f>'crop yields'!L32</f>
        <v>0.29002557544757041</v>
      </c>
    </row>
    <row r="131" spans="1:10">
      <c r="B131" s="169" t="s">
        <v>740</v>
      </c>
      <c r="D131" s="461" t="s">
        <v>364</v>
      </c>
      <c r="E131" s="395"/>
      <c r="F131" s="395"/>
      <c r="G131" s="395"/>
      <c r="H131" s="395"/>
      <c r="I131" s="395"/>
    </row>
    <row r="132" spans="1:10">
      <c r="B132" s="169" t="s">
        <v>257</v>
      </c>
      <c r="C132" s="395"/>
      <c r="D132" s="395"/>
      <c r="E132" s="395"/>
      <c r="F132" s="395"/>
      <c r="G132" s="395"/>
      <c r="H132" s="395"/>
      <c r="I132" s="395"/>
    </row>
    <row r="133" spans="1:10" s="130" customFormat="1" ht="16" thickBot="1">
      <c r="A133" s="438"/>
    </row>
    <row r="134" spans="1:10" ht="16" thickTop="1">
      <c r="A134" s="1985" t="s">
        <v>360</v>
      </c>
    </row>
    <row r="135" spans="1:10">
      <c r="A135" s="1986"/>
      <c r="B135" s="288">
        <v>2003</v>
      </c>
      <c r="D135" s="933">
        <f>6204874/1000000</f>
        <v>6.2048740000000002</v>
      </c>
      <c r="E135">
        <v>2.2999999999999998</v>
      </c>
      <c r="F135" s="442">
        <f>E135*P6</f>
        <v>2837.0082319999997</v>
      </c>
      <c r="G135" s="442">
        <f>F135*D135</f>
        <v>17603.278616522766</v>
      </c>
    </row>
    <row r="136" spans="1:10">
      <c r="A136" s="1986"/>
      <c r="B136" s="288">
        <v>2008</v>
      </c>
      <c r="D136" s="933">
        <f>6187983/1000000</f>
        <v>6.187983</v>
      </c>
      <c r="E136">
        <v>2.4</v>
      </c>
      <c r="F136" s="442">
        <f>E136*P6</f>
        <v>2960.3564159999996</v>
      </c>
      <c r="G136" s="442">
        <f>F136*D136</f>
        <v>18318.635176148924</v>
      </c>
    </row>
    <row r="137" spans="1:10">
      <c r="A137" s="1986"/>
      <c r="B137" s="288" t="s">
        <v>740</v>
      </c>
      <c r="D137" s="729">
        <f>AVERAGE(D135:D136)</f>
        <v>6.1964284999999997</v>
      </c>
      <c r="E137" s="729">
        <f>AVERAGE(E135:E136)</f>
        <v>2.3499999999999996</v>
      </c>
      <c r="F137" s="442">
        <f>E137*P6</f>
        <v>2898.6823239999994</v>
      </c>
      <c r="G137" s="768">
        <f>AVERAGE(G135:G136)</f>
        <v>17960.956896335847</v>
      </c>
    </row>
    <row r="138" spans="1:10">
      <c r="A138" s="1987"/>
      <c r="B138" s="126" t="s">
        <v>257</v>
      </c>
      <c r="C138" s="126"/>
      <c r="D138" s="730">
        <f>0.1*D137</f>
        <v>0.61964284999999997</v>
      </c>
      <c r="E138" s="730">
        <f>0.1*E137</f>
        <v>0.23499999999999999</v>
      </c>
      <c r="F138" s="1077">
        <f>E138*P6</f>
        <v>289.86823239999995</v>
      </c>
      <c r="G138" s="769">
        <f>G137*SQRT(F138^2/F137^2+D138^2/D137^2)</f>
        <v>2540.0628835996727</v>
      </c>
      <c r="H138" s="126"/>
      <c r="I138" s="126"/>
      <c r="J138" s="126"/>
    </row>
    <row r="140" spans="1:10">
      <c r="A140" s="1988" t="s">
        <v>361</v>
      </c>
      <c r="B140" s="177">
        <v>2003</v>
      </c>
      <c r="C140" s="177"/>
      <c r="D140" s="930">
        <v>3.246</v>
      </c>
      <c r="E140" s="177">
        <v>1.7</v>
      </c>
      <c r="F140" s="442">
        <f>E140*P6</f>
        <v>2096.919128</v>
      </c>
      <c r="G140" s="442">
        <f>F140*D140</f>
        <v>6806.5994894879996</v>
      </c>
      <c r="H140" s="177"/>
      <c r="I140" s="177"/>
    </row>
    <row r="141" spans="1:10">
      <c r="A141" s="1988"/>
      <c r="B141" s="177">
        <v>2008</v>
      </c>
      <c r="C141" s="177"/>
      <c r="D141" s="930">
        <v>3.3519999999999999</v>
      </c>
      <c r="E141" s="177">
        <v>1.8</v>
      </c>
      <c r="F141" s="442">
        <f>E141*P6</f>
        <v>2220.2673119999999</v>
      </c>
      <c r="G141" s="442">
        <f>F141*D141</f>
        <v>7442.3360298239995</v>
      </c>
      <c r="H141" s="177"/>
      <c r="I141" s="177"/>
    </row>
    <row r="142" spans="1:10">
      <c r="A142" s="1988"/>
      <c r="B142" s="177" t="s">
        <v>740</v>
      </c>
      <c r="C142" s="177"/>
      <c r="D142" s="729">
        <f>AVERAGE(D140:D141)</f>
        <v>3.2989999999999999</v>
      </c>
      <c r="E142" s="729">
        <f>AVERAGE(E140:E141)</f>
        <v>1.75</v>
      </c>
      <c r="F142" s="442">
        <f>E142*P6</f>
        <v>2158.5932199999997</v>
      </c>
      <c r="G142" s="775">
        <f>AVERAGE(G140:G141)</f>
        <v>7124.4677596559995</v>
      </c>
      <c r="H142" s="177"/>
      <c r="I142" s="177"/>
    </row>
    <row r="143" spans="1:10">
      <c r="A143" s="1989"/>
      <c r="B143" s="126" t="s">
        <v>257</v>
      </c>
      <c r="C143" s="126"/>
      <c r="D143" s="730">
        <f>0.1*D142</f>
        <v>0.32990000000000003</v>
      </c>
      <c r="E143" s="730">
        <f>0.1*E142</f>
        <v>0.17500000000000002</v>
      </c>
      <c r="F143" s="1077">
        <f>E143*P6</f>
        <v>215.85932200000002</v>
      </c>
      <c r="G143" s="770">
        <f>G142*SQRT(F143^2/F142^2+D143^2/D142^2)</f>
        <v>1007.5518930395376</v>
      </c>
      <c r="H143" s="126"/>
      <c r="I143" s="126"/>
      <c r="J143" s="126"/>
    </row>
    <row r="145" spans="1:11">
      <c r="A145" s="1980" t="s">
        <v>362</v>
      </c>
      <c r="B145" s="288">
        <v>2003</v>
      </c>
      <c r="D145" s="440">
        <f>D140+D135</f>
        <v>9.4508740000000007</v>
      </c>
      <c r="G145" s="441">
        <f>G135+G140</f>
        <v>24409.878106010765</v>
      </c>
    </row>
    <row r="146" spans="1:11">
      <c r="A146" s="1980"/>
      <c r="B146" s="288">
        <v>2008</v>
      </c>
      <c r="D146" s="440">
        <f>D141+D136</f>
        <v>9.5399829999999994</v>
      </c>
      <c r="G146" s="441">
        <f>G136+G141</f>
        <v>25760.971205972925</v>
      </c>
    </row>
    <row r="147" spans="1:11">
      <c r="A147" s="1980"/>
      <c r="B147" s="395" t="s">
        <v>740</v>
      </c>
      <c r="C147" s="454">
        <f>ProcessedRoughage!D15/1000</f>
        <v>62.748410000000007</v>
      </c>
      <c r="D147" s="454">
        <f>AVERAGE(D145:D146)</f>
        <v>9.4954284999999992</v>
      </c>
      <c r="E147" s="454"/>
      <c r="F147" s="454"/>
      <c r="G147" s="455">
        <f>AVERAGE(G145:G146)</f>
        <v>25085.424655991847</v>
      </c>
      <c r="H147" s="455">
        <f>G147/C147</f>
        <v>399.77785343073782</v>
      </c>
      <c r="I147" s="456">
        <f>D147/C147</f>
        <v>0.15132540410187284</v>
      </c>
    </row>
    <row r="148" spans="1:11" s="130" customFormat="1" ht="16" thickBot="1">
      <c r="A148" s="1980"/>
      <c r="B148" s="457" t="s">
        <v>257</v>
      </c>
      <c r="C148" s="731">
        <f>0.1*C147</f>
        <v>6.2748410000000012</v>
      </c>
      <c r="D148" s="457">
        <f>0.1*D147</f>
        <v>0.94954284999999994</v>
      </c>
      <c r="E148" s="457"/>
      <c r="F148" s="457"/>
      <c r="G148" s="732">
        <f>SQRT(G138^2+G143^2)</f>
        <v>2732.5958848333648</v>
      </c>
      <c r="H148" s="732">
        <f>H147*SQRT(G148^2/G147^2+C148^2/C147^2)</f>
        <v>59.115908728358875</v>
      </c>
      <c r="I148" s="457"/>
    </row>
    <row r="149" spans="1:11" s="492" customFormat="1">
      <c r="A149" s="489"/>
      <c r="B149" s="490" t="s">
        <v>494</v>
      </c>
      <c r="C149" s="491"/>
      <c r="D149" s="491"/>
      <c r="E149" s="491"/>
      <c r="F149" s="491"/>
      <c r="G149" s="491"/>
      <c r="H149" s="491"/>
      <c r="I149" s="491"/>
    </row>
    <row r="150" spans="1:11">
      <c r="A150" s="1980" t="s">
        <v>494</v>
      </c>
    </row>
    <row r="151" spans="1:11">
      <c r="A151" s="1980"/>
      <c r="B151" s="288">
        <v>2003</v>
      </c>
      <c r="D151">
        <v>3.629</v>
      </c>
      <c r="E151">
        <v>1.7</v>
      </c>
      <c r="F151" s="442">
        <f>E151*P6</f>
        <v>2096.919128</v>
      </c>
      <c r="G151" s="442">
        <f>F151*D151</f>
        <v>7609.7195155119998</v>
      </c>
    </row>
    <row r="152" spans="1:11">
      <c r="A152" s="1980"/>
      <c r="B152" s="288">
        <v>2008</v>
      </c>
      <c r="D152">
        <v>3.6110000000000002</v>
      </c>
      <c r="E152">
        <v>1.6</v>
      </c>
      <c r="F152" s="442">
        <f>E152*P6</f>
        <v>1973.5709440000001</v>
      </c>
      <c r="G152" s="442">
        <f>F152*D152</f>
        <v>7126.5646787840005</v>
      </c>
    </row>
    <row r="153" spans="1:11">
      <c r="A153" s="1980"/>
      <c r="B153" s="487" t="s">
        <v>740</v>
      </c>
      <c r="C153" s="734">
        <f>Pasture!F16</f>
        <v>767</v>
      </c>
      <c r="D153" s="734">
        <f>AVERAGE(D151:D152)</f>
        <v>3.62</v>
      </c>
      <c r="E153" s="734">
        <f t="shared" ref="E153" si="16">AVERAGE(E151:E152)</f>
        <v>1.65</v>
      </c>
      <c r="F153" s="735">
        <f>AVERAGE(F151:F152)</f>
        <v>2035.245036</v>
      </c>
      <c r="G153" s="735">
        <f>AVERAGE(G151:G152)</f>
        <v>7368.1420971480002</v>
      </c>
      <c r="H153" s="734">
        <f>G153/C153</f>
        <v>9.606443412187744</v>
      </c>
      <c r="I153" s="486">
        <f>D153/C153</f>
        <v>4.7196870925684488E-3</v>
      </c>
    </row>
    <row r="154" spans="1:11" s="130" customFormat="1" ht="16" thickBot="1">
      <c r="A154" s="1980"/>
      <c r="B154" s="488" t="s">
        <v>257</v>
      </c>
      <c r="C154" s="736">
        <f>0.1*C153</f>
        <v>76.7</v>
      </c>
      <c r="D154" s="736">
        <f t="shared" ref="D154:E154" si="17">0.1*D153</f>
        <v>0.36200000000000004</v>
      </c>
      <c r="E154" s="736">
        <f t="shared" si="17"/>
        <v>0.16500000000000001</v>
      </c>
      <c r="F154" s="733">
        <f>E154*P6</f>
        <v>203.5245036</v>
      </c>
      <c r="G154" s="737">
        <f>G153*SQRT(F154^2/F153^2+D154^2/D153^2)</f>
        <v>1042.0126483278843</v>
      </c>
      <c r="H154" s="738">
        <f>H153*SQRT(G154^2/G153^2+C154^2/C153^2)</f>
        <v>1.6638848069944505</v>
      </c>
    </row>
    <row r="159" spans="1:11" ht="19">
      <c r="C159" s="1190"/>
      <c r="D159" s="1190"/>
      <c r="E159" s="1190"/>
      <c r="F159" s="1190"/>
      <c r="G159" s="1190"/>
      <c r="H159" s="1190"/>
    </row>
    <row r="160" spans="1:11" ht="19">
      <c r="C160" s="1191" t="s">
        <v>753</v>
      </c>
      <c r="D160" s="1197"/>
      <c r="E160" s="1192"/>
      <c r="F160" s="1192"/>
      <c r="G160" s="1192"/>
      <c r="H160" s="1192"/>
      <c r="I160" s="674"/>
      <c r="J160" s="674"/>
      <c r="K160" s="1193"/>
    </row>
    <row r="161" spans="3:11" ht="19">
      <c r="C161" s="1200">
        <f>410000000000*365.2</f>
        <v>149732000000000</v>
      </c>
      <c r="D161" s="1198" t="s">
        <v>754</v>
      </c>
      <c r="E161" s="1192"/>
      <c r="F161" s="1192"/>
      <c r="G161" s="1192"/>
      <c r="H161" s="1192"/>
      <c r="I161" s="674"/>
      <c r="J161" s="674"/>
      <c r="K161" s="1193"/>
    </row>
    <row r="162" spans="3:11" ht="19">
      <c r="C162" s="1201">
        <v>264.17200000000003</v>
      </c>
      <c r="D162" s="1194" t="s">
        <v>755</v>
      </c>
      <c r="E162" s="1195"/>
      <c r="F162" s="1195"/>
      <c r="G162" s="1195"/>
      <c r="H162" s="1195"/>
      <c r="I162" s="177"/>
      <c r="J162" s="177"/>
      <c r="K162" s="911"/>
    </row>
    <row r="163" spans="3:11" ht="19">
      <c r="C163" s="1201">
        <f>C161/C162</f>
        <v>566797389579.51636</v>
      </c>
      <c r="D163" s="1194" t="s">
        <v>756</v>
      </c>
      <c r="E163" s="1195"/>
      <c r="F163" s="1195"/>
      <c r="G163" s="1195"/>
      <c r="H163" s="1195"/>
      <c r="I163" s="177"/>
      <c r="J163" s="177"/>
      <c r="K163" s="911"/>
    </row>
    <row r="164" spans="3:11" ht="19">
      <c r="C164" s="1201">
        <f>296000000</f>
        <v>296000000</v>
      </c>
      <c r="D164" s="1194" t="s">
        <v>757</v>
      </c>
      <c r="E164" s="1195"/>
      <c r="F164" s="1195"/>
      <c r="G164" s="1195"/>
      <c r="H164" s="1195"/>
      <c r="I164" s="177"/>
      <c r="J164" s="177"/>
      <c r="K164" s="911"/>
    </row>
    <row r="165" spans="3:11" ht="19">
      <c r="C165" s="1202">
        <f>C163/C164</f>
        <v>1914.8560458767445</v>
      </c>
      <c r="D165" s="1199" t="s">
        <v>758</v>
      </c>
      <c r="E165" s="1196"/>
      <c r="F165" s="1196"/>
      <c r="G165" s="1196"/>
      <c r="H165" s="1196"/>
      <c r="I165" s="126"/>
      <c r="J165" s="126"/>
      <c r="K165" s="913"/>
    </row>
    <row r="166" spans="3:11" ht="19">
      <c r="C166" s="1190"/>
      <c r="D166" s="1190"/>
      <c r="E166" s="1190"/>
      <c r="F166" s="1190"/>
      <c r="G166" s="1190"/>
      <c r="H166" s="1190"/>
    </row>
    <row r="167" spans="3:11" ht="19">
      <c r="C167" s="1190"/>
      <c r="D167" s="1190"/>
      <c r="E167" s="1190"/>
      <c r="F167" s="1190"/>
      <c r="G167" s="1190"/>
      <c r="H167" s="1190"/>
    </row>
  </sheetData>
  <mergeCells count="13">
    <mergeCell ref="A150:A154"/>
    <mergeCell ref="A11:A25"/>
    <mergeCell ref="A121:A130"/>
    <mergeCell ref="A134:A138"/>
    <mergeCell ref="A140:A143"/>
    <mergeCell ref="A145:A148"/>
    <mergeCell ref="A107:A117"/>
    <mergeCell ref="A74:A87"/>
    <mergeCell ref="A73:H73"/>
    <mergeCell ref="A55:A69"/>
    <mergeCell ref="A40:A54"/>
    <mergeCell ref="A26:A39"/>
    <mergeCell ref="A92:A104"/>
  </mergeCells>
  <phoneticPr fontId="107" type="noConversion"/>
  <hyperlinks>
    <hyperlink ref="A8" r:id="rId1" xr:uid="{00000000-0004-0000-0A00-000000000000}"/>
    <hyperlink ref="A71" r:id="rId2" xr:uid="{00000000-0004-0000-0A00-000001000000}"/>
    <hyperlink ref="A90" r:id="rId3" xr:uid="{00000000-0004-0000-0A00-000002000000}"/>
    <hyperlink ref="B4" r:id="rId4" xr:uid="{00000000-0004-0000-0A00-000003000000}"/>
  </hyperlinks>
  <pageMargins left="0.7" right="0.7" top="0.75" bottom="0.75" header="0.3" footer="0.3"/>
  <legacyDrawing r:id="rId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Q71"/>
  <sheetViews>
    <sheetView workbookViewId="0">
      <pane xSplit="2" ySplit="6" topLeftCell="C46" activePane="bottomRight" state="frozen"/>
      <selection activeCell="E16" sqref="E16"/>
      <selection pane="topRight" activeCell="E16" sqref="E16"/>
      <selection pane="bottomLeft" activeCell="E16" sqref="E16"/>
      <selection pane="bottomRight" activeCell="H20" sqref="H20"/>
    </sheetView>
  </sheetViews>
  <sheetFormatPr baseColWidth="10" defaultColWidth="8.83203125" defaultRowHeight="15"/>
  <cols>
    <col min="1" max="1" width="8.83203125" style="326"/>
    <col min="2" max="4" width="8.83203125" style="288"/>
    <col min="5" max="5" width="10" style="288" bestFit="1" customWidth="1"/>
    <col min="6" max="6" width="10" style="288" customWidth="1"/>
    <col min="7" max="7" width="8.83203125" style="171"/>
    <col min="8" max="8" width="10" style="288" customWidth="1"/>
    <col min="9" max="10" width="9.1640625" style="288" customWidth="1"/>
    <col min="11" max="12" width="10" style="288" customWidth="1"/>
    <col min="13" max="14" width="8.83203125" style="288"/>
    <col min="15" max="15" width="10" style="288" customWidth="1"/>
    <col min="17" max="17" width="17.6640625" bestFit="1" customWidth="1"/>
  </cols>
  <sheetData>
    <row r="1" spans="1:17" s="124" customFormat="1">
      <c r="A1" s="319" t="s">
        <v>626</v>
      </c>
      <c r="B1" s="177"/>
      <c r="C1" s="177"/>
      <c r="D1" s="288"/>
      <c r="E1" s="288"/>
      <c r="F1" s="288"/>
      <c r="G1" s="171"/>
      <c r="H1" s="288"/>
      <c r="I1" s="288"/>
      <c r="J1" s="288"/>
      <c r="K1" s="426" t="s">
        <v>525</v>
      </c>
      <c r="L1" s="419"/>
      <c r="M1" s="419"/>
      <c r="N1" s="419"/>
      <c r="O1" s="420"/>
    </row>
    <row r="2" spans="1:17" s="124" customFormat="1">
      <c r="A2" s="320" t="s">
        <v>501</v>
      </c>
      <c r="B2" s="177"/>
      <c r="C2" s="177"/>
      <c r="D2" s="288"/>
      <c r="E2" s="288"/>
      <c r="F2" s="288"/>
      <c r="G2" s="171"/>
      <c r="H2" s="288"/>
      <c r="I2" s="288"/>
      <c r="J2" s="288"/>
      <c r="K2" s="222" t="s">
        <v>419</v>
      </c>
      <c r="L2" s="177"/>
      <c r="M2" s="177"/>
      <c r="N2" s="177"/>
      <c r="O2" s="421"/>
    </row>
    <row r="3" spans="1:17" s="124" customFormat="1">
      <c r="A3" s="321" t="s">
        <v>502</v>
      </c>
      <c r="B3" s="177"/>
      <c r="C3" s="177"/>
      <c r="D3" s="288"/>
      <c r="E3" s="288"/>
      <c r="F3" s="288"/>
      <c r="G3" s="171"/>
      <c r="H3" s="288"/>
      <c r="I3" s="288"/>
      <c r="J3" s="288"/>
      <c r="K3" s="422" t="s">
        <v>320</v>
      </c>
      <c r="L3" s="177"/>
      <c r="M3" s="177"/>
      <c r="N3" s="177"/>
      <c r="O3" s="421"/>
    </row>
    <row r="4" spans="1:17" s="124" customFormat="1" ht="16" thickBot="1">
      <c r="A4" s="320"/>
      <c r="B4" s="177"/>
      <c r="C4" s="177"/>
      <c r="D4" s="288"/>
      <c r="E4" s="288"/>
      <c r="F4" s="288"/>
      <c r="G4" s="171"/>
      <c r="H4" s="288"/>
      <c r="I4" s="288"/>
      <c r="J4" s="288"/>
      <c r="K4" s="423" t="s">
        <v>614</v>
      </c>
      <c r="L4" s="424"/>
      <c r="M4" s="424"/>
      <c r="N4" s="424"/>
      <c r="O4" s="425"/>
    </row>
    <row r="5" spans="1:17" ht="14.5" customHeight="1">
      <c r="A5" s="328" t="s">
        <v>630</v>
      </c>
      <c r="B5" s="157"/>
      <c r="C5" s="157"/>
      <c r="D5" s="157"/>
      <c r="E5" s="157"/>
      <c r="F5" s="157"/>
      <c r="H5" s="157"/>
      <c r="I5" s="157"/>
      <c r="J5" s="157"/>
      <c r="K5" s="157"/>
      <c r="L5" s="157"/>
      <c r="M5" s="157"/>
      <c r="N5" s="157"/>
      <c r="O5" s="157"/>
    </row>
    <row r="6" spans="1:17" ht="61">
      <c r="A6" s="325" t="s">
        <v>631</v>
      </c>
      <c r="B6" s="161"/>
      <c r="C6" s="162" t="s">
        <v>496</v>
      </c>
      <c r="D6" s="162" t="s">
        <v>214</v>
      </c>
      <c r="E6" s="162" t="s">
        <v>498</v>
      </c>
      <c r="F6" s="163" t="s">
        <v>497</v>
      </c>
      <c r="G6" s="393" t="s">
        <v>403</v>
      </c>
      <c r="H6" s="393" t="s">
        <v>401</v>
      </c>
      <c r="I6" s="397" t="s">
        <v>632</v>
      </c>
      <c r="J6" s="397" t="s">
        <v>311</v>
      </c>
      <c r="K6" s="163" t="s">
        <v>499</v>
      </c>
      <c r="L6" s="393" t="s">
        <v>314</v>
      </c>
      <c r="M6" s="397" t="s">
        <v>670</v>
      </c>
      <c r="N6" s="397" t="s">
        <v>312</v>
      </c>
      <c r="O6" s="163" t="s">
        <v>313</v>
      </c>
      <c r="P6" s="478" t="s">
        <v>625</v>
      </c>
    </row>
    <row r="7" spans="1:17" ht="20.5" customHeight="1">
      <c r="A7" s="1993" t="s">
        <v>519</v>
      </c>
      <c r="B7" s="317" t="s">
        <v>543</v>
      </c>
      <c r="C7" s="330">
        <v>79.551000000000002</v>
      </c>
      <c r="D7" s="330">
        <v>9915.0509999999995</v>
      </c>
      <c r="E7" s="330">
        <v>136.9</v>
      </c>
      <c r="F7" s="396"/>
      <c r="H7" s="13"/>
      <c r="I7" s="398">
        <v>72.44</v>
      </c>
      <c r="J7" s="398"/>
      <c r="K7" s="13"/>
      <c r="L7" s="431"/>
      <c r="M7" s="398"/>
      <c r="N7" s="398"/>
      <c r="O7" s="13"/>
    </row>
    <row r="8" spans="1:17">
      <c r="A8" s="1993"/>
      <c r="B8" s="317" t="s">
        <v>445</v>
      </c>
      <c r="C8" s="330">
        <v>75.701999999999998</v>
      </c>
      <c r="D8" s="330">
        <v>9502.58</v>
      </c>
      <c r="E8" s="330">
        <v>138.19999999999999</v>
      </c>
      <c r="F8" s="396"/>
      <c r="G8" s="394">
        <f t="shared" ref="G8:G17" si="0">M8+I8</f>
        <v>74.91</v>
      </c>
      <c r="H8" s="13">
        <f>C8*I8/G8</f>
        <v>69.495062555066085</v>
      </c>
      <c r="I8" s="398">
        <v>68.768000000000001</v>
      </c>
      <c r="J8" s="398">
        <v>9502.58</v>
      </c>
      <c r="K8" s="13">
        <f>J8/H8</f>
        <v>136.73748393953028</v>
      </c>
      <c r="L8" s="432">
        <f>C8*M8/G8</f>
        <v>6.2069374449339207</v>
      </c>
      <c r="M8" s="399">
        <v>6.1420000000000003</v>
      </c>
      <c r="N8" s="398">
        <v>101.992</v>
      </c>
      <c r="O8" s="13">
        <f>N8/L8</f>
        <v>16.431936185090038</v>
      </c>
      <c r="P8" s="391">
        <f t="shared" ref="P8:P17" si="1">G8/C8</f>
        <v>0.98953792502179594</v>
      </c>
    </row>
    <row r="9" spans="1:17">
      <c r="A9" s="1993"/>
      <c r="B9" s="317" t="s">
        <v>545</v>
      </c>
      <c r="C9" s="330">
        <v>78.894000000000005</v>
      </c>
      <c r="D9" s="330">
        <v>8966.7870000000003</v>
      </c>
      <c r="E9" s="330">
        <v>129.30000000000001</v>
      </c>
      <c r="F9" s="396"/>
      <c r="G9" s="394">
        <f t="shared" si="0"/>
        <v>76.451999999999998</v>
      </c>
      <c r="H9" s="13">
        <f t="shared" ref="H9:H17" si="2">C9*I9/G9</f>
        <v>71.544511850572903</v>
      </c>
      <c r="I9" s="398">
        <v>69.33</v>
      </c>
      <c r="J9" s="398">
        <v>8966.7870000000003</v>
      </c>
      <c r="K9" s="13">
        <f t="shared" ref="K9:K32" si="3">J9/H9</f>
        <v>125.33158404557899</v>
      </c>
      <c r="L9" s="432">
        <f t="shared" ref="L9:L17" si="4">C9*M9/G9</f>
        <v>7.3494881494270912</v>
      </c>
      <c r="M9" s="399">
        <v>7.1219999999999999</v>
      </c>
      <c r="N9" s="398">
        <v>102.29300000000001</v>
      </c>
      <c r="O9" s="13">
        <f t="shared" ref="O9:O32" si="5">N9/L9</f>
        <v>13.918384235774838</v>
      </c>
      <c r="P9" s="391">
        <f t="shared" si="1"/>
        <v>0.96904707582325644</v>
      </c>
      <c r="Q9" s="390"/>
    </row>
    <row r="10" spans="1:17">
      <c r="A10" s="1993"/>
      <c r="B10" s="317" t="s">
        <v>547</v>
      </c>
      <c r="C10" s="330">
        <v>78.602999999999994</v>
      </c>
      <c r="D10" s="330">
        <v>10087.291999999999</v>
      </c>
      <c r="E10" s="330">
        <v>142.19999999999999</v>
      </c>
      <c r="F10" s="396"/>
      <c r="G10" s="394">
        <f t="shared" si="0"/>
        <v>77.527000000000001</v>
      </c>
      <c r="H10" s="13">
        <f t="shared" si="2"/>
        <v>71.928634308047506</v>
      </c>
      <c r="I10" s="398">
        <v>70.944000000000003</v>
      </c>
      <c r="J10" s="398">
        <v>10087.291999999999</v>
      </c>
      <c r="K10" s="13">
        <f t="shared" si="3"/>
        <v>140.24028256673594</v>
      </c>
      <c r="L10" s="432">
        <f t="shared" si="4"/>
        <v>6.6743656919524801</v>
      </c>
      <c r="M10" s="399">
        <v>6.5830000000000002</v>
      </c>
      <c r="N10" s="398">
        <v>107.378</v>
      </c>
      <c r="O10" s="13">
        <f t="shared" si="5"/>
        <v>16.088120572936162</v>
      </c>
      <c r="P10" s="391">
        <f t="shared" si="1"/>
        <v>0.98631095505260624</v>
      </c>
      <c r="Q10" s="391"/>
    </row>
    <row r="11" spans="1:17">
      <c r="A11" s="1993"/>
      <c r="B11" s="317" t="s">
        <v>548</v>
      </c>
      <c r="C11" s="330">
        <v>80.929000000000002</v>
      </c>
      <c r="D11" s="330">
        <v>11805.581</v>
      </c>
      <c r="E11" s="330">
        <v>160.30000000000001</v>
      </c>
      <c r="F11" s="396"/>
      <c r="G11" s="394">
        <f t="shared" si="0"/>
        <v>79.731999999999999</v>
      </c>
      <c r="H11" s="13">
        <f t="shared" si="2"/>
        <v>74.736406950785124</v>
      </c>
      <c r="I11" s="398">
        <v>73.631</v>
      </c>
      <c r="J11" s="398">
        <v>11805.581</v>
      </c>
      <c r="K11" s="13">
        <f t="shared" si="3"/>
        <v>157.96291903321128</v>
      </c>
      <c r="L11" s="432">
        <f t="shared" si="4"/>
        <v>6.19259304921487</v>
      </c>
      <c r="M11" s="399">
        <v>6.101</v>
      </c>
      <c r="N11" s="398">
        <v>107.29300000000001</v>
      </c>
      <c r="O11" s="13">
        <f t="shared" si="5"/>
        <v>17.326021449706467</v>
      </c>
      <c r="P11" s="391">
        <f t="shared" si="1"/>
        <v>0.98520925749731247</v>
      </c>
    </row>
    <row r="12" spans="1:17">
      <c r="A12" s="1993"/>
      <c r="B12" s="164" t="s">
        <v>434</v>
      </c>
      <c r="C12" s="10">
        <v>81.78</v>
      </c>
      <c r="D12" s="94">
        <v>11112.19</v>
      </c>
      <c r="E12" s="10">
        <v>147.9</v>
      </c>
      <c r="F12" s="396"/>
      <c r="G12" s="394">
        <f t="shared" si="0"/>
        <v>81.050000000000011</v>
      </c>
      <c r="H12" s="13">
        <f t="shared" si="2"/>
        <v>75.796589759407766</v>
      </c>
      <c r="I12" s="401">
        <v>75.12</v>
      </c>
      <c r="J12" s="401">
        <v>11112.187</v>
      </c>
      <c r="K12" s="13">
        <f t="shared" si="3"/>
        <v>146.60536885989347</v>
      </c>
      <c r="L12" s="432">
        <f t="shared" si="4"/>
        <v>5.9834102405922263</v>
      </c>
      <c r="M12" s="400">
        <v>5.93</v>
      </c>
      <c r="N12" s="401">
        <v>106.486</v>
      </c>
      <c r="O12" s="13">
        <f t="shared" si="5"/>
        <v>17.796874310503608</v>
      </c>
      <c r="P12" s="391">
        <f t="shared" si="1"/>
        <v>0.99107361213010525</v>
      </c>
    </row>
    <row r="13" spans="1:17">
      <c r="A13" s="1993"/>
      <c r="B13" s="5" t="s">
        <v>730</v>
      </c>
      <c r="C13" s="10">
        <v>78.33</v>
      </c>
      <c r="D13" s="94">
        <v>10531.12</v>
      </c>
      <c r="E13" s="10">
        <v>149.1</v>
      </c>
      <c r="F13" s="396"/>
      <c r="G13" s="394">
        <f t="shared" si="0"/>
        <v>77.126999999999995</v>
      </c>
      <c r="H13" s="13">
        <f t="shared" si="2"/>
        <v>71.741818040374966</v>
      </c>
      <c r="I13" s="401">
        <v>70.64</v>
      </c>
      <c r="J13" s="401">
        <v>10531.123</v>
      </c>
      <c r="K13" s="13">
        <f t="shared" si="3"/>
        <v>146.79197276647324</v>
      </c>
      <c r="L13" s="432">
        <f t="shared" si="4"/>
        <v>6.5881819596250342</v>
      </c>
      <c r="M13" s="400">
        <v>6.4870000000000001</v>
      </c>
      <c r="N13" s="401">
        <v>105.294</v>
      </c>
      <c r="O13" s="13">
        <f t="shared" si="5"/>
        <v>15.982254382966799</v>
      </c>
      <c r="P13" s="391">
        <f t="shared" si="1"/>
        <v>0.98464189965530446</v>
      </c>
    </row>
    <row r="14" spans="1:17">
      <c r="A14" s="1993"/>
      <c r="B14" s="5" t="s">
        <v>739</v>
      </c>
      <c r="C14" s="10">
        <v>93.53</v>
      </c>
      <c r="D14" s="94">
        <v>13037.88</v>
      </c>
      <c r="E14" s="10">
        <v>150.69999999999999</v>
      </c>
      <c r="F14" s="396"/>
      <c r="G14" s="394">
        <f t="shared" si="0"/>
        <v>92.58</v>
      </c>
      <c r="H14" s="13">
        <f t="shared" si="2"/>
        <v>87.407815942968242</v>
      </c>
      <c r="I14" s="401">
        <v>86.52</v>
      </c>
      <c r="J14" s="401">
        <v>13073.875</v>
      </c>
      <c r="K14" s="13">
        <f t="shared" si="3"/>
        <v>149.57329454988817</v>
      </c>
      <c r="L14" s="432">
        <f t="shared" si="4"/>
        <v>6.1221840570317561</v>
      </c>
      <c r="M14" s="400">
        <v>6.06</v>
      </c>
      <c r="N14" s="401">
        <v>106.229</v>
      </c>
      <c r="O14" s="13">
        <f t="shared" si="5"/>
        <v>17.351487477412341</v>
      </c>
      <c r="P14" s="391">
        <f t="shared" si="1"/>
        <v>0.98984283117716243</v>
      </c>
    </row>
    <row r="15" spans="1:17" s="171" customFormat="1">
      <c r="A15" s="1993"/>
      <c r="B15" s="5" t="s">
        <v>741</v>
      </c>
      <c r="C15" s="10">
        <v>85.98</v>
      </c>
      <c r="D15" s="94">
        <v>12091.65</v>
      </c>
      <c r="E15" s="10">
        <v>153.9</v>
      </c>
      <c r="F15" s="396"/>
      <c r="G15" s="394">
        <f t="shared" si="0"/>
        <v>84.534999999999997</v>
      </c>
      <c r="H15" s="13">
        <f t="shared" si="2"/>
        <v>79.913037203525164</v>
      </c>
      <c r="I15" s="401">
        <v>78.569999999999993</v>
      </c>
      <c r="J15" s="401">
        <v>12091.647999999999</v>
      </c>
      <c r="K15" s="13">
        <f t="shared" si="3"/>
        <v>151.31007934543385</v>
      </c>
      <c r="L15" s="432">
        <f t="shared" si="4"/>
        <v>6.0669627964748338</v>
      </c>
      <c r="M15" s="400">
        <v>5.9649999999999999</v>
      </c>
      <c r="N15" s="401">
        <v>111.619</v>
      </c>
      <c r="O15" s="13">
        <f t="shared" si="5"/>
        <v>18.397838217312859</v>
      </c>
      <c r="P15" s="391">
        <f t="shared" si="1"/>
        <v>0.98319376599209107</v>
      </c>
    </row>
    <row r="16" spans="1:17">
      <c r="A16" s="1993"/>
      <c r="B16" s="5" t="s">
        <v>735</v>
      </c>
      <c r="C16" s="10">
        <v>86.38</v>
      </c>
      <c r="D16" s="94">
        <v>13091.86</v>
      </c>
      <c r="E16" s="10">
        <v>164.7</v>
      </c>
      <c r="F16" s="396"/>
      <c r="G16" s="394">
        <f t="shared" si="0"/>
        <v>85.094999999999999</v>
      </c>
      <c r="H16" s="13">
        <f t="shared" si="2"/>
        <v>80.69036018567482</v>
      </c>
      <c r="I16" s="401">
        <v>79.489999999999995</v>
      </c>
      <c r="J16" s="401">
        <v>13091.861999999999</v>
      </c>
      <c r="K16" s="13">
        <f t="shared" si="3"/>
        <v>162.24815417696243</v>
      </c>
      <c r="L16" s="432">
        <f t="shared" si="4"/>
        <v>5.6896398143251661</v>
      </c>
      <c r="M16" s="400">
        <v>5.6050000000000004</v>
      </c>
      <c r="N16" s="401">
        <v>108.209</v>
      </c>
      <c r="O16" s="13">
        <f t="shared" si="5"/>
        <v>19.018602852074284</v>
      </c>
      <c r="P16" s="391">
        <f t="shared" si="1"/>
        <v>0.98512387126649692</v>
      </c>
    </row>
    <row r="17" spans="1:17">
      <c r="A17" s="1993"/>
      <c r="B17" s="5" t="s">
        <v>737</v>
      </c>
      <c r="C17" s="10">
        <v>88.19</v>
      </c>
      <c r="D17" s="94">
        <v>12446.87</v>
      </c>
      <c r="E17" s="10">
        <v>152.80000000000001</v>
      </c>
      <c r="F17" s="396"/>
      <c r="G17" s="394">
        <f t="shared" si="0"/>
        <v>87.016999999999996</v>
      </c>
      <c r="H17" s="13">
        <f t="shared" si="2"/>
        <v>82.547956146500113</v>
      </c>
      <c r="I17" s="401">
        <v>81.45</v>
      </c>
      <c r="J17" s="401">
        <v>12446.865</v>
      </c>
      <c r="K17" s="13">
        <f t="shared" si="3"/>
        <v>150.78344251080193</v>
      </c>
      <c r="L17" s="432">
        <f t="shared" si="4"/>
        <v>5.6420438534998913</v>
      </c>
      <c r="M17" s="400">
        <v>5.5670000000000002</v>
      </c>
      <c r="N17" s="401">
        <v>107.31399999999999</v>
      </c>
      <c r="O17" s="13">
        <f t="shared" si="5"/>
        <v>19.020412245365765</v>
      </c>
      <c r="P17" s="391">
        <f t="shared" si="1"/>
        <v>0.98669917224175074</v>
      </c>
    </row>
    <row r="18" spans="1:17">
      <c r="A18" s="1993"/>
      <c r="B18" s="5" t="s">
        <v>738</v>
      </c>
      <c r="C18" s="10">
        <v>91.92</v>
      </c>
      <c r="D18" s="94">
        <v>12358.41</v>
      </c>
      <c r="E18" s="10">
        <v>147.19999999999999</v>
      </c>
      <c r="F18" s="396"/>
      <c r="G18" s="394"/>
      <c r="H18" s="13"/>
      <c r="I18" s="401">
        <v>83.98</v>
      </c>
      <c r="J18" s="401"/>
      <c r="K18" s="13"/>
      <c r="L18" s="433"/>
      <c r="M18" s="401"/>
      <c r="N18" s="401"/>
      <c r="O18" s="13"/>
      <c r="P18" s="391"/>
    </row>
    <row r="19" spans="1:17">
      <c r="A19" s="1993"/>
      <c r="B19" s="160" t="s">
        <v>742</v>
      </c>
      <c r="C19" s="12">
        <v>96.41</v>
      </c>
      <c r="D19" s="713">
        <v>12970</v>
      </c>
      <c r="E19" s="11" t="s">
        <v>435</v>
      </c>
      <c r="F19" s="13"/>
      <c r="G19" s="394"/>
      <c r="H19" s="13"/>
      <c r="I19" s="401">
        <v>88.85</v>
      </c>
      <c r="J19" s="401"/>
      <c r="K19" s="13"/>
      <c r="L19" s="433"/>
      <c r="M19" s="401"/>
      <c r="N19" s="401"/>
      <c r="O19" s="13"/>
      <c r="P19" s="391"/>
    </row>
    <row r="20" spans="1:17">
      <c r="A20" s="1993"/>
      <c r="B20" s="169" t="s">
        <v>740</v>
      </c>
      <c r="C20" s="796">
        <f>AVERAGE(C7:C18)</f>
        <v>83.315749999999994</v>
      </c>
      <c r="D20" s="797">
        <f>AVERAGE(D7:D18)</f>
        <v>11245.605916666666</v>
      </c>
      <c r="E20" s="797">
        <f>AVERAGE(E7:E18)</f>
        <v>147.76666666666668</v>
      </c>
      <c r="F20" s="714"/>
      <c r="G20" s="714">
        <f t="shared" ref="G20:M20" si="6">AVERAGE(G7:G19)</f>
        <v>81.602500000000006</v>
      </c>
      <c r="H20" s="714">
        <f t="shared" si="6"/>
        <v>76.580219294292263</v>
      </c>
      <c r="I20" s="714">
        <f>AVERAGE(I7:I18)</f>
        <v>75.906916666666675</v>
      </c>
      <c r="J20" s="714">
        <f t="shared" si="6"/>
        <v>11270.98</v>
      </c>
      <c r="K20" s="715">
        <f t="shared" si="6"/>
        <v>146.75845817945094</v>
      </c>
      <c r="L20" s="715">
        <f t="shared" si="6"/>
        <v>6.2515807057077275</v>
      </c>
      <c r="M20" s="714">
        <f t="shared" si="6"/>
        <v>6.1562000000000001</v>
      </c>
      <c r="N20" s="714">
        <f>AVERAGE(N7:N19)</f>
        <v>106.41070000000002</v>
      </c>
      <c r="O20" s="714">
        <f>AVERAGE(O7:O19)</f>
        <v>17.133193192914316</v>
      </c>
      <c r="P20" s="716">
        <f>AVERAGE(P7:P19)</f>
        <v>0.98506803658578812</v>
      </c>
      <c r="Q20" s="938">
        <f>H20/C20</f>
        <v>0.9191565735685302</v>
      </c>
    </row>
    <row r="21" spans="1:17">
      <c r="A21" s="1993"/>
      <c r="B21" s="165" t="s">
        <v>257</v>
      </c>
      <c r="C21" s="795">
        <f>STDEV(C7:C18)</f>
        <v>5.7637378516659892</v>
      </c>
      <c r="D21" s="795">
        <f>STDEV(D7:D18)</f>
        <v>1420.7278541001244</v>
      </c>
      <c r="E21" s="795">
        <f>STDEV(E7:E18)</f>
        <v>9.9959385691783762</v>
      </c>
      <c r="F21" s="331"/>
      <c r="G21" s="717">
        <f>SQRT(I21^2+M21^2)</f>
        <v>5.9946379237505818</v>
      </c>
      <c r="H21" s="331">
        <f>H20*SQRT(C21^2/C20^2+I21^2/I20^2+G21^2/G20^2)</f>
        <v>9.8014018678658399</v>
      </c>
      <c r="I21" s="712">
        <f t="shared" ref="I21:N21" si="7">STDEV(I7:I18)</f>
        <v>5.9763012802589062</v>
      </c>
      <c r="J21" s="712">
        <f t="shared" si="7"/>
        <v>1465.0865043664458</v>
      </c>
      <c r="K21" s="331">
        <f>K20*SQRT(C21^2/C20^2+I21^2/I20^2+G21^2/G20^2+J21^2/J20^2)</f>
        <v>26.771998964238016</v>
      </c>
      <c r="L21" s="331">
        <f>L35*SQRT(C36^2/C35^2+M36^2/M35^2+G21^2/G20^2)</f>
        <v>0.10825850779299219</v>
      </c>
      <c r="M21" s="712">
        <f t="shared" si="7"/>
        <v>0.46851557545554917</v>
      </c>
      <c r="N21" s="712">
        <f t="shared" si="7"/>
        <v>2.8019122854856731</v>
      </c>
      <c r="O21" s="331">
        <f>O20*SQRT(N21^2/N20^2+C21^2/C20^2+G21^2/G20^2+M21^2/M20^2)</f>
        <v>2.2119496204230136</v>
      </c>
      <c r="P21" s="698"/>
    </row>
    <row r="22" spans="1:17" s="288" customFormat="1" ht="14.5" customHeight="1">
      <c r="A22" s="1993" t="s">
        <v>520</v>
      </c>
      <c r="B22" s="5" t="s">
        <v>543</v>
      </c>
      <c r="C22" s="5"/>
      <c r="D22" s="5"/>
      <c r="E22" s="5"/>
      <c r="F22" s="170"/>
      <c r="G22" s="394"/>
      <c r="H22" s="170"/>
      <c r="I22" s="402"/>
      <c r="J22" s="402"/>
      <c r="K22" s="13"/>
      <c r="L22" s="434"/>
      <c r="M22" s="402"/>
      <c r="N22" s="402"/>
      <c r="O22" s="13"/>
      <c r="P22" s="391"/>
    </row>
    <row r="23" spans="1:17" ht="30.5" customHeight="1">
      <c r="A23" s="1993"/>
      <c r="B23" s="317" t="s">
        <v>445</v>
      </c>
      <c r="C23" s="318">
        <v>10.247999999999999</v>
      </c>
      <c r="D23" s="318">
        <v>514.04</v>
      </c>
      <c r="E23" s="318">
        <v>59.9</v>
      </c>
      <c r="F23" s="13"/>
      <c r="G23" s="394">
        <f t="shared" ref="G23:G32" si="8">M23+I23</f>
        <v>8.9310000000000009</v>
      </c>
      <c r="H23" s="13">
        <f>C23*I23/G23</f>
        <v>9.8440927107826663</v>
      </c>
      <c r="I23" s="403">
        <v>8.5790000000000006</v>
      </c>
      <c r="J23" s="403">
        <v>514.04</v>
      </c>
      <c r="K23" s="13">
        <f t="shared" si="3"/>
        <v>52.218118530816902</v>
      </c>
      <c r="L23" s="435">
        <f>C23*M23/G23</f>
        <v>0.40390728921733277</v>
      </c>
      <c r="M23" s="403">
        <v>0.35199999999999998</v>
      </c>
      <c r="N23" s="403">
        <v>3.86</v>
      </c>
      <c r="O23" s="13">
        <f t="shared" si="5"/>
        <v>9.5566485256546763</v>
      </c>
      <c r="P23" s="391">
        <f t="shared" ref="P23:P31" si="9">G23/C23</f>
        <v>0.87148711943793922</v>
      </c>
    </row>
    <row r="24" spans="1:17">
      <c r="A24" s="1993"/>
      <c r="B24" s="317" t="s">
        <v>545</v>
      </c>
      <c r="C24" s="318">
        <v>9.5890000000000004</v>
      </c>
      <c r="D24" s="318">
        <v>360.71300000000002</v>
      </c>
      <c r="E24" s="318">
        <v>50.6</v>
      </c>
      <c r="F24" s="13"/>
      <c r="G24" s="394">
        <f t="shared" si="8"/>
        <v>7.5330000000000004</v>
      </c>
      <c r="H24" s="13">
        <f t="shared" ref="H24:H32" si="10">C24*I24/G24</f>
        <v>9.0696435682994814</v>
      </c>
      <c r="I24" s="403">
        <v>7.125</v>
      </c>
      <c r="J24" s="403">
        <v>360.71300000000002</v>
      </c>
      <c r="K24" s="13">
        <f t="shared" si="3"/>
        <v>39.771463705671529</v>
      </c>
      <c r="L24" s="435">
        <f>C24*M24/G24</f>
        <v>0.51935643170051771</v>
      </c>
      <c r="M24" s="403">
        <v>0.40799999999999997</v>
      </c>
      <c r="N24" s="403">
        <v>3.9129999999999998</v>
      </c>
      <c r="O24" s="13">
        <f t="shared" si="5"/>
        <v>7.5343247164336589</v>
      </c>
      <c r="P24" s="391">
        <f t="shared" si="9"/>
        <v>0.78558765251851082</v>
      </c>
    </row>
    <row r="25" spans="1:17">
      <c r="A25" s="1993"/>
      <c r="B25" s="317" t="s">
        <v>547</v>
      </c>
      <c r="C25" s="318">
        <v>9.42</v>
      </c>
      <c r="D25" s="318">
        <v>411.21899999999999</v>
      </c>
      <c r="E25" s="318">
        <v>52.7</v>
      </c>
      <c r="F25" s="13"/>
      <c r="G25" s="394">
        <f t="shared" si="8"/>
        <v>8.141</v>
      </c>
      <c r="H25" s="13">
        <f t="shared" si="10"/>
        <v>9.0231126397248502</v>
      </c>
      <c r="I25" s="403">
        <v>7.798</v>
      </c>
      <c r="J25" s="403">
        <v>411.21899999999999</v>
      </c>
      <c r="K25" s="13">
        <f t="shared" si="3"/>
        <v>45.573962824046014</v>
      </c>
      <c r="L25" s="435">
        <f t="shared" ref="L25:L32" si="11">C25*M25/G25</f>
        <v>0.39688736027515048</v>
      </c>
      <c r="M25" s="403">
        <v>0.34300000000000003</v>
      </c>
      <c r="N25" s="403">
        <v>3.5579999999999998</v>
      </c>
      <c r="O25" s="13">
        <f t="shared" si="5"/>
        <v>8.9647601715845564</v>
      </c>
      <c r="P25" s="391">
        <f t="shared" si="9"/>
        <v>0.86422505307855624</v>
      </c>
    </row>
    <row r="26" spans="1:17">
      <c r="A26" s="1993"/>
      <c r="B26" s="317" t="s">
        <v>548</v>
      </c>
      <c r="C26" s="330">
        <v>7.4859999999999998</v>
      </c>
      <c r="D26" s="330">
        <v>453.60599999999999</v>
      </c>
      <c r="E26" s="330">
        <v>69.599999999999994</v>
      </c>
      <c r="F26" s="13"/>
      <c r="G26" s="394">
        <f t="shared" si="8"/>
        <v>6.8690000000000007</v>
      </c>
      <c r="H26" s="13">
        <f t="shared" si="10"/>
        <v>7.1023820061144267</v>
      </c>
      <c r="I26" s="398">
        <v>6.5170000000000003</v>
      </c>
      <c r="J26" s="398">
        <v>453.60599999999999</v>
      </c>
      <c r="K26" s="13">
        <f t="shared" si="3"/>
        <v>63.866742116868885</v>
      </c>
      <c r="L26" s="435">
        <f t="shared" si="11"/>
        <v>0.38361799388557277</v>
      </c>
      <c r="M26" s="398">
        <v>0.35199999999999998</v>
      </c>
      <c r="N26" s="398">
        <v>4.782</v>
      </c>
      <c r="O26" s="13">
        <f t="shared" si="5"/>
        <v>12.465525799674547</v>
      </c>
      <c r="P26" s="391">
        <f t="shared" si="9"/>
        <v>0.91757948169917192</v>
      </c>
    </row>
    <row r="27" spans="1:17" s="288" customFormat="1">
      <c r="A27" s="1993"/>
      <c r="B27" s="392" t="s">
        <v>434</v>
      </c>
      <c r="C27" s="10">
        <v>6.45</v>
      </c>
      <c r="D27" s="10">
        <v>392.74</v>
      </c>
      <c r="E27" s="10">
        <v>68.5</v>
      </c>
      <c r="F27" s="13"/>
      <c r="G27" s="394">
        <f>M27+I27</f>
        <v>6.0510000000000002</v>
      </c>
      <c r="H27" s="13">
        <f t="shared" si="10"/>
        <v>6.1184928111056029</v>
      </c>
      <c r="I27" s="401">
        <v>5.74</v>
      </c>
      <c r="J27" s="401">
        <v>392.73899999999998</v>
      </c>
      <c r="K27" s="13">
        <f t="shared" si="3"/>
        <v>64.188847176079719</v>
      </c>
      <c r="L27" s="435">
        <f t="shared" si="11"/>
        <v>0.33150718889439762</v>
      </c>
      <c r="M27" s="401">
        <v>0.311</v>
      </c>
      <c r="N27" s="401">
        <v>4.2240000000000002</v>
      </c>
      <c r="O27" s="13">
        <f t="shared" si="5"/>
        <v>12.741805129739028</v>
      </c>
      <c r="P27" s="391">
        <f t="shared" si="9"/>
        <v>0.93813953488372093</v>
      </c>
    </row>
    <row r="28" spans="1:17">
      <c r="A28" s="1993"/>
      <c r="B28" s="5" t="s">
        <v>730</v>
      </c>
      <c r="C28" s="10">
        <v>6.52</v>
      </c>
      <c r="D28" s="10">
        <v>276.82</v>
      </c>
      <c r="E28" s="10">
        <v>56.1</v>
      </c>
      <c r="F28" s="13"/>
      <c r="G28" s="394">
        <f t="shared" si="8"/>
        <v>5.2870000000000008</v>
      </c>
      <c r="H28" s="13">
        <f t="shared" si="10"/>
        <v>6.0920749006998296</v>
      </c>
      <c r="I28" s="401">
        <v>4.9400000000000004</v>
      </c>
      <c r="J28" s="401">
        <v>276.82400000000001</v>
      </c>
      <c r="K28" s="13">
        <f t="shared" si="3"/>
        <v>45.440019125208018</v>
      </c>
      <c r="L28" s="435">
        <f t="shared" si="11"/>
        <v>0.42792509930017014</v>
      </c>
      <c r="M28" s="401">
        <v>0.34699999999999998</v>
      </c>
      <c r="N28" s="401">
        <v>4.6120000000000001</v>
      </c>
      <c r="O28" s="13">
        <f t="shared" si="5"/>
        <v>10.777587029932288</v>
      </c>
      <c r="P28" s="391">
        <f t="shared" si="9"/>
        <v>0.81088957055214739</v>
      </c>
    </row>
    <row r="29" spans="1:17">
      <c r="A29" s="1993"/>
      <c r="B29" s="5" t="s">
        <v>739</v>
      </c>
      <c r="C29" s="10">
        <v>7.71</v>
      </c>
      <c r="D29" s="10">
        <v>497.45</v>
      </c>
      <c r="E29" s="10">
        <v>73.2</v>
      </c>
      <c r="F29" s="13"/>
      <c r="G29" s="394">
        <f t="shared" si="8"/>
        <v>7.1820000000000004</v>
      </c>
      <c r="H29" s="13">
        <f t="shared" si="10"/>
        <v>7.2891812865497077</v>
      </c>
      <c r="I29" s="401">
        <v>6.79</v>
      </c>
      <c r="J29" s="401">
        <v>497.44499999999999</v>
      </c>
      <c r="K29" s="13">
        <f t="shared" si="3"/>
        <v>68.244289782983671</v>
      </c>
      <c r="L29" s="435">
        <f t="shared" si="11"/>
        <v>0.42081871345029237</v>
      </c>
      <c r="M29" s="401">
        <v>0.39200000000000002</v>
      </c>
      <c r="N29" s="401">
        <v>5.2460000000000004</v>
      </c>
      <c r="O29" s="13">
        <f t="shared" si="5"/>
        <v>12.466175653140635</v>
      </c>
      <c r="P29" s="391">
        <f t="shared" si="9"/>
        <v>0.93151750972762648</v>
      </c>
    </row>
    <row r="30" spans="1:17">
      <c r="A30" s="1993"/>
      <c r="B30" s="5" t="s">
        <v>741</v>
      </c>
      <c r="C30" s="10">
        <v>8.2799999999999994</v>
      </c>
      <c r="D30" s="10">
        <v>472.34</v>
      </c>
      <c r="E30" s="10">
        <v>65</v>
      </c>
      <c r="F30" s="13"/>
      <c r="G30" s="394">
        <f t="shared" si="8"/>
        <v>7.6779999999999999</v>
      </c>
      <c r="H30" s="13">
        <f t="shared" si="10"/>
        <v>7.8400104193800457</v>
      </c>
      <c r="I30" s="401">
        <v>7.27</v>
      </c>
      <c r="J30" s="401">
        <v>472.34199999999998</v>
      </c>
      <c r="K30" s="13">
        <f t="shared" si="3"/>
        <v>60.247624012386296</v>
      </c>
      <c r="L30" s="435">
        <f t="shared" si="11"/>
        <v>0.43998958061995302</v>
      </c>
      <c r="M30" s="401">
        <v>0.40799999999999997</v>
      </c>
      <c r="N30" s="401">
        <v>5.6459999999999999</v>
      </c>
      <c r="O30" s="13">
        <f t="shared" si="5"/>
        <v>12.83212205171924</v>
      </c>
      <c r="P30" s="391">
        <f t="shared" si="9"/>
        <v>0.92729468599033826</v>
      </c>
    </row>
    <row r="31" spans="1:17">
      <c r="A31" s="1993"/>
      <c r="B31" s="5" t="s">
        <v>735</v>
      </c>
      <c r="C31" s="10">
        <v>6.63</v>
      </c>
      <c r="D31" s="10">
        <v>382.98</v>
      </c>
      <c r="E31" s="10">
        <v>69.400000000000006</v>
      </c>
      <c r="F31" s="13"/>
      <c r="G31" s="394">
        <f t="shared" si="8"/>
        <v>5.7739999999999991</v>
      </c>
      <c r="H31" s="13">
        <f t="shared" si="10"/>
        <v>6.3383443020436445</v>
      </c>
      <c r="I31" s="401">
        <v>5.52</v>
      </c>
      <c r="J31" s="401">
        <v>382.983</v>
      </c>
      <c r="K31" s="13">
        <f t="shared" si="3"/>
        <v>60.423192832316872</v>
      </c>
      <c r="L31" s="435">
        <f t="shared" si="11"/>
        <v>0.29165569795635615</v>
      </c>
      <c r="M31" s="401">
        <v>0.254</v>
      </c>
      <c r="N31" s="401">
        <v>3.68</v>
      </c>
      <c r="O31" s="13">
        <f t="shared" si="5"/>
        <v>12.617617367964748</v>
      </c>
      <c r="P31" s="391">
        <f t="shared" si="9"/>
        <v>0.87088989441930609</v>
      </c>
    </row>
    <row r="32" spans="1:17">
      <c r="A32" s="1993"/>
      <c r="B32" s="5" t="s">
        <v>737</v>
      </c>
      <c r="C32" s="10">
        <v>5.4</v>
      </c>
      <c r="D32" s="10">
        <v>345.63</v>
      </c>
      <c r="E32" s="10">
        <v>71.8</v>
      </c>
      <c r="F32" s="13"/>
      <c r="G32" s="394">
        <f t="shared" si="8"/>
        <v>5.0829999999999993</v>
      </c>
      <c r="H32" s="13">
        <f t="shared" si="10"/>
        <v>5.1099744245524308</v>
      </c>
      <c r="I32" s="401">
        <v>4.8099999999999996</v>
      </c>
      <c r="J32" s="401">
        <v>345.39499999999998</v>
      </c>
      <c r="K32" s="13">
        <f t="shared" si="3"/>
        <v>67.592314814814799</v>
      </c>
      <c r="L32" s="435">
        <f t="shared" si="11"/>
        <v>0.29002557544757041</v>
      </c>
      <c r="M32" s="401">
        <v>0.27300000000000002</v>
      </c>
      <c r="N32" s="401">
        <v>3.42</v>
      </c>
      <c r="O32" s="13">
        <f t="shared" si="5"/>
        <v>11.792063492063489</v>
      </c>
      <c r="P32" s="391">
        <f>G32/C32</f>
        <v>0.94129629629629608</v>
      </c>
    </row>
    <row r="33" spans="1:17">
      <c r="A33" s="1993"/>
      <c r="B33" s="5" t="s">
        <v>738</v>
      </c>
      <c r="C33" s="10">
        <v>5.48</v>
      </c>
      <c r="D33" s="10">
        <v>214.44</v>
      </c>
      <c r="E33" s="10">
        <v>54.6</v>
      </c>
      <c r="F33" s="13"/>
      <c r="H33" s="13"/>
      <c r="I33" s="401">
        <v>3.93</v>
      </c>
      <c r="J33" s="401"/>
      <c r="K33" s="13"/>
      <c r="L33" s="436"/>
      <c r="M33" s="10"/>
      <c r="N33" s="10"/>
      <c r="O33" s="13"/>
    </row>
    <row r="34" spans="1:17">
      <c r="A34" s="1993"/>
      <c r="B34" s="11" t="s">
        <v>742</v>
      </c>
      <c r="C34" s="11" t="s">
        <v>437</v>
      </c>
      <c r="D34" s="11" t="s">
        <v>439</v>
      </c>
      <c r="E34" s="12">
        <v>64.900000000000006</v>
      </c>
      <c r="F34" s="13"/>
      <c r="H34" s="13"/>
      <c r="I34" s="402" t="s">
        <v>438</v>
      </c>
      <c r="J34" s="402"/>
      <c r="K34" s="13"/>
      <c r="L34" s="436"/>
      <c r="M34" s="11"/>
      <c r="N34" s="11"/>
      <c r="O34" s="13"/>
    </row>
    <row r="35" spans="1:17">
      <c r="A35" s="1993"/>
      <c r="B35" s="304" t="s">
        <v>740</v>
      </c>
      <c r="C35" s="726">
        <f>AVERAGE(C23:C33)</f>
        <v>7.5648181818181817</v>
      </c>
      <c r="D35" s="304"/>
      <c r="E35" s="306">
        <f>AVERAGE(E23:E33)</f>
        <v>62.854545454545452</v>
      </c>
      <c r="F35" s="306"/>
      <c r="G35" s="799">
        <f t="shared" ref="G35:P35" si="12">AVERAGE(G23:G33)</f>
        <v>6.8529000000000009</v>
      </c>
      <c r="H35" s="799">
        <f t="shared" si="12"/>
        <v>7.3827309069252696</v>
      </c>
      <c r="I35" s="798">
        <f t="shared" si="12"/>
        <v>6.274454545454546</v>
      </c>
      <c r="J35" s="798">
        <f t="shared" si="12"/>
        <v>410.73060000000004</v>
      </c>
      <c r="K35" s="799">
        <f t="shared" si="12"/>
        <v>56.756657492119281</v>
      </c>
      <c r="L35" s="338">
        <f t="shared" si="12"/>
        <v>0.39056909307473131</v>
      </c>
      <c r="M35" s="798">
        <f t="shared" si="12"/>
        <v>0.34399999999999997</v>
      </c>
      <c r="N35" s="798">
        <f>AVERAGE(N23:N33)</f>
        <v>4.2941000000000003</v>
      </c>
      <c r="O35" s="306">
        <f>AVERAGE(O23:O33)</f>
        <v>11.174862993790686</v>
      </c>
      <c r="P35" s="480">
        <f t="shared" si="12"/>
        <v>0.8858906798603613</v>
      </c>
      <c r="Q35">
        <f>L35/C35</f>
        <v>5.1629673534448278E-2</v>
      </c>
    </row>
    <row r="36" spans="1:17" s="288" customFormat="1">
      <c r="A36" s="1993"/>
      <c r="B36" s="166" t="s">
        <v>257</v>
      </c>
      <c r="C36" s="168">
        <f>STDEV(C23:C33)</f>
        <v>1.6588702672711833</v>
      </c>
      <c r="D36" s="166"/>
      <c r="E36" s="168">
        <f>STDEV(E23:E33)</f>
        <v>8.2924500162936461</v>
      </c>
      <c r="F36" s="168"/>
      <c r="G36" s="800">
        <f>SQRT(I36^2+M36^2)</f>
        <v>1.4133508903998102</v>
      </c>
      <c r="H36" s="800">
        <f>H35*SQRT(C36^2/C35^2+I36^2/I35^2+G36^2/G35^2)</f>
        <v>2.7750823159459461</v>
      </c>
      <c r="I36" s="712">
        <f t="shared" ref="I36:O36" si="13">STDEV(I23:I33)</f>
        <v>1.4123732058939908</v>
      </c>
      <c r="J36" s="712">
        <f t="shared" si="13"/>
        <v>74.253191328648285</v>
      </c>
      <c r="K36" s="331">
        <f>K35*SQRT(C36^2/C35^2+I36^2/I35^2+G36^2/G35^2+J36^2/J35^2)</f>
        <v>23.673350403709371</v>
      </c>
      <c r="L36" s="331">
        <f>L35*SQRT(C36^2/C35^2+M36^2/M35^2+G36^2/G35^2)</f>
        <v>0.13185304784097895</v>
      </c>
      <c r="M36" s="712">
        <f t="shared" si="13"/>
        <v>5.2561075585138728E-2</v>
      </c>
      <c r="N36" s="712">
        <f t="shared" si="13"/>
        <v>0.75236374920055427</v>
      </c>
      <c r="O36" s="168">
        <f t="shared" si="13"/>
        <v>1.8830268315319036</v>
      </c>
    </row>
    <row r="37" spans="1:17" s="122" customFormat="1">
      <c r="A37" s="1998" t="s">
        <v>440</v>
      </c>
      <c r="B37" s="317" t="s">
        <v>543</v>
      </c>
      <c r="C37" s="318">
        <v>5.8010000000000002</v>
      </c>
      <c r="D37" s="318">
        <v>317.80399999999997</v>
      </c>
      <c r="E37" s="318">
        <v>61.1</v>
      </c>
      <c r="F37" s="13">
        <f t="shared" ref="F37:F48" si="14">D37/C37</f>
        <v>54.784347526288563</v>
      </c>
      <c r="G37" s="395"/>
      <c r="H37" s="13"/>
      <c r="I37" s="318">
        <v>5.2</v>
      </c>
      <c r="J37" s="318"/>
      <c r="K37" s="13"/>
      <c r="L37" s="13"/>
      <c r="M37" s="318"/>
      <c r="N37" s="318"/>
      <c r="O37" s="13"/>
      <c r="P37" s="391">
        <f>I37/C37</f>
        <v>0.89639717290122389</v>
      </c>
    </row>
    <row r="38" spans="1:17">
      <c r="A38" s="1998"/>
      <c r="B38" s="317" t="s">
        <v>445</v>
      </c>
      <c r="C38" s="318">
        <v>4.9509999999999996</v>
      </c>
      <c r="D38" s="318">
        <v>248.32900000000001</v>
      </c>
      <c r="E38" s="318">
        <v>58.1</v>
      </c>
      <c r="F38" s="13">
        <f t="shared" si="14"/>
        <v>50.157341951120991</v>
      </c>
      <c r="H38" s="13"/>
      <c r="I38" s="318">
        <v>4.2729999999999997</v>
      </c>
      <c r="J38" s="318"/>
      <c r="K38" s="13"/>
      <c r="L38" s="13"/>
      <c r="M38" s="318"/>
      <c r="N38" s="318"/>
      <c r="O38" s="13"/>
      <c r="P38" s="391">
        <f t="shared" ref="P38:P48" si="15">I38/C38</f>
        <v>0.8630579680872551</v>
      </c>
    </row>
    <row r="39" spans="1:17">
      <c r="A39" s="1998"/>
      <c r="B39" s="317" t="s">
        <v>545</v>
      </c>
      <c r="C39" s="318">
        <v>5.008</v>
      </c>
      <c r="D39" s="318">
        <v>226.90600000000001</v>
      </c>
      <c r="E39" s="318">
        <v>55</v>
      </c>
      <c r="F39" s="13">
        <f t="shared" si="14"/>
        <v>45.308706070287542</v>
      </c>
      <c r="H39" s="13"/>
      <c r="I39" s="318">
        <v>4.1230000000000002</v>
      </c>
      <c r="J39" s="318"/>
      <c r="K39" s="13"/>
      <c r="L39" s="13"/>
      <c r="M39" s="318"/>
      <c r="N39" s="318"/>
      <c r="O39" s="13"/>
      <c r="P39" s="391">
        <f t="shared" si="15"/>
        <v>0.82328274760383391</v>
      </c>
    </row>
    <row r="40" spans="1:17">
      <c r="A40" s="1998"/>
      <c r="B40" s="317" t="s">
        <v>547</v>
      </c>
      <c r="C40" s="318">
        <v>5.3479999999999999</v>
      </c>
      <c r="D40" s="318">
        <v>278.28300000000002</v>
      </c>
      <c r="E40" s="318">
        <v>58.9</v>
      </c>
      <c r="F40" s="13">
        <f t="shared" si="14"/>
        <v>52.034966342557972</v>
      </c>
      <c r="H40" s="13"/>
      <c r="I40" s="318">
        <v>4.7270000000000003</v>
      </c>
      <c r="J40" s="318"/>
      <c r="K40" s="13"/>
      <c r="L40" s="13"/>
      <c r="M40" s="318"/>
      <c r="N40" s="318"/>
      <c r="O40" s="13"/>
      <c r="P40" s="391">
        <f t="shared" si="15"/>
        <v>0.88388182498130152</v>
      </c>
    </row>
    <row r="41" spans="1:17">
      <c r="A41" s="1998"/>
      <c r="B41" s="317" t="s">
        <v>548</v>
      </c>
      <c r="C41" s="318">
        <v>4.5270000000000001</v>
      </c>
      <c r="D41" s="318">
        <v>279.74299999999999</v>
      </c>
      <c r="E41" s="318">
        <v>69.599999999999994</v>
      </c>
      <c r="F41" s="13">
        <f t="shared" si="14"/>
        <v>61.794345040865913</v>
      </c>
      <c r="H41" s="13"/>
      <c r="I41" s="318">
        <v>4.0209999999999999</v>
      </c>
      <c r="J41" s="318"/>
      <c r="K41" s="13"/>
      <c r="L41" s="13"/>
      <c r="M41" s="318"/>
      <c r="N41" s="318"/>
      <c r="O41" s="13"/>
      <c r="P41" s="391">
        <f t="shared" si="15"/>
        <v>0.88822619836536332</v>
      </c>
    </row>
    <row r="42" spans="1:17">
      <c r="A42" s="1998"/>
      <c r="B42" s="5" t="s">
        <v>434</v>
      </c>
      <c r="C42" s="10">
        <v>3.88</v>
      </c>
      <c r="D42" s="10">
        <v>211.9</v>
      </c>
      <c r="E42" s="10">
        <v>64.8</v>
      </c>
      <c r="F42" s="13">
        <f t="shared" si="14"/>
        <v>54.613402061855673</v>
      </c>
      <c r="H42" s="13"/>
      <c r="I42" s="10">
        <v>3.27</v>
      </c>
      <c r="J42" s="10"/>
      <c r="K42" s="13"/>
      <c r="L42" s="13"/>
      <c r="M42" s="10"/>
      <c r="N42" s="10"/>
      <c r="O42" s="13"/>
      <c r="P42" s="391">
        <f t="shared" si="15"/>
        <v>0.84278350515463918</v>
      </c>
    </row>
    <row r="43" spans="1:17">
      <c r="A43" s="1998"/>
      <c r="B43" s="5" t="s">
        <v>730</v>
      </c>
      <c r="C43" s="10">
        <v>3.45</v>
      </c>
      <c r="D43" s="10">
        <v>180.17</v>
      </c>
      <c r="E43" s="10">
        <v>61.1</v>
      </c>
      <c r="F43" s="13">
        <f t="shared" si="14"/>
        <v>52.223188405797096</v>
      </c>
      <c r="H43" s="13"/>
      <c r="I43" s="10">
        <v>2.95</v>
      </c>
      <c r="J43" s="10"/>
      <c r="K43" s="13"/>
      <c r="L43" s="13"/>
      <c r="M43" s="10"/>
      <c r="N43" s="10"/>
      <c r="O43" s="13"/>
      <c r="P43" s="391">
        <f t="shared" si="15"/>
        <v>0.85507246376811596</v>
      </c>
    </row>
    <row r="44" spans="1:17">
      <c r="A44" s="1998"/>
      <c r="B44" s="5" t="s">
        <v>739</v>
      </c>
      <c r="C44" s="10">
        <v>4.0199999999999996</v>
      </c>
      <c r="D44" s="10">
        <v>210.11</v>
      </c>
      <c r="E44" s="10">
        <v>60</v>
      </c>
      <c r="F44" s="13">
        <f t="shared" si="14"/>
        <v>52.266169154228862</v>
      </c>
      <c r="H44" s="13"/>
      <c r="I44" s="10">
        <v>3.5</v>
      </c>
      <c r="J44" s="10"/>
      <c r="K44" s="13"/>
      <c r="L44" s="13"/>
      <c r="M44" s="10"/>
      <c r="N44" s="10"/>
      <c r="O44" s="13"/>
      <c r="P44" s="391">
        <f t="shared" si="15"/>
        <v>0.87064676616915437</v>
      </c>
    </row>
    <row r="45" spans="1:17">
      <c r="A45" s="1998"/>
      <c r="B45" s="5" t="s">
        <v>741</v>
      </c>
      <c r="C45" s="10">
        <v>4.25</v>
      </c>
      <c r="D45" s="10">
        <v>240.19</v>
      </c>
      <c r="E45" s="10">
        <v>63.6</v>
      </c>
      <c r="F45" s="13">
        <f t="shared" si="14"/>
        <v>56.515294117647059</v>
      </c>
      <c r="H45" s="13"/>
      <c r="I45" s="10">
        <v>3.78</v>
      </c>
      <c r="J45" s="10"/>
      <c r="K45" s="13"/>
      <c r="L45" s="13"/>
      <c r="M45" s="10"/>
      <c r="N45" s="10"/>
      <c r="O45" s="13"/>
      <c r="P45" s="391">
        <f t="shared" si="15"/>
        <v>0.88941176470588235</v>
      </c>
    </row>
    <row r="46" spans="1:17" s="288" customFormat="1">
      <c r="A46" s="1998"/>
      <c r="B46" s="5" t="s">
        <v>735</v>
      </c>
      <c r="C46" s="10">
        <v>3.57</v>
      </c>
      <c r="D46" s="10">
        <v>227.32</v>
      </c>
      <c r="E46" s="10">
        <v>73</v>
      </c>
      <c r="F46" s="13">
        <f t="shared" si="14"/>
        <v>63.675070028011206</v>
      </c>
      <c r="G46" s="171"/>
      <c r="H46" s="13"/>
      <c r="I46" s="10">
        <v>3.11</v>
      </c>
      <c r="J46" s="10"/>
      <c r="K46" s="13"/>
      <c r="L46" s="13"/>
      <c r="M46" s="10"/>
      <c r="N46" s="10"/>
      <c r="O46" s="13"/>
      <c r="P46" s="391">
        <f t="shared" si="15"/>
        <v>0.87114845938375352</v>
      </c>
    </row>
    <row r="47" spans="1:17" s="122" customFormat="1">
      <c r="A47" s="1998"/>
      <c r="B47" s="5" t="s">
        <v>737</v>
      </c>
      <c r="C47" s="10">
        <v>2.87</v>
      </c>
      <c r="D47" s="10">
        <v>180.27</v>
      </c>
      <c r="E47" s="10">
        <v>73.099999999999994</v>
      </c>
      <c r="F47" s="13">
        <f t="shared" si="14"/>
        <v>62.811846689895475</v>
      </c>
      <c r="G47" s="395"/>
      <c r="H47" s="13"/>
      <c r="I47" s="10">
        <v>2.4700000000000002</v>
      </c>
      <c r="J47" s="10"/>
      <c r="K47" s="13"/>
      <c r="L47" s="13"/>
      <c r="M47" s="10"/>
      <c r="N47" s="10"/>
      <c r="O47" s="13"/>
      <c r="P47" s="391">
        <f t="shared" si="15"/>
        <v>0.86062717770034847</v>
      </c>
    </row>
    <row r="48" spans="1:17">
      <c r="A48" s="1998"/>
      <c r="B48" s="5" t="s">
        <v>738</v>
      </c>
      <c r="C48" s="10">
        <v>2.56</v>
      </c>
      <c r="D48" s="10">
        <v>155.78</v>
      </c>
      <c r="E48" s="10">
        <v>69.599999999999994</v>
      </c>
      <c r="F48" s="13">
        <f t="shared" si="14"/>
        <v>60.8515625</v>
      </c>
      <c r="H48" s="13"/>
      <c r="I48" s="10">
        <v>2.2400000000000002</v>
      </c>
      <c r="J48" s="10"/>
      <c r="K48" s="13"/>
      <c r="L48" s="13"/>
      <c r="M48" s="10"/>
      <c r="N48" s="10"/>
      <c r="O48" s="13"/>
      <c r="P48" s="391">
        <f t="shared" si="15"/>
        <v>0.87500000000000011</v>
      </c>
    </row>
    <row r="49" spans="1:16" ht="14.5" customHeight="1">
      <c r="A49" s="1998"/>
      <c r="B49" s="11" t="s">
        <v>742</v>
      </c>
      <c r="C49" s="11" t="s">
        <v>442</v>
      </c>
      <c r="D49" s="11" t="s">
        <v>443</v>
      </c>
      <c r="E49" s="12">
        <v>66.3</v>
      </c>
      <c r="F49" s="13"/>
      <c r="H49" s="13"/>
      <c r="I49" s="11" t="s">
        <v>441</v>
      </c>
      <c r="J49" s="11"/>
      <c r="K49" s="13"/>
      <c r="L49" s="13"/>
      <c r="M49" s="11"/>
      <c r="N49" s="11"/>
      <c r="O49" s="13"/>
    </row>
    <row r="50" spans="1:16" ht="14.5" customHeight="1">
      <c r="A50" s="1998"/>
      <c r="B50" s="304" t="s">
        <v>740</v>
      </c>
      <c r="C50" s="305">
        <f>AVERAGE(C42:C48)</f>
        <v>3.5142857142857138</v>
      </c>
      <c r="D50" s="305">
        <f>AVERAGE(D42:D48)</f>
        <v>200.82</v>
      </c>
      <c r="E50" s="305">
        <f>AVERAGE(E42:E48)</f>
        <v>66.45714285714287</v>
      </c>
      <c r="F50" s="305">
        <f>AVERAGE(F37:F48)</f>
        <v>55.586353324046364</v>
      </c>
      <c r="H50" s="305"/>
      <c r="I50" s="305">
        <f>AVERAGE(I42:I48)</f>
        <v>3.0457142857142858</v>
      </c>
      <c r="J50" s="305"/>
      <c r="K50" s="305"/>
      <c r="L50" s="305"/>
      <c r="M50" s="305"/>
      <c r="N50" s="305"/>
      <c r="O50" s="305"/>
      <c r="P50" s="479">
        <f>AVERAGE(P37:P48)</f>
        <v>0.8682946707350726</v>
      </c>
    </row>
    <row r="51" spans="1:16" ht="14.5" customHeight="1">
      <c r="A51" s="1998"/>
      <c r="B51" s="166" t="s">
        <v>257</v>
      </c>
      <c r="C51" s="739">
        <f>STDEV(C37:C48)</f>
        <v>0.988931022964602</v>
      </c>
      <c r="D51" s="739">
        <f t="shared" ref="D51:I51" si="16">STDEV(D37:D48)</f>
        <v>46.864196221393051</v>
      </c>
      <c r="E51" s="739">
        <f t="shared" si="16"/>
        <v>6.0450518207168003</v>
      </c>
      <c r="F51" s="739">
        <f>F50*SQRT(D51^2/D50^2+C51^2/C50^2)</f>
        <v>20.321094309866197</v>
      </c>
      <c r="G51" s="739"/>
      <c r="H51" s="739"/>
      <c r="I51" s="739">
        <f t="shared" si="16"/>
        <v>0.88709365430891696</v>
      </c>
      <c r="J51" s="307"/>
      <c r="K51" s="167"/>
      <c r="L51" s="167"/>
      <c r="M51" s="307"/>
      <c r="N51" s="307"/>
      <c r="O51" s="167"/>
    </row>
    <row r="52" spans="1:16" ht="14.5" customHeight="1">
      <c r="A52" s="1993" t="s">
        <v>444</v>
      </c>
      <c r="B52" s="317" t="s">
        <v>543</v>
      </c>
      <c r="C52" s="318">
        <v>4.4729999999999999</v>
      </c>
      <c r="D52" s="318">
        <v>149.16499999999999</v>
      </c>
      <c r="E52" s="318">
        <v>64.2</v>
      </c>
      <c r="F52" s="13">
        <f t="shared" ref="F52:F63" si="17">D52/C52</f>
        <v>33.347864967583277</v>
      </c>
      <c r="H52" s="13"/>
      <c r="I52" s="318">
        <v>2.3250000000000002</v>
      </c>
      <c r="J52" s="318"/>
      <c r="K52" s="13"/>
      <c r="L52" s="13"/>
      <c r="M52" s="318"/>
      <c r="N52" s="318"/>
      <c r="O52" s="13"/>
      <c r="P52" s="391">
        <f>I52/C52</f>
        <v>0.51978537894030852</v>
      </c>
    </row>
    <row r="53" spans="1:16">
      <c r="A53" s="1993"/>
      <c r="B53" s="317" t="s">
        <v>445</v>
      </c>
      <c r="C53" s="318">
        <v>4.4009999999999998</v>
      </c>
      <c r="D53" s="318">
        <v>117.602</v>
      </c>
      <c r="E53" s="318">
        <v>61.5</v>
      </c>
      <c r="F53" s="13">
        <f t="shared" si="17"/>
        <v>26.721654169506934</v>
      </c>
      <c r="G53" s="477"/>
      <c r="H53" s="13"/>
      <c r="I53" s="318">
        <v>1.911</v>
      </c>
      <c r="J53" s="318"/>
      <c r="K53" s="13"/>
      <c r="L53" s="13"/>
      <c r="M53" s="318"/>
      <c r="N53" s="318"/>
      <c r="O53" s="13"/>
      <c r="P53" s="391">
        <f t="shared" ref="P53:P63" si="18">I53/C53</f>
        <v>0.43421949556918887</v>
      </c>
    </row>
    <row r="54" spans="1:16">
      <c r="A54" s="1993"/>
      <c r="B54" s="317" t="s">
        <v>545</v>
      </c>
      <c r="C54" s="318">
        <v>4.9950000000000001</v>
      </c>
      <c r="D54" s="318">
        <v>116.002</v>
      </c>
      <c r="E54" s="318">
        <v>56.4</v>
      </c>
      <c r="F54" s="13">
        <f t="shared" si="17"/>
        <v>23.223623623623624</v>
      </c>
      <c r="G54" s="477"/>
      <c r="H54" s="13"/>
      <c r="I54" s="318">
        <v>2.0579999999999998</v>
      </c>
      <c r="J54" s="318"/>
      <c r="K54" s="13"/>
      <c r="L54" s="13"/>
      <c r="M54" s="318"/>
      <c r="N54" s="318"/>
      <c r="O54" s="13"/>
      <c r="P54" s="391">
        <f t="shared" si="18"/>
        <v>0.41201201201201199</v>
      </c>
    </row>
    <row r="55" spans="1:16">
      <c r="A55" s="1993"/>
      <c r="B55" s="317" t="s">
        <v>547</v>
      </c>
      <c r="C55" s="318">
        <v>4.5970000000000004</v>
      </c>
      <c r="D55" s="318">
        <v>144.38300000000001</v>
      </c>
      <c r="E55" s="318">
        <v>65</v>
      </c>
      <c r="F55" s="13">
        <f>D55/C55</f>
        <v>31.408092234065695</v>
      </c>
      <c r="G55" s="477"/>
      <c r="H55" s="13"/>
      <c r="I55" s="318">
        <v>2.2200000000000002</v>
      </c>
      <c r="J55" s="318"/>
      <c r="K55" s="13"/>
      <c r="L55" s="13"/>
      <c r="M55" s="318"/>
      <c r="N55" s="318"/>
      <c r="O55" s="13"/>
      <c r="P55" s="391">
        <f t="shared" si="18"/>
        <v>0.48292364585599301</v>
      </c>
    </row>
    <row r="56" spans="1:16">
      <c r="A56" s="1993"/>
      <c r="B56" s="317" t="s">
        <v>548</v>
      </c>
      <c r="C56" s="318">
        <v>4.085</v>
      </c>
      <c r="D56" s="318">
        <v>115.69499999999999</v>
      </c>
      <c r="E56" s="318">
        <v>64.7</v>
      </c>
      <c r="F56" s="13">
        <f t="shared" si="17"/>
        <v>28.321909424724602</v>
      </c>
      <c r="G56" s="477"/>
      <c r="H56" s="13"/>
      <c r="I56" s="318">
        <v>1.7869999999999999</v>
      </c>
      <c r="J56" s="318"/>
      <c r="K56" s="13"/>
      <c r="L56" s="13"/>
      <c r="M56" s="318"/>
      <c r="N56" s="318"/>
      <c r="O56" s="13"/>
      <c r="P56" s="391">
        <f t="shared" si="18"/>
        <v>0.43745410036719706</v>
      </c>
    </row>
    <row r="57" spans="1:16">
      <c r="A57" s="1993"/>
      <c r="B57" s="5" t="s">
        <v>434</v>
      </c>
      <c r="C57" s="10">
        <v>4.25</v>
      </c>
      <c r="D57" s="10">
        <v>114.86</v>
      </c>
      <c r="E57" s="10">
        <v>63</v>
      </c>
      <c r="F57" s="13">
        <f t="shared" si="17"/>
        <v>27.025882352941178</v>
      </c>
      <c r="G57" s="477"/>
      <c r="H57" s="13"/>
      <c r="I57" s="10">
        <v>1.82</v>
      </c>
      <c r="J57" s="10"/>
      <c r="K57" s="13"/>
      <c r="L57" s="13"/>
      <c r="M57" s="10"/>
      <c r="N57" s="10"/>
      <c r="O57" s="13"/>
      <c r="P57" s="391">
        <f t="shared" si="18"/>
        <v>0.42823529411764705</v>
      </c>
    </row>
    <row r="58" spans="1:16">
      <c r="A58" s="1993"/>
      <c r="B58" s="5" t="s">
        <v>730</v>
      </c>
      <c r="C58" s="10">
        <v>4.17</v>
      </c>
      <c r="D58" s="10">
        <v>93.52</v>
      </c>
      <c r="E58" s="10">
        <v>59.8</v>
      </c>
      <c r="F58" s="13">
        <f t="shared" si="17"/>
        <v>22.426858513189448</v>
      </c>
      <c r="G58" s="477"/>
      <c r="H58" s="13"/>
      <c r="I58" s="10">
        <v>1.56</v>
      </c>
      <c r="J58" s="10"/>
      <c r="K58" s="13"/>
      <c r="L58" s="13"/>
      <c r="M58" s="10"/>
      <c r="N58" s="10"/>
      <c r="O58" s="13"/>
      <c r="P58" s="391">
        <f t="shared" si="18"/>
        <v>0.37410071942446044</v>
      </c>
    </row>
    <row r="59" spans="1:16">
      <c r="A59" s="1993"/>
      <c r="B59" s="5" t="s">
        <v>739</v>
      </c>
      <c r="C59" s="10">
        <v>3.76</v>
      </c>
      <c r="D59" s="10">
        <v>90.43</v>
      </c>
      <c r="E59" s="10">
        <v>60.1</v>
      </c>
      <c r="F59" s="13">
        <f t="shared" si="17"/>
        <v>24.050531914893622</v>
      </c>
      <c r="G59" s="477"/>
      <c r="H59" s="13"/>
      <c r="I59" s="10">
        <v>1.5</v>
      </c>
      <c r="J59" s="10"/>
      <c r="K59" s="13"/>
      <c r="L59" s="13"/>
      <c r="M59" s="10"/>
      <c r="N59" s="10"/>
      <c r="O59" s="13"/>
      <c r="P59" s="391">
        <f t="shared" si="18"/>
        <v>0.39893617021276601</v>
      </c>
    </row>
    <row r="60" spans="1:16">
      <c r="A60" s="1993"/>
      <c r="B60" s="5" t="s">
        <v>741</v>
      </c>
      <c r="C60" s="10">
        <v>3.25</v>
      </c>
      <c r="D60" s="10">
        <v>89.14</v>
      </c>
      <c r="E60" s="10">
        <v>63.7</v>
      </c>
      <c r="F60" s="13">
        <f t="shared" si="17"/>
        <v>27.427692307692308</v>
      </c>
      <c r="G60" s="477"/>
      <c r="H60" s="13"/>
      <c r="I60" s="10">
        <v>1.4</v>
      </c>
      <c r="J60" s="10"/>
      <c r="K60" s="13"/>
      <c r="L60" s="13"/>
      <c r="M60" s="10"/>
      <c r="N60" s="10"/>
      <c r="O60" s="13"/>
      <c r="P60" s="391">
        <f t="shared" si="18"/>
        <v>0.43076923076923074</v>
      </c>
    </row>
    <row r="61" spans="1:16">
      <c r="A61" s="1993"/>
      <c r="B61" s="5" t="s">
        <v>735</v>
      </c>
      <c r="C61" s="10">
        <v>3.4</v>
      </c>
      <c r="D61" s="10">
        <v>93.08</v>
      </c>
      <c r="E61" s="10">
        <v>67.5</v>
      </c>
      <c r="F61" s="13">
        <f t="shared" si="17"/>
        <v>27.376470588235293</v>
      </c>
      <c r="G61" s="477"/>
      <c r="H61" s="13"/>
      <c r="I61" s="10">
        <v>1.38</v>
      </c>
      <c r="J61" s="10"/>
      <c r="K61" s="13"/>
      <c r="L61" s="13"/>
      <c r="M61" s="10"/>
      <c r="N61" s="10"/>
      <c r="O61" s="13"/>
      <c r="P61" s="391">
        <f t="shared" si="18"/>
        <v>0.40588235294117647</v>
      </c>
    </row>
    <row r="62" spans="1:16">
      <c r="A62" s="1993"/>
      <c r="B62" s="5" t="s">
        <v>737</v>
      </c>
      <c r="C62" s="10">
        <v>3.14</v>
      </c>
      <c r="D62" s="10">
        <v>81.19</v>
      </c>
      <c r="E62" s="10">
        <v>64.3</v>
      </c>
      <c r="F62" s="13">
        <f t="shared" si="17"/>
        <v>25.85668789808917</v>
      </c>
      <c r="G62" s="477"/>
      <c r="H62" s="13"/>
      <c r="I62" s="10">
        <v>1.26</v>
      </c>
      <c r="J62" s="10"/>
      <c r="K62" s="13"/>
      <c r="L62" s="13"/>
      <c r="M62" s="10"/>
      <c r="N62" s="10"/>
      <c r="O62" s="13"/>
      <c r="P62" s="391">
        <f t="shared" si="18"/>
        <v>0.40127388535031844</v>
      </c>
    </row>
    <row r="63" spans="1:16">
      <c r="A63" s="1993"/>
      <c r="B63" s="5" t="s">
        <v>738</v>
      </c>
      <c r="C63" s="10">
        <v>2.5</v>
      </c>
      <c r="D63" s="10">
        <v>53.65</v>
      </c>
      <c r="E63" s="10">
        <v>57.1</v>
      </c>
      <c r="F63" s="13">
        <f t="shared" si="17"/>
        <v>21.46</v>
      </c>
      <c r="G63" s="477"/>
      <c r="H63" s="13"/>
      <c r="I63" s="10">
        <v>0.94</v>
      </c>
      <c r="J63" s="10"/>
      <c r="K63" s="13"/>
      <c r="L63" s="13"/>
      <c r="M63" s="10"/>
      <c r="N63" s="10"/>
      <c r="O63" s="13"/>
      <c r="P63" s="391">
        <f t="shared" si="18"/>
        <v>0.376</v>
      </c>
    </row>
    <row r="64" spans="1:16">
      <c r="A64" s="1993"/>
      <c r="B64" s="11" t="s">
        <v>742</v>
      </c>
      <c r="C64" s="11" t="s">
        <v>685</v>
      </c>
      <c r="D64" s="11" t="s">
        <v>687</v>
      </c>
      <c r="E64" s="12">
        <v>59.8</v>
      </c>
      <c r="F64" s="13"/>
      <c r="H64" s="13"/>
      <c r="I64" s="11" t="s">
        <v>686</v>
      </c>
      <c r="J64" s="11"/>
      <c r="K64" s="13"/>
      <c r="L64" s="13"/>
      <c r="M64" s="11"/>
      <c r="N64" s="11"/>
      <c r="O64" s="13"/>
    </row>
    <row r="65" spans="1:16">
      <c r="A65" s="1993"/>
      <c r="B65" s="304" t="s">
        <v>740</v>
      </c>
      <c r="C65" s="745">
        <f>AVERAGE(C52:C63)</f>
        <v>3.9184166666666669</v>
      </c>
      <c r="D65" s="745">
        <f>AVERAGE(D52:D63)</f>
        <v>104.89308333333334</v>
      </c>
      <c r="E65" s="746">
        <f>AVERAGE(E57:E63)</f>
        <v>62.214285714285722</v>
      </c>
      <c r="F65" s="305">
        <f>AVERAGE(F52:F63)</f>
        <v>26.553938999545423</v>
      </c>
      <c r="H65" s="305"/>
      <c r="I65" s="304"/>
      <c r="J65" s="304"/>
      <c r="K65" s="305"/>
      <c r="L65" s="305"/>
      <c r="M65" s="304"/>
      <c r="N65" s="304"/>
      <c r="O65" s="305"/>
      <c r="P65" s="479">
        <f>AVERAGE(P52:P63)</f>
        <v>0.42513269046335816</v>
      </c>
    </row>
    <row r="66" spans="1:16">
      <c r="A66" s="1993"/>
      <c r="B66" s="307" t="s">
        <v>257</v>
      </c>
      <c r="C66" s="744">
        <f>STDEV(C52:C63)</f>
        <v>0.72107362608988868</v>
      </c>
      <c r="D66" s="744">
        <f t="shared" ref="D66:E66" si="19">STDEV(D52:D63)</f>
        <v>26.857075710503079</v>
      </c>
      <c r="E66" s="744">
        <f t="shared" si="19"/>
        <v>3.3537292675468011</v>
      </c>
      <c r="F66" s="167">
        <f>F65*SQRT(D66^2/D65^2+C66^2/C65^2)</f>
        <v>8.3727767679909313</v>
      </c>
      <c r="H66" s="167"/>
      <c r="I66" s="307"/>
      <c r="J66" s="307"/>
      <c r="K66" s="167"/>
      <c r="L66" s="167"/>
      <c r="M66" s="307"/>
      <c r="N66" s="307"/>
      <c r="O66" s="167"/>
    </row>
    <row r="67" spans="1:16">
      <c r="B67" s="3"/>
      <c r="C67" s="3"/>
      <c r="D67" s="3"/>
      <c r="E67" s="3"/>
      <c r="F67" s="4"/>
      <c r="H67" s="4"/>
      <c r="I67" s="3"/>
      <c r="J67" s="3"/>
      <c r="K67" s="4"/>
      <c r="L67" s="4"/>
      <c r="M67" s="3"/>
      <c r="N67" s="3"/>
      <c r="O67" s="4"/>
    </row>
    <row r="68" spans="1:16">
      <c r="B68" s="329" t="s">
        <v>447</v>
      </c>
      <c r="C68" s="1"/>
      <c r="D68" s="1"/>
      <c r="E68" s="1"/>
      <c r="F68" s="1"/>
      <c r="H68" s="1"/>
      <c r="I68" s="1"/>
      <c r="J68" s="1"/>
      <c r="K68" s="1"/>
      <c r="L68" s="1"/>
      <c r="M68" s="1"/>
      <c r="N68" s="1"/>
      <c r="O68" s="1"/>
    </row>
    <row r="69" spans="1:16">
      <c r="B69" s="329" t="s">
        <v>549</v>
      </c>
      <c r="C69" s="1"/>
      <c r="D69" s="1"/>
      <c r="E69" s="1"/>
      <c r="F69" s="1"/>
      <c r="H69" s="1"/>
      <c r="I69" s="1"/>
      <c r="J69" s="1"/>
      <c r="K69" s="1"/>
      <c r="L69" s="1"/>
      <c r="M69" s="1"/>
      <c r="N69" s="1"/>
      <c r="O69" s="1"/>
    </row>
    <row r="70" spans="1:16">
      <c r="B70" s="329" t="s">
        <v>646</v>
      </c>
      <c r="C70" s="1"/>
      <c r="D70" s="1"/>
      <c r="E70" s="1"/>
      <c r="F70" s="1"/>
      <c r="H70" s="1"/>
      <c r="I70" s="1"/>
      <c r="J70" s="1"/>
      <c r="K70" s="1"/>
      <c r="L70" s="1"/>
      <c r="M70" s="1"/>
      <c r="N70" s="1"/>
      <c r="O70" s="1"/>
    </row>
    <row r="71" spans="1:16" ht="22">
      <c r="B71" s="327" t="s">
        <v>647</v>
      </c>
      <c r="C71" s="2"/>
      <c r="D71" s="2"/>
      <c r="E71" s="2"/>
      <c r="F71" s="2"/>
      <c r="H71" s="2"/>
      <c r="I71" s="2"/>
      <c r="J71" s="2"/>
      <c r="K71" s="2"/>
      <c r="L71" s="2"/>
      <c r="M71" s="2"/>
      <c r="N71" s="2"/>
      <c r="O71" s="2"/>
    </row>
  </sheetData>
  <mergeCells count="4">
    <mergeCell ref="A52:A66"/>
    <mergeCell ref="A7:A21"/>
    <mergeCell ref="A22:A36"/>
    <mergeCell ref="A37:A51"/>
  </mergeCells>
  <phoneticPr fontId="107" type="noConversion"/>
  <hyperlinks>
    <hyperlink ref="A2" r:id="rId1" xr:uid="{00000000-0004-0000-0B00-000000000000}"/>
  </hyperlinks>
  <pageMargins left="0.7" right="0.7" top="0.75" bottom="0.75" header="0.3" footer="0.3"/>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X27"/>
  <sheetViews>
    <sheetView topLeftCell="E1" zoomScale="136" zoomScaleNormal="136" workbookViewId="0">
      <selection activeCell="T25" sqref="T25"/>
    </sheetView>
  </sheetViews>
  <sheetFormatPr baseColWidth="10" defaultColWidth="8.83203125" defaultRowHeight="15"/>
  <cols>
    <col min="5" max="5" width="10" bestFit="1" customWidth="1"/>
    <col min="6" max="6" width="9" bestFit="1" customWidth="1"/>
    <col min="9" max="9" width="9" bestFit="1" customWidth="1"/>
    <col min="19" max="19" width="15.1640625" bestFit="1" customWidth="1"/>
  </cols>
  <sheetData>
    <row r="1" spans="1:24" s="288" customFormat="1">
      <c r="A1" s="302" t="s">
        <v>370</v>
      </c>
    </row>
    <row r="2" spans="1:24" s="288" customFormat="1">
      <c r="A2" s="248" t="s">
        <v>369</v>
      </c>
    </row>
    <row r="3" spans="1:24" ht="17" thickBot="1">
      <c r="A3" s="2016" t="s">
        <v>604</v>
      </c>
      <c r="B3" s="2016"/>
      <c r="C3" s="2016"/>
      <c r="D3" s="2016"/>
      <c r="E3" s="2016"/>
      <c r="F3" s="2016"/>
      <c r="G3" s="2016"/>
      <c r="H3" s="2016"/>
      <c r="I3" s="2016"/>
      <c r="L3" s="1999" t="s">
        <v>448</v>
      </c>
      <c r="M3" s="1999"/>
      <c r="N3" s="1999"/>
      <c r="O3" s="1999"/>
      <c r="P3" s="1999"/>
      <c r="Q3" s="1999"/>
      <c r="R3" s="1999"/>
      <c r="S3" s="1999"/>
      <c r="T3" s="1999"/>
      <c r="U3" s="1999"/>
      <c r="V3" s="1999"/>
      <c r="W3" s="1999"/>
      <c r="X3" s="14"/>
    </row>
    <row r="4" spans="1:24" ht="38" thickBot="1">
      <c r="A4" s="2017" t="s">
        <v>605</v>
      </c>
      <c r="B4" s="2017"/>
      <c r="C4" s="58" t="s">
        <v>606</v>
      </c>
      <c r="D4" s="58" t="s">
        <v>607</v>
      </c>
      <c r="E4" s="58" t="s">
        <v>675</v>
      </c>
      <c r="F4" s="70" t="s">
        <v>608</v>
      </c>
      <c r="G4" s="58" t="s">
        <v>608</v>
      </c>
      <c r="H4" s="58" t="s">
        <v>609</v>
      </c>
      <c r="I4" s="57"/>
      <c r="L4" s="2005" t="s">
        <v>659</v>
      </c>
      <c r="M4" s="2005"/>
      <c r="N4" s="2005"/>
      <c r="O4" s="2005"/>
      <c r="P4" s="2005"/>
      <c r="Q4" s="2005"/>
      <c r="R4" s="2005"/>
      <c r="S4" s="2005"/>
      <c r="T4" s="2005"/>
      <c r="U4" s="2005"/>
      <c r="V4" s="2005"/>
      <c r="W4" s="2005"/>
      <c r="X4" s="2005"/>
    </row>
    <row r="5" spans="1:24" ht="37" thickBot="1">
      <c r="A5" s="2017"/>
      <c r="B5" s="2017"/>
      <c r="C5" s="59" t="s">
        <v>610</v>
      </c>
      <c r="D5" s="59" t="s">
        <v>610</v>
      </c>
      <c r="E5" s="59" t="s">
        <v>611</v>
      </c>
      <c r="F5" s="69" t="s">
        <v>612</v>
      </c>
      <c r="G5" s="59" t="s">
        <v>613</v>
      </c>
      <c r="H5" s="59" t="s">
        <v>542</v>
      </c>
      <c r="I5" s="313" t="s">
        <v>625</v>
      </c>
      <c r="L5" s="2006" t="s">
        <v>602</v>
      </c>
      <c r="M5" s="2009" t="s">
        <v>600</v>
      </c>
      <c r="N5" s="2010"/>
      <c r="O5" s="2010"/>
      <c r="P5" s="2010"/>
      <c r="Q5" s="2010" t="s">
        <v>601</v>
      </c>
      <c r="R5" s="2010"/>
      <c r="S5" s="2010"/>
      <c r="T5" s="2010"/>
      <c r="U5" s="2010"/>
      <c r="V5" s="2010"/>
      <c r="W5" s="19"/>
      <c r="X5" s="20"/>
    </row>
    <row r="6" spans="1:24" ht="16" thickBot="1">
      <c r="A6" s="2018" t="s">
        <v>468</v>
      </c>
      <c r="B6" s="60" t="s">
        <v>543</v>
      </c>
      <c r="C6" s="63">
        <v>62.55</v>
      </c>
      <c r="D6" s="63">
        <v>53.06</v>
      </c>
      <c r="E6" s="113">
        <v>2228.16</v>
      </c>
      <c r="F6" s="71">
        <f t="shared" ref="F6:F7" si="0">E6/C6</f>
        <v>35.622062350119904</v>
      </c>
      <c r="G6" s="63">
        <v>42</v>
      </c>
      <c r="H6" s="61" t="s">
        <v>544</v>
      </c>
      <c r="I6" s="483">
        <f>D6/C6</f>
        <v>0.84828137490008004</v>
      </c>
      <c r="L6" s="2007"/>
      <c r="M6" s="2011"/>
      <c r="N6" s="2012"/>
      <c r="O6" s="2012"/>
      <c r="P6" s="2012"/>
      <c r="Q6" s="2013" t="s">
        <v>673</v>
      </c>
      <c r="R6" s="2013"/>
      <c r="S6" s="2013"/>
      <c r="T6" s="2013"/>
      <c r="U6" s="2012"/>
      <c r="V6" s="2012"/>
      <c r="W6" s="21"/>
      <c r="X6" s="20"/>
    </row>
    <row r="7" spans="1:24" ht="25.5" customHeight="1">
      <c r="A7" s="2018"/>
      <c r="B7" s="60" t="s">
        <v>445</v>
      </c>
      <c r="C7" s="63">
        <v>59.43</v>
      </c>
      <c r="D7" s="63">
        <v>48.47</v>
      </c>
      <c r="E7" s="113">
        <v>1947.45</v>
      </c>
      <c r="F7" s="71">
        <f t="shared" si="0"/>
        <v>32.76880363452802</v>
      </c>
      <c r="G7" s="63">
        <v>40.200000000000003</v>
      </c>
      <c r="H7" s="61" t="s">
        <v>446</v>
      </c>
      <c r="I7" s="483">
        <f t="shared" ref="I7:I17" si="1">D7/C7</f>
        <v>0.81558135621739858</v>
      </c>
      <c r="L7" s="2008"/>
      <c r="M7" s="194" t="s">
        <v>674</v>
      </c>
      <c r="N7" s="22" t="s">
        <v>675</v>
      </c>
      <c r="O7" s="22" t="s">
        <v>723</v>
      </c>
      <c r="P7" s="22" t="s">
        <v>724</v>
      </c>
      <c r="Q7" s="22" t="s">
        <v>725</v>
      </c>
      <c r="R7" s="22" t="s">
        <v>489</v>
      </c>
      <c r="S7" s="22" t="s">
        <v>490</v>
      </c>
      <c r="T7" s="22" t="s">
        <v>726</v>
      </c>
      <c r="U7" s="22" t="s">
        <v>727</v>
      </c>
      <c r="V7" s="22" t="s">
        <v>728</v>
      </c>
      <c r="W7" s="23" t="s">
        <v>368</v>
      </c>
      <c r="X7" s="20"/>
    </row>
    <row r="8" spans="1:24">
      <c r="A8" s="2018"/>
      <c r="B8" s="60" t="s">
        <v>545</v>
      </c>
      <c r="C8" s="63">
        <v>60.32</v>
      </c>
      <c r="D8" s="63">
        <v>45.82</v>
      </c>
      <c r="E8" s="113">
        <v>1605.88</v>
      </c>
      <c r="F8" s="71">
        <f>E8/C8</f>
        <v>26.622679045092841</v>
      </c>
      <c r="G8" s="63">
        <v>35</v>
      </c>
      <c r="H8" s="61" t="s">
        <v>546</v>
      </c>
      <c r="I8" s="483">
        <f t="shared" si="1"/>
        <v>0.75961538461538458</v>
      </c>
      <c r="L8" s="195">
        <v>2001</v>
      </c>
      <c r="M8" s="24">
        <v>950</v>
      </c>
      <c r="N8" s="25">
        <v>2228</v>
      </c>
      <c r="O8" s="24">
        <v>90</v>
      </c>
      <c r="P8" s="25">
        <v>3268</v>
      </c>
      <c r="Q8" s="24">
        <v>950</v>
      </c>
      <c r="R8" s="24">
        <v>79</v>
      </c>
      <c r="S8" s="199">
        <v>300</v>
      </c>
      <c r="T8" s="25">
        <v>1330</v>
      </c>
      <c r="U8" s="25">
        <v>1062</v>
      </c>
      <c r="V8" s="25">
        <v>2392</v>
      </c>
      <c r="W8" s="26">
        <v>876</v>
      </c>
      <c r="X8" s="27"/>
    </row>
    <row r="9" spans="1:24">
      <c r="A9" s="2018"/>
      <c r="B9" s="60" t="s">
        <v>547</v>
      </c>
      <c r="C9" s="63">
        <v>62.14</v>
      </c>
      <c r="D9" s="63">
        <v>53.06</v>
      </c>
      <c r="E9" s="113">
        <v>2344.42</v>
      </c>
      <c r="F9" s="71">
        <f>E9/C9</f>
        <v>37.728033472803347</v>
      </c>
      <c r="G9" s="63">
        <v>44.2</v>
      </c>
      <c r="H9" s="61" t="s">
        <v>429</v>
      </c>
      <c r="I9" s="483">
        <f t="shared" si="1"/>
        <v>0.85387833923398782</v>
      </c>
      <c r="L9" s="196">
        <v>2002</v>
      </c>
      <c r="M9" s="29">
        <v>876</v>
      </c>
      <c r="N9" s="30">
        <v>1947</v>
      </c>
      <c r="O9" s="29">
        <v>108</v>
      </c>
      <c r="P9" s="30">
        <v>2931</v>
      </c>
      <c r="Q9" s="29">
        <v>926</v>
      </c>
      <c r="R9" s="29">
        <v>83</v>
      </c>
      <c r="S9" s="200">
        <v>182</v>
      </c>
      <c r="T9" s="30">
        <v>1192</v>
      </c>
      <c r="U9" s="29">
        <v>962</v>
      </c>
      <c r="V9" s="30">
        <v>2154</v>
      </c>
      <c r="W9" s="31">
        <v>777</v>
      </c>
      <c r="X9" s="27"/>
    </row>
    <row r="10" spans="1:24">
      <c r="A10" s="2018"/>
      <c r="B10" s="60" t="s">
        <v>548</v>
      </c>
      <c r="C10" s="63">
        <v>59.64</v>
      </c>
      <c r="D10" s="63">
        <v>49.97</v>
      </c>
      <c r="E10" s="113">
        <v>2156.79</v>
      </c>
      <c r="F10" s="71">
        <f t="shared" ref="F10:F17" si="2">E10/C10</f>
        <v>36.16348088531187</v>
      </c>
      <c r="G10" s="63">
        <v>43.2</v>
      </c>
      <c r="H10" s="61" t="s">
        <v>429</v>
      </c>
      <c r="I10" s="483">
        <f t="shared" si="1"/>
        <v>0.83786049631120052</v>
      </c>
      <c r="L10" s="196">
        <v>2003</v>
      </c>
      <c r="M10" s="29">
        <v>777</v>
      </c>
      <c r="N10" s="30">
        <v>1606</v>
      </c>
      <c r="O10" s="29">
        <v>77</v>
      </c>
      <c r="P10" s="30">
        <v>2460</v>
      </c>
      <c r="Q10" s="29">
        <v>919</v>
      </c>
      <c r="R10" s="29">
        <v>84</v>
      </c>
      <c r="S10" s="200">
        <v>116</v>
      </c>
      <c r="T10" s="30">
        <v>1119</v>
      </c>
      <c r="U10" s="29">
        <v>850</v>
      </c>
      <c r="V10" s="30">
        <v>1969</v>
      </c>
      <c r="W10" s="31">
        <v>491</v>
      </c>
      <c r="X10" s="27"/>
    </row>
    <row r="11" spans="1:24">
      <c r="A11" s="2018"/>
      <c r="B11" s="60" t="s">
        <v>434</v>
      </c>
      <c r="C11" s="63">
        <v>57.21</v>
      </c>
      <c r="D11" s="63">
        <v>50.1</v>
      </c>
      <c r="E11" s="113">
        <v>2103.33</v>
      </c>
      <c r="F11" s="71">
        <f t="shared" si="2"/>
        <v>36.765076035658097</v>
      </c>
      <c r="G11" s="63">
        <v>42</v>
      </c>
      <c r="H11" s="61" t="s">
        <v>652</v>
      </c>
      <c r="I11" s="483">
        <f t="shared" si="1"/>
        <v>0.87572102779234395</v>
      </c>
      <c r="L11" s="196">
        <v>2004</v>
      </c>
      <c r="M11" s="29">
        <v>491</v>
      </c>
      <c r="N11" s="30">
        <v>2344</v>
      </c>
      <c r="O11" s="29">
        <v>63</v>
      </c>
      <c r="P11" s="30">
        <v>2899</v>
      </c>
      <c r="Q11" s="29">
        <v>912</v>
      </c>
      <c r="R11" s="29">
        <v>80</v>
      </c>
      <c r="S11" s="200">
        <v>203</v>
      </c>
      <c r="T11" s="30">
        <v>1194</v>
      </c>
      <c r="U11" s="30">
        <v>1158</v>
      </c>
      <c r="V11" s="30">
        <v>2352</v>
      </c>
      <c r="W11" s="31">
        <v>546</v>
      </c>
      <c r="X11" s="27"/>
    </row>
    <row r="12" spans="1:24" ht="16" thickBot="1">
      <c r="A12" s="2018"/>
      <c r="B12" s="60" t="s">
        <v>730</v>
      </c>
      <c r="C12" s="63">
        <v>57.33</v>
      </c>
      <c r="D12" s="63">
        <v>46.8</v>
      </c>
      <c r="E12" s="113">
        <v>1808.42</v>
      </c>
      <c r="F12" s="71">
        <f t="shared" si="2"/>
        <v>31.544043258328976</v>
      </c>
      <c r="G12" s="63">
        <v>38.6</v>
      </c>
      <c r="H12" s="61" t="s">
        <v>653</v>
      </c>
      <c r="I12" s="483">
        <f t="shared" si="1"/>
        <v>0.81632653061224492</v>
      </c>
      <c r="L12" s="196">
        <v>2005</v>
      </c>
      <c r="M12" s="29">
        <v>546</v>
      </c>
      <c r="N12" s="30">
        <v>2157</v>
      </c>
      <c r="O12" s="29">
        <v>71</v>
      </c>
      <c r="P12" s="30">
        <v>2774</v>
      </c>
      <c r="Q12" s="29">
        <v>910</v>
      </c>
      <c r="R12" s="29">
        <v>78</v>
      </c>
      <c r="S12" s="200">
        <v>181</v>
      </c>
      <c r="T12" s="30">
        <v>1168</v>
      </c>
      <c r="U12" s="30">
        <v>1066</v>
      </c>
      <c r="V12" s="30">
        <v>2234</v>
      </c>
      <c r="W12" s="31">
        <v>540</v>
      </c>
      <c r="X12" s="27"/>
    </row>
    <row r="13" spans="1:24">
      <c r="A13" s="2018"/>
      <c r="B13" s="60" t="s">
        <v>739</v>
      </c>
      <c r="C13" s="63">
        <v>60.46</v>
      </c>
      <c r="D13" s="63">
        <v>51</v>
      </c>
      <c r="E13" s="113">
        <v>2051.09</v>
      </c>
      <c r="F13" s="71">
        <f t="shared" si="2"/>
        <v>33.924743632153493</v>
      </c>
      <c r="G13" s="63">
        <v>40.200000000000003</v>
      </c>
      <c r="H13" s="61" t="s">
        <v>654</v>
      </c>
      <c r="I13" s="483">
        <f t="shared" si="1"/>
        <v>0.84353291432351962</v>
      </c>
      <c r="L13" s="197">
        <v>2006</v>
      </c>
      <c r="M13" s="184">
        <v>540</v>
      </c>
      <c r="N13" s="185">
        <v>2103</v>
      </c>
      <c r="O13" s="184">
        <v>81</v>
      </c>
      <c r="P13" s="185">
        <v>2725</v>
      </c>
      <c r="Q13" s="184">
        <v>917</v>
      </c>
      <c r="R13" s="184">
        <v>77</v>
      </c>
      <c r="S13" s="201">
        <v>157</v>
      </c>
      <c r="T13" s="185">
        <v>1151</v>
      </c>
      <c r="U13" s="185">
        <v>1003</v>
      </c>
      <c r="V13" s="185">
        <v>2154</v>
      </c>
      <c r="W13" s="186">
        <v>571</v>
      </c>
      <c r="X13" s="27"/>
    </row>
    <row r="14" spans="1:24">
      <c r="A14" s="2018"/>
      <c r="B14" s="60" t="s">
        <v>741</v>
      </c>
      <c r="C14" s="63">
        <v>63.19</v>
      </c>
      <c r="D14" s="63">
        <v>55.7</v>
      </c>
      <c r="E14" s="113">
        <v>2499.16</v>
      </c>
      <c r="F14" s="71">
        <f t="shared" si="2"/>
        <v>39.549928786200347</v>
      </c>
      <c r="G14" s="63">
        <v>44.9</v>
      </c>
      <c r="H14" s="61" t="s">
        <v>655</v>
      </c>
      <c r="I14" s="483">
        <f t="shared" si="1"/>
        <v>0.88146858680170925</v>
      </c>
      <c r="L14" s="196">
        <v>2007</v>
      </c>
      <c r="M14" s="67">
        <v>571</v>
      </c>
      <c r="N14" s="68">
        <v>1808</v>
      </c>
      <c r="O14" s="67">
        <v>122</v>
      </c>
      <c r="P14" s="68">
        <v>2501</v>
      </c>
      <c r="Q14" s="67">
        <v>938</v>
      </c>
      <c r="R14" s="67">
        <v>82</v>
      </c>
      <c r="S14" s="200">
        <v>117</v>
      </c>
      <c r="T14" s="68">
        <v>1137</v>
      </c>
      <c r="U14" s="67">
        <v>908</v>
      </c>
      <c r="V14" s="68">
        <v>2045</v>
      </c>
      <c r="W14" s="187">
        <v>456</v>
      </c>
      <c r="X14" s="27"/>
    </row>
    <row r="15" spans="1:24">
      <c r="A15" s="2018"/>
      <c r="B15" s="60" t="s">
        <v>735</v>
      </c>
      <c r="C15" s="63">
        <v>59.17</v>
      </c>
      <c r="D15" s="63">
        <v>49.89</v>
      </c>
      <c r="E15" s="113">
        <v>2218.06</v>
      </c>
      <c r="F15" s="71">
        <f t="shared" si="2"/>
        <v>37.486226128105457</v>
      </c>
      <c r="G15" s="63">
        <v>44.5</v>
      </c>
      <c r="H15" s="61" t="s">
        <v>656</v>
      </c>
      <c r="I15" s="483">
        <f t="shared" si="1"/>
        <v>0.84316376542166638</v>
      </c>
      <c r="L15" s="196">
        <v>2008</v>
      </c>
      <c r="M15" s="67">
        <v>456</v>
      </c>
      <c r="N15" s="68">
        <v>2051</v>
      </c>
      <c r="O15" s="67">
        <v>113</v>
      </c>
      <c r="P15" s="68">
        <v>2620</v>
      </c>
      <c r="Q15" s="67">
        <v>948</v>
      </c>
      <c r="R15" s="67">
        <v>88</v>
      </c>
      <c r="S15" s="204">
        <v>16</v>
      </c>
      <c r="T15" s="68">
        <v>1051</v>
      </c>
      <c r="U15" s="68">
        <v>1263</v>
      </c>
      <c r="V15" s="68">
        <v>2314</v>
      </c>
      <c r="W15" s="187">
        <v>306</v>
      </c>
      <c r="X15" s="27"/>
    </row>
    <row r="16" spans="1:24">
      <c r="A16" s="2018"/>
      <c r="B16" s="60" t="s">
        <v>737</v>
      </c>
      <c r="C16" s="63">
        <v>53.59</v>
      </c>
      <c r="D16" s="63">
        <v>47.62</v>
      </c>
      <c r="E16" s="113">
        <v>2206.92</v>
      </c>
      <c r="F16" s="71">
        <f t="shared" si="2"/>
        <v>41.181563724575476</v>
      </c>
      <c r="G16" s="63">
        <v>46.3</v>
      </c>
      <c r="H16" s="61" t="s">
        <v>657</v>
      </c>
      <c r="I16" s="483">
        <f t="shared" si="1"/>
        <v>0.88859861914536287</v>
      </c>
      <c r="L16" s="196">
        <v>2009</v>
      </c>
      <c r="M16" s="67">
        <v>306</v>
      </c>
      <c r="N16" s="68">
        <v>2499</v>
      </c>
      <c r="O16" s="67">
        <v>127</v>
      </c>
      <c r="P16" s="68">
        <v>2932</v>
      </c>
      <c r="Q16" s="67">
        <v>927</v>
      </c>
      <c r="R16" s="67">
        <v>78</v>
      </c>
      <c r="S16" s="200">
        <v>255</v>
      </c>
      <c r="T16" s="68">
        <v>1260</v>
      </c>
      <c r="U16" s="68">
        <v>1015</v>
      </c>
      <c r="V16" s="68">
        <v>2275</v>
      </c>
      <c r="W16" s="187">
        <v>657</v>
      </c>
      <c r="X16" s="27"/>
    </row>
    <row r="17" spans="1:24">
      <c r="A17" s="2018"/>
      <c r="B17" s="60" t="s">
        <v>738</v>
      </c>
      <c r="C17" s="63">
        <v>54.41</v>
      </c>
      <c r="D17" s="63">
        <v>45.71</v>
      </c>
      <c r="E17" s="113">
        <v>1999.35</v>
      </c>
      <c r="F17" s="71">
        <f t="shared" si="2"/>
        <v>36.746002573056423</v>
      </c>
      <c r="G17" s="63">
        <v>43.7</v>
      </c>
      <c r="H17" s="61" t="s">
        <v>591</v>
      </c>
      <c r="I17" s="483">
        <f t="shared" si="1"/>
        <v>0.84010292225693817</v>
      </c>
      <c r="L17" s="196">
        <v>2010</v>
      </c>
      <c r="M17" s="67">
        <v>657</v>
      </c>
      <c r="N17" s="68">
        <v>2218</v>
      </c>
      <c r="O17" s="67">
        <v>119</v>
      </c>
      <c r="P17" s="68">
        <v>2993</v>
      </c>
      <c r="Q17" s="67">
        <v>919</v>
      </c>
      <c r="R17" s="67">
        <v>69</v>
      </c>
      <c r="S17" s="200">
        <v>150</v>
      </c>
      <c r="T17" s="68">
        <v>1138</v>
      </c>
      <c r="U17" s="67">
        <v>879</v>
      </c>
      <c r="V17" s="68">
        <v>2018</v>
      </c>
      <c r="W17" s="187">
        <v>976</v>
      </c>
      <c r="X17" s="27"/>
    </row>
    <row r="18" spans="1:24" ht="16" thickBot="1">
      <c r="A18" s="2018"/>
      <c r="B18" s="64" t="s">
        <v>742</v>
      </c>
      <c r="C18" s="65" t="s">
        <v>592</v>
      </c>
      <c r="D18" s="65" t="s">
        <v>593</v>
      </c>
      <c r="E18" s="65" t="s">
        <v>594</v>
      </c>
      <c r="F18" s="65"/>
      <c r="G18" s="65" t="s">
        <v>595</v>
      </c>
      <c r="H18" s="65" t="s">
        <v>596</v>
      </c>
      <c r="I18" s="484"/>
      <c r="L18" s="198">
        <v>2011</v>
      </c>
      <c r="M18" s="188">
        <v>976</v>
      </c>
      <c r="N18" s="189">
        <v>2207</v>
      </c>
      <c r="O18" s="188">
        <v>97</v>
      </c>
      <c r="P18" s="189">
        <v>3279</v>
      </c>
      <c r="Q18" s="188">
        <v>926</v>
      </c>
      <c r="R18" s="188">
        <v>71</v>
      </c>
      <c r="S18" s="202">
        <v>132</v>
      </c>
      <c r="T18" s="189">
        <v>1128</v>
      </c>
      <c r="U18" s="189">
        <v>1289</v>
      </c>
      <c r="V18" s="189">
        <v>2417</v>
      </c>
      <c r="W18" s="190">
        <v>862</v>
      </c>
      <c r="X18" s="32"/>
    </row>
    <row r="19" spans="1:24">
      <c r="A19" s="2018"/>
      <c r="B19" s="754" t="s">
        <v>740</v>
      </c>
      <c r="C19" s="66">
        <f t="shared" ref="C19:E19" si="3">AVERAGE(C6:C17)</f>
        <v>59.12</v>
      </c>
      <c r="D19" s="66">
        <f t="shared" si="3"/>
        <v>49.766666666666673</v>
      </c>
      <c r="E19" s="66">
        <f t="shared" si="3"/>
        <v>2097.4191666666666</v>
      </c>
      <c r="F19" s="66">
        <f>AVERAGE(F6:F17)</f>
        <v>35.508553627161184</v>
      </c>
      <c r="G19" s="66">
        <f>AVERAGE(G6:G17)</f>
        <v>42.06666666666667</v>
      </c>
      <c r="H19" s="66"/>
      <c r="I19" s="485">
        <f>AVERAGE(I6:I17)</f>
        <v>0.84201094313598634</v>
      </c>
      <c r="L19" s="197" t="s">
        <v>740</v>
      </c>
      <c r="M19" s="191">
        <v>649.63636363636363</v>
      </c>
      <c r="N19" s="191">
        <f>AVERAGE(N8:N18)</f>
        <v>2106.181818181818</v>
      </c>
      <c r="O19" s="191">
        <f>AVERAGE(O8:O18)</f>
        <v>97.090909090909093</v>
      </c>
      <c r="P19" s="191">
        <f>AVERAGE(P8:P18)</f>
        <v>2852.909090909091</v>
      </c>
      <c r="Q19" s="191">
        <f>AVERAGE(Q8:Q18)</f>
        <v>926.5454545454545</v>
      </c>
      <c r="R19" s="191">
        <f>AVERAGE(R8:R18)</f>
        <v>79</v>
      </c>
      <c r="S19" s="203">
        <f>AVERAGE(S8:S14,S16:S18)</f>
        <v>179.3</v>
      </c>
      <c r="T19" s="191">
        <f>AVERAGE(T8:T18)</f>
        <v>1169.8181818181818</v>
      </c>
      <c r="U19" s="191">
        <f>AVERAGE(U8:U18)</f>
        <v>1041.3636363636363</v>
      </c>
      <c r="V19" s="191">
        <f>AVERAGE(V8:V18)</f>
        <v>2211.2727272727275</v>
      </c>
      <c r="W19" s="192">
        <f>AVERAGE(W8:W18)</f>
        <v>641.63636363636363</v>
      </c>
      <c r="X19" s="32"/>
    </row>
    <row r="20" spans="1:24" ht="16" thickBot="1">
      <c r="A20" s="57"/>
      <c r="B20" s="62" t="s">
        <v>257</v>
      </c>
      <c r="C20" s="753">
        <f t="shared" ref="C20:D20" si="4">STDEV(C6:C17)</f>
        <v>3.0252272641902453</v>
      </c>
      <c r="D20" s="753">
        <f t="shared" si="4"/>
        <v>3.0999804495962224</v>
      </c>
      <c r="E20" s="753">
        <f>STDEV(E6:E17)</f>
        <v>239.1250578276175</v>
      </c>
      <c r="F20" s="303">
        <f>F19*SQRT(E20^2/E19^2+C20^2/C19^2)</f>
        <v>4.4373706241312201</v>
      </c>
      <c r="G20" s="62"/>
      <c r="H20" s="62"/>
      <c r="I20" s="57"/>
      <c r="L20" s="198" t="s">
        <v>257</v>
      </c>
      <c r="M20" s="188"/>
      <c r="N20" s="189"/>
      <c r="O20" s="193"/>
      <c r="P20" s="193"/>
      <c r="Q20" s="193"/>
      <c r="R20" s="193"/>
      <c r="S20" s="1604">
        <f>STDEV(S8:S14,S16:S18)</f>
        <v>59.955631743630015</v>
      </c>
      <c r="T20" s="193"/>
      <c r="U20" s="193">
        <f>U19/N19</f>
        <v>0.49443197513812154</v>
      </c>
      <c r="V20" s="189"/>
      <c r="W20" s="190"/>
      <c r="X20" s="32"/>
    </row>
    <row r="21" spans="1:24" ht="16" thickBot="1">
      <c r="A21" s="2014" t="s">
        <v>491</v>
      </c>
      <c r="B21" s="2014"/>
      <c r="C21" s="2014"/>
      <c r="D21" s="2014"/>
      <c r="E21" s="2014"/>
      <c r="F21" s="2014"/>
      <c r="G21" s="2014"/>
      <c r="H21" s="2014"/>
      <c r="I21" s="2014"/>
      <c r="L21" s="198" t="s">
        <v>720</v>
      </c>
      <c r="M21" s="188"/>
      <c r="N21" s="189"/>
      <c r="O21" s="193">
        <f t="shared" ref="O21:R21" si="5">O19/$N19</f>
        <v>4.6098066298342545E-2</v>
      </c>
      <c r="P21" s="193"/>
      <c r="Q21" s="193">
        <f t="shared" si="5"/>
        <v>0.43991712707182323</v>
      </c>
      <c r="R21" s="193">
        <f t="shared" si="5"/>
        <v>3.7508632596685083E-2</v>
      </c>
      <c r="S21" s="193">
        <f>S19/$N19</f>
        <v>8.5130352209944762E-2</v>
      </c>
      <c r="T21" s="193"/>
      <c r="U21" s="193">
        <f>U19/N19</f>
        <v>0.49443197513812154</v>
      </c>
      <c r="V21" s="189"/>
      <c r="W21" s="190"/>
      <c r="X21" s="32"/>
    </row>
    <row r="22" spans="1:24">
      <c r="A22" s="2015" t="s">
        <v>492</v>
      </c>
      <c r="B22" s="2015"/>
      <c r="C22" s="2015"/>
      <c r="D22" s="2015"/>
      <c r="E22" s="2015"/>
      <c r="F22" s="2015"/>
      <c r="G22" s="2015"/>
      <c r="H22" s="2015"/>
      <c r="I22" s="2015"/>
      <c r="L22" s="28"/>
      <c r="M22" s="29"/>
      <c r="N22" s="30"/>
      <c r="O22" s="29"/>
      <c r="P22" s="30"/>
      <c r="Q22" s="29"/>
      <c r="R22" s="29"/>
      <c r="S22" s="29"/>
      <c r="T22" s="30"/>
      <c r="U22" s="30"/>
      <c r="V22" s="30"/>
      <c r="W22" s="29"/>
      <c r="X22" s="32"/>
    </row>
    <row r="23" spans="1:24">
      <c r="E23">
        <f>E8/C8</f>
        <v>26.622679045092841</v>
      </c>
      <c r="L23" s="28"/>
      <c r="M23" s="29"/>
      <c r="N23" s="30"/>
      <c r="O23" s="29"/>
      <c r="P23" s="30"/>
      <c r="Q23" s="29"/>
      <c r="R23" s="29"/>
      <c r="S23" s="29"/>
      <c r="T23" s="30"/>
      <c r="U23" s="30"/>
      <c r="V23" s="30"/>
      <c r="W23" s="29"/>
      <c r="X23" s="32"/>
    </row>
    <row r="24" spans="1:24">
      <c r="L24" s="28"/>
      <c r="M24" s="29"/>
      <c r="N24" s="30"/>
      <c r="O24" s="29"/>
      <c r="P24" s="30"/>
      <c r="Q24" s="29"/>
      <c r="R24" s="29"/>
      <c r="S24" s="29"/>
      <c r="T24" s="30"/>
      <c r="U24" s="30"/>
      <c r="V24" s="30"/>
      <c r="W24" s="29"/>
      <c r="X24" s="32"/>
    </row>
    <row r="25" spans="1:24" ht="45" customHeight="1">
      <c r="L25" s="2002" t="s">
        <v>651</v>
      </c>
      <c r="M25" s="2003"/>
      <c r="N25" s="2003"/>
      <c r="O25" s="2003"/>
      <c r="P25" s="2003"/>
      <c r="Q25" s="2003"/>
      <c r="R25" s="2004"/>
      <c r="S25" s="15"/>
      <c r="T25" s="15"/>
      <c r="U25" s="15"/>
      <c r="V25" s="15"/>
      <c r="W25" s="15"/>
      <c r="X25" s="15"/>
    </row>
    <row r="26" spans="1:24">
      <c r="L26" s="2000" t="s">
        <v>603</v>
      </c>
      <c r="M26" s="2001"/>
      <c r="N26" s="2001"/>
      <c r="O26" s="17"/>
      <c r="P26" s="17"/>
      <c r="Q26" s="17"/>
      <c r="R26" s="18"/>
      <c r="S26" s="16"/>
      <c r="T26" s="16"/>
      <c r="U26" s="16"/>
      <c r="V26" s="16"/>
      <c r="W26" s="16"/>
      <c r="X26" s="16"/>
    </row>
    <row r="27" spans="1:24">
      <c r="S27">
        <f>wheat!C19*wheat!S21</f>
        <v>5.0329064226519344</v>
      </c>
    </row>
  </sheetData>
  <mergeCells count="15">
    <mergeCell ref="A21:I21"/>
    <mergeCell ref="A22:I22"/>
    <mergeCell ref="A3:I3"/>
    <mergeCell ref="A4:B5"/>
    <mergeCell ref="A6:A19"/>
    <mergeCell ref="L3:W3"/>
    <mergeCell ref="L26:N26"/>
    <mergeCell ref="L25:R25"/>
    <mergeCell ref="L4:X4"/>
    <mergeCell ref="L5:L7"/>
    <mergeCell ref="M5:P5"/>
    <mergeCell ref="Q5:V5"/>
    <mergeCell ref="M6:P6"/>
    <mergeCell ref="Q6:T6"/>
    <mergeCell ref="U6:V6"/>
  </mergeCells>
  <phoneticPr fontId="107" type="noConversion"/>
  <hyperlinks>
    <hyperlink ref="A1" r:id="rId1" xr:uid="{00000000-0004-0000-0C00-000000000000}"/>
  </hyperlinks>
  <pageMargins left="0.7" right="0.7" top="0.75" bottom="0.75" header="0.3" footer="0.3"/>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AF82"/>
  <sheetViews>
    <sheetView topLeftCell="D1" workbookViewId="0">
      <selection activeCell="W23" sqref="W23"/>
    </sheetView>
  </sheetViews>
  <sheetFormatPr baseColWidth="10" defaultColWidth="8.83203125" defaultRowHeight="15"/>
  <cols>
    <col min="16" max="16" width="13.1640625" customWidth="1"/>
  </cols>
  <sheetData>
    <row r="1" spans="1:32" s="229" customFormat="1">
      <c r="A1" s="249" t="s">
        <v>508</v>
      </c>
    </row>
    <row r="2" spans="1:32" s="229" customFormat="1" ht="21" customHeight="1">
      <c r="A2" s="287" t="s">
        <v>501</v>
      </c>
      <c r="P2" s="274"/>
      <c r="Q2" s="274"/>
      <c r="R2" s="274"/>
      <c r="S2" s="274"/>
      <c r="T2" s="274"/>
      <c r="U2" s="274"/>
      <c r="V2" s="274"/>
      <c r="W2" s="274"/>
      <c r="X2" s="274"/>
      <c r="Y2" s="274"/>
      <c r="Z2" s="274"/>
      <c r="AA2" s="274"/>
    </row>
    <row r="3" spans="1:32" ht="14.5" customHeight="1" thickBot="1">
      <c r="A3" s="2038" t="s">
        <v>597</v>
      </c>
      <c r="B3" s="2020"/>
      <c r="C3" s="2020"/>
      <c r="D3" s="2020"/>
      <c r="E3" s="2020"/>
      <c r="F3" s="2020"/>
      <c r="G3" s="2020"/>
      <c r="H3" s="2020"/>
      <c r="I3" s="2020"/>
      <c r="J3" s="2020"/>
      <c r="K3" s="2020"/>
      <c r="L3" s="2020"/>
      <c r="M3" s="2020"/>
      <c r="O3" s="2024" t="s">
        <v>744</v>
      </c>
      <c r="P3" s="2024"/>
      <c r="Q3" s="2024"/>
      <c r="R3" s="2024"/>
      <c r="S3" s="2024"/>
      <c r="T3" s="2024"/>
      <c r="U3" s="2024"/>
      <c r="V3" s="2024"/>
      <c r="W3" s="2024"/>
      <c r="X3" s="2024"/>
      <c r="Y3" s="2024"/>
      <c r="Z3" s="2024"/>
      <c r="AA3" s="2024"/>
    </row>
    <row r="4" spans="1:32" ht="15" customHeight="1">
      <c r="A4" s="2039" t="s">
        <v>599</v>
      </c>
      <c r="B4" s="2040"/>
      <c r="C4" s="2041" t="s">
        <v>600</v>
      </c>
      <c r="D4" s="2040"/>
      <c r="E4" s="2040"/>
      <c r="F4" s="2042"/>
      <c r="G4" s="2041" t="s">
        <v>601</v>
      </c>
      <c r="H4" s="2040"/>
      <c r="I4" s="2040"/>
      <c r="J4" s="2040"/>
      <c r="K4" s="2040"/>
      <c r="L4" s="2042"/>
      <c r="M4" s="230"/>
      <c r="O4" s="2025" t="s">
        <v>602</v>
      </c>
      <c r="P4" s="2026"/>
      <c r="Q4" s="2029" t="s">
        <v>600</v>
      </c>
      <c r="R4" s="2030"/>
      <c r="S4" s="2030"/>
      <c r="T4" s="2031"/>
      <c r="U4" s="2029" t="s">
        <v>601</v>
      </c>
      <c r="V4" s="2030"/>
      <c r="W4" s="2030"/>
      <c r="X4" s="2030"/>
      <c r="Y4" s="2030"/>
      <c r="Z4" s="2031"/>
      <c r="AA4" s="243"/>
    </row>
    <row r="5" spans="1:32" ht="14.5" customHeight="1">
      <c r="A5" s="2020"/>
      <c r="B5" s="2020"/>
      <c r="C5" s="2043"/>
      <c r="D5" s="2020"/>
      <c r="E5" s="2020"/>
      <c r="F5" s="2044"/>
      <c r="G5" s="2041" t="s">
        <v>673</v>
      </c>
      <c r="H5" s="2040"/>
      <c r="I5" s="2040"/>
      <c r="J5" s="2042"/>
      <c r="K5" s="2043"/>
      <c r="L5" s="2044"/>
      <c r="M5" s="231"/>
      <c r="O5" s="2027"/>
      <c r="P5" s="2028"/>
      <c r="Q5" s="2032"/>
      <c r="R5" s="2033"/>
      <c r="S5" s="2033"/>
      <c r="T5" s="2034"/>
      <c r="U5" s="2035" t="s">
        <v>673</v>
      </c>
      <c r="V5" s="2036"/>
      <c r="W5" s="2036"/>
      <c r="X5" s="2037"/>
      <c r="Y5" s="2032"/>
      <c r="Z5" s="2034"/>
      <c r="AA5" s="244"/>
    </row>
    <row r="6" spans="1:32" ht="38" thickBot="1">
      <c r="A6" s="2021"/>
      <c r="B6" s="2021"/>
      <c r="C6" s="232" t="s">
        <v>674</v>
      </c>
      <c r="D6" s="232" t="s">
        <v>675</v>
      </c>
      <c r="E6" s="232" t="s">
        <v>486</v>
      </c>
      <c r="F6" s="232" t="s">
        <v>487</v>
      </c>
      <c r="G6" s="232" t="s">
        <v>488</v>
      </c>
      <c r="H6" s="232" t="s">
        <v>489</v>
      </c>
      <c r="I6" s="232" t="s">
        <v>490</v>
      </c>
      <c r="J6" s="232" t="s">
        <v>365</v>
      </c>
      <c r="K6" s="232" t="s">
        <v>366</v>
      </c>
      <c r="L6" s="232" t="s">
        <v>367</v>
      </c>
      <c r="M6" s="233" t="s">
        <v>368</v>
      </c>
      <c r="O6" s="2027"/>
      <c r="P6" s="2028"/>
      <c r="Q6" s="158" t="s">
        <v>674</v>
      </c>
      <c r="R6" s="158" t="s">
        <v>675</v>
      </c>
      <c r="S6" s="158" t="s">
        <v>486</v>
      </c>
      <c r="T6" s="158" t="s">
        <v>487</v>
      </c>
      <c r="U6" s="158" t="s">
        <v>488</v>
      </c>
      <c r="V6" s="158" t="s">
        <v>489</v>
      </c>
      <c r="W6" s="1591" t="s">
        <v>490</v>
      </c>
      <c r="X6" s="158" t="s">
        <v>365</v>
      </c>
      <c r="Y6" s="158" t="s">
        <v>366</v>
      </c>
      <c r="Z6" s="158" t="s">
        <v>367</v>
      </c>
      <c r="AA6" s="159" t="s">
        <v>368</v>
      </c>
    </row>
    <row r="7" spans="1:32">
      <c r="A7" s="2019" t="s">
        <v>543</v>
      </c>
      <c r="B7" s="290" t="s">
        <v>731</v>
      </c>
      <c r="C7" s="291">
        <v>1717.549</v>
      </c>
      <c r="D7" s="291">
        <v>9915.0509999999995</v>
      </c>
      <c r="E7" s="292">
        <v>1.292</v>
      </c>
      <c r="F7" s="291">
        <v>11633.892</v>
      </c>
      <c r="G7" s="291">
        <v>472.42</v>
      </c>
      <c r="H7" s="293"/>
      <c r="I7" s="291">
        <v>2125.163</v>
      </c>
      <c r="J7" s="291">
        <v>2597.5830000000001</v>
      </c>
      <c r="K7" s="291">
        <v>506.67500000000001</v>
      </c>
      <c r="L7" s="291">
        <v>3104.2579999999998</v>
      </c>
      <c r="M7" s="291">
        <v>8529.634</v>
      </c>
      <c r="O7" s="286"/>
      <c r="P7" s="296" t="str">
        <f>A7</f>
        <v>2000/01</v>
      </c>
      <c r="Q7" s="297">
        <f>C11</f>
        <v>1717.549</v>
      </c>
      <c r="R7" s="297">
        <f t="shared" ref="R7:AA7" si="0">D11</f>
        <v>9915.0509999999995</v>
      </c>
      <c r="S7" s="297">
        <f t="shared" si="0"/>
        <v>6.8240000000000007</v>
      </c>
      <c r="T7" s="297">
        <f t="shared" si="0"/>
        <v>11639.423999999999</v>
      </c>
      <c r="U7" s="297">
        <f t="shared" si="0"/>
        <v>1957.616</v>
      </c>
      <c r="V7" s="297">
        <f t="shared" si="0"/>
        <v>19.297999999999998</v>
      </c>
      <c r="W7" s="298">
        <f t="shared" si="0"/>
        <v>5822.0540000000001</v>
      </c>
      <c r="X7" s="297">
        <f t="shared" si="0"/>
        <v>7798.9680000000008</v>
      </c>
      <c r="Y7" s="297">
        <f t="shared" si="0"/>
        <v>1941.348</v>
      </c>
      <c r="Z7" s="297">
        <f t="shared" si="0"/>
        <v>9740.3160000000007</v>
      </c>
      <c r="AA7" s="299">
        <f t="shared" si="0"/>
        <v>1899.1079999999999</v>
      </c>
    </row>
    <row r="8" spans="1:32">
      <c r="A8" s="2020"/>
      <c r="B8" s="290" t="s">
        <v>732</v>
      </c>
      <c r="C8" s="291">
        <v>8529.634</v>
      </c>
      <c r="D8" s="293"/>
      <c r="E8" s="292">
        <v>0.91100000000000003</v>
      </c>
      <c r="F8" s="291">
        <v>8530.5450000000001</v>
      </c>
      <c r="G8" s="291">
        <v>470.29300000000001</v>
      </c>
      <c r="H8" s="293"/>
      <c r="I8" s="291">
        <v>1601.9659999999999</v>
      </c>
      <c r="J8" s="291">
        <v>2072.259</v>
      </c>
      <c r="K8" s="291">
        <v>415.28699999999998</v>
      </c>
      <c r="L8" s="291">
        <v>2487.5459999999998</v>
      </c>
      <c r="M8" s="291">
        <v>6042.9989999999998</v>
      </c>
      <c r="O8" s="245"/>
      <c r="P8" s="241" t="str">
        <f>A13</f>
        <v>2001/02</v>
      </c>
      <c r="Q8" s="242">
        <f t="shared" ref="Q8:AA8" si="1">C17</f>
        <v>1899.1079999999999</v>
      </c>
      <c r="R8" s="242">
        <f t="shared" si="1"/>
        <v>9502.58</v>
      </c>
      <c r="S8" s="242">
        <f t="shared" si="1"/>
        <v>10.14</v>
      </c>
      <c r="T8" s="242">
        <f t="shared" si="1"/>
        <v>11411.828</v>
      </c>
      <c r="U8" s="242">
        <f t="shared" si="1"/>
        <v>2041.8320000000001</v>
      </c>
      <c r="V8" s="242">
        <f t="shared" si="1"/>
        <v>20.055</v>
      </c>
      <c r="W8" s="247">
        <f t="shared" si="1"/>
        <v>5848.7470000000003</v>
      </c>
      <c r="X8" s="242">
        <f t="shared" si="1"/>
        <v>7910.634</v>
      </c>
      <c r="Y8" s="242">
        <f t="shared" si="1"/>
        <v>1904.768</v>
      </c>
      <c r="Z8" s="242">
        <f t="shared" si="1"/>
        <v>9815.402</v>
      </c>
      <c r="AA8" s="246">
        <f t="shared" si="1"/>
        <v>1596.4259999999999</v>
      </c>
    </row>
    <row r="9" spans="1:32">
      <c r="A9" s="2020"/>
      <c r="B9" s="290" t="s">
        <v>733</v>
      </c>
      <c r="C9" s="291">
        <v>6042.9989999999998</v>
      </c>
      <c r="D9" s="293"/>
      <c r="E9" s="292">
        <v>3.1230000000000002</v>
      </c>
      <c r="F9" s="291">
        <v>6046.1219999999994</v>
      </c>
      <c r="G9" s="291">
        <v>500.54199999999997</v>
      </c>
      <c r="H9" s="292">
        <v>18.68</v>
      </c>
      <c r="I9" s="291">
        <v>1147.7529999999999</v>
      </c>
      <c r="J9" s="291">
        <v>1666.9749999999999</v>
      </c>
      <c r="K9" s="291">
        <v>455.18900000000002</v>
      </c>
      <c r="L9" s="291">
        <v>2122.1640000000002</v>
      </c>
      <c r="M9" s="291">
        <v>3923.9580000000001</v>
      </c>
      <c r="O9" s="245"/>
      <c r="P9" s="241" t="str">
        <f>A19</f>
        <v>2002/03</v>
      </c>
      <c r="Q9" s="242">
        <f t="shared" ref="Q9:AA9" si="2">C23</f>
        <v>1596.4259999999999</v>
      </c>
      <c r="R9" s="242">
        <f t="shared" si="2"/>
        <v>8966.7870000000003</v>
      </c>
      <c r="S9" s="242">
        <f t="shared" si="2"/>
        <v>14.445999999999998</v>
      </c>
      <c r="T9" s="242">
        <f t="shared" si="2"/>
        <v>10577.659</v>
      </c>
      <c r="U9" s="242">
        <f t="shared" si="2"/>
        <v>2334.8140000000003</v>
      </c>
      <c r="V9" s="242">
        <f t="shared" si="2"/>
        <v>19.973000000000003</v>
      </c>
      <c r="W9" s="247">
        <f t="shared" si="2"/>
        <v>5548.3120000000008</v>
      </c>
      <c r="X9" s="242">
        <f t="shared" si="2"/>
        <v>7903.0990000000002</v>
      </c>
      <c r="Y9" s="242">
        <f t="shared" si="2"/>
        <v>1587.8869999999999</v>
      </c>
      <c r="Z9" s="242">
        <f t="shared" si="2"/>
        <v>9490.985999999999</v>
      </c>
      <c r="AA9" s="246">
        <f t="shared" si="2"/>
        <v>1086.673</v>
      </c>
    </row>
    <row r="10" spans="1:32">
      <c r="A10" s="2020"/>
      <c r="B10" s="290" t="s">
        <v>734</v>
      </c>
      <c r="C10" s="291">
        <v>3923.9580000000001</v>
      </c>
      <c r="D10" s="293"/>
      <c r="E10" s="292">
        <v>1.498</v>
      </c>
      <c r="F10" s="291">
        <v>3925.4560000000001</v>
      </c>
      <c r="G10" s="291">
        <v>514.36099999999999</v>
      </c>
      <c r="H10" s="292">
        <v>0.61799999999999999</v>
      </c>
      <c r="I10" s="291">
        <v>947.17200000000003</v>
      </c>
      <c r="J10" s="291">
        <v>1462.1510000000001</v>
      </c>
      <c r="K10" s="291">
        <v>564.197</v>
      </c>
      <c r="L10" s="291">
        <v>2026.348</v>
      </c>
      <c r="M10" s="291">
        <v>1899.1079999999999</v>
      </c>
      <c r="O10" s="245"/>
      <c r="P10" s="241" t="str">
        <f>A25</f>
        <v>2003/04</v>
      </c>
      <c r="Q10" s="242">
        <f t="shared" ref="Q10:AA10" si="3">C29</f>
        <v>1086.673</v>
      </c>
      <c r="R10" s="242">
        <f t="shared" si="3"/>
        <v>10087.291999999999</v>
      </c>
      <c r="S10" s="242">
        <f t="shared" si="3"/>
        <v>14.075999999999999</v>
      </c>
      <c r="T10" s="242">
        <f t="shared" si="3"/>
        <v>11188.040999999999</v>
      </c>
      <c r="U10" s="242">
        <f t="shared" si="3"/>
        <v>2528.3339999999998</v>
      </c>
      <c r="V10" s="242">
        <f t="shared" si="3"/>
        <v>20.559000000000001</v>
      </c>
      <c r="W10" s="247">
        <f t="shared" si="3"/>
        <v>5781.24</v>
      </c>
      <c r="X10" s="242">
        <f t="shared" si="3"/>
        <v>8330.1329999999998</v>
      </c>
      <c r="Y10" s="242">
        <f t="shared" si="3"/>
        <v>1899.817</v>
      </c>
      <c r="Z10" s="242">
        <f t="shared" si="3"/>
        <v>10229.950000000001</v>
      </c>
      <c r="AA10" s="246">
        <f t="shared" si="3"/>
        <v>958.09100000000001</v>
      </c>
    </row>
    <row r="11" spans="1:32" ht="15" customHeight="1">
      <c r="A11" s="2020"/>
      <c r="B11" s="290" t="s">
        <v>736</v>
      </c>
      <c r="C11" s="291">
        <v>1717.549</v>
      </c>
      <c r="D11" s="291">
        <v>9915.0509999999995</v>
      </c>
      <c r="E11" s="292">
        <v>6.8240000000000007</v>
      </c>
      <c r="F11" s="291">
        <v>11639.423999999999</v>
      </c>
      <c r="G11" s="291">
        <v>1957.616</v>
      </c>
      <c r="H11" s="292">
        <v>19.297999999999998</v>
      </c>
      <c r="I11" s="291">
        <v>5822.0540000000001</v>
      </c>
      <c r="J11" s="291">
        <v>7798.9680000000008</v>
      </c>
      <c r="K11" s="291">
        <v>1941.348</v>
      </c>
      <c r="L11" s="291">
        <v>9740.3160000000007</v>
      </c>
      <c r="M11" s="291">
        <v>1899.1079999999999</v>
      </c>
      <c r="O11" s="245"/>
      <c r="P11" s="241" t="str">
        <f>A31</f>
        <v>2004/05</v>
      </c>
      <c r="Q11" s="242">
        <f t="shared" ref="Q11:AA11" si="4">C35</f>
        <v>958.09100000000001</v>
      </c>
      <c r="R11" s="242">
        <f t="shared" si="4"/>
        <v>11805.581</v>
      </c>
      <c r="S11" s="242">
        <f t="shared" si="4"/>
        <v>10.83</v>
      </c>
      <c r="T11" s="242">
        <f t="shared" si="4"/>
        <v>12774.502</v>
      </c>
      <c r="U11" s="242">
        <f t="shared" si="4"/>
        <v>2686.6079999999997</v>
      </c>
      <c r="V11" s="242">
        <f t="shared" si="4"/>
        <v>20.791</v>
      </c>
      <c r="W11" s="247">
        <f t="shared" si="4"/>
        <v>6135.0749999999998</v>
      </c>
      <c r="X11" s="242">
        <f t="shared" si="4"/>
        <v>8842.4739999999983</v>
      </c>
      <c r="Y11" s="242">
        <f t="shared" si="4"/>
        <v>1818.056</v>
      </c>
      <c r="Z11" s="242">
        <f t="shared" si="4"/>
        <v>10660.53</v>
      </c>
      <c r="AA11" s="246">
        <f t="shared" si="4"/>
        <v>2113.9720000000002</v>
      </c>
    </row>
    <row r="12" spans="1:32">
      <c r="A12" s="2020"/>
      <c r="B12" s="289"/>
      <c r="C12" s="293"/>
      <c r="D12" s="293"/>
      <c r="E12" s="293"/>
      <c r="F12" s="293"/>
      <c r="G12" s="293"/>
      <c r="H12" s="293"/>
      <c r="I12" s="293"/>
      <c r="J12" s="293"/>
      <c r="K12" s="293"/>
      <c r="L12" s="293"/>
      <c r="M12" s="293"/>
      <c r="O12" s="245"/>
      <c r="P12" s="241" t="str">
        <f>A37</f>
        <v>2005/06</v>
      </c>
      <c r="Q12" s="242">
        <f t="shared" ref="Q12:AA12" si="5">C41</f>
        <v>2113.9720000000002</v>
      </c>
      <c r="R12" s="242">
        <f t="shared" si="5"/>
        <v>11112.187</v>
      </c>
      <c r="S12" s="242">
        <f t="shared" si="5"/>
        <v>8.8059999999999992</v>
      </c>
      <c r="T12" s="242">
        <f t="shared" si="5"/>
        <v>13234.965</v>
      </c>
      <c r="U12" s="242">
        <f t="shared" si="5"/>
        <v>2999.0360000000001</v>
      </c>
      <c r="V12" s="242">
        <f t="shared" si="5"/>
        <v>19.895</v>
      </c>
      <c r="W12" s="247">
        <f t="shared" si="5"/>
        <v>6115.0609999999997</v>
      </c>
      <c r="X12" s="242">
        <f t="shared" si="5"/>
        <v>9133.9920000000002</v>
      </c>
      <c r="Y12" s="242">
        <f t="shared" si="5"/>
        <v>2133.8119999999999</v>
      </c>
      <c r="Z12" s="242">
        <f t="shared" si="5"/>
        <v>11267.804</v>
      </c>
      <c r="AA12" s="246">
        <f t="shared" si="5"/>
        <v>1967.1610000000001</v>
      </c>
    </row>
    <row r="13" spans="1:32" ht="22.25" customHeight="1">
      <c r="A13" s="2019" t="s">
        <v>445</v>
      </c>
      <c r="B13" s="235" t="s">
        <v>731</v>
      </c>
      <c r="C13" s="236">
        <v>1899.1079999999999</v>
      </c>
      <c r="D13" s="236">
        <v>9502.58</v>
      </c>
      <c r="E13" s="237">
        <v>2.4489999999999998</v>
      </c>
      <c r="F13" s="236">
        <v>11404.137000000001</v>
      </c>
      <c r="G13" s="236">
        <v>497.27300000000002</v>
      </c>
      <c r="H13" s="238"/>
      <c r="I13" s="236">
        <v>2194.268</v>
      </c>
      <c r="J13" s="236">
        <v>2691.5410000000002</v>
      </c>
      <c r="K13" s="236">
        <v>447.88099999999997</v>
      </c>
      <c r="L13" s="236">
        <v>3139.422</v>
      </c>
      <c r="M13" s="236">
        <v>8264.7150000000001</v>
      </c>
      <c r="O13" s="245"/>
      <c r="P13" s="241" t="str">
        <f>A43</f>
        <v>2006/07</v>
      </c>
      <c r="Q13" s="242">
        <f t="shared" ref="Q13:AA13" si="6">C47</f>
        <v>1967.1610000000001</v>
      </c>
      <c r="R13" s="242">
        <f t="shared" si="6"/>
        <v>10531.123</v>
      </c>
      <c r="S13" s="242">
        <f t="shared" si="6"/>
        <v>11.982999999999999</v>
      </c>
      <c r="T13" s="242">
        <f t="shared" si="6"/>
        <v>12510.267</v>
      </c>
      <c r="U13" s="242">
        <f t="shared" si="6"/>
        <v>3517.3740000000003</v>
      </c>
      <c r="V13" s="242">
        <f t="shared" si="6"/>
        <v>23.744999999999997</v>
      </c>
      <c r="W13" s="247">
        <f t="shared" si="6"/>
        <v>5540.1319999999996</v>
      </c>
      <c r="X13" s="242">
        <f t="shared" si="6"/>
        <v>9081.2510000000002</v>
      </c>
      <c r="Y13" s="242">
        <f t="shared" si="6"/>
        <v>2125.3690000000001</v>
      </c>
      <c r="Z13" s="242">
        <f t="shared" si="6"/>
        <v>11206.62</v>
      </c>
      <c r="AA13" s="246">
        <f t="shared" si="6"/>
        <v>1303.6469999999999</v>
      </c>
      <c r="AF13">
        <f>4903/4956</f>
        <v>0.98930589184826478</v>
      </c>
    </row>
    <row r="14" spans="1:32">
      <c r="A14" s="2020"/>
      <c r="B14" s="235" t="s">
        <v>732</v>
      </c>
      <c r="C14" s="236">
        <v>8264.7150000000001</v>
      </c>
      <c r="D14" s="238"/>
      <c r="E14" s="237">
        <v>1.6839999999999999</v>
      </c>
      <c r="F14" s="236">
        <v>8266.3989999999994</v>
      </c>
      <c r="G14" s="236">
        <v>485.14800000000002</v>
      </c>
      <c r="H14" s="238"/>
      <c r="I14" s="236">
        <v>1537.61</v>
      </c>
      <c r="J14" s="236">
        <v>2022.758</v>
      </c>
      <c r="K14" s="236">
        <v>448.37799999999999</v>
      </c>
      <c r="L14" s="236">
        <v>2471.136</v>
      </c>
      <c r="M14" s="236">
        <v>5795.2629999999999</v>
      </c>
      <c r="O14" s="222"/>
      <c r="P14" s="241" t="str">
        <f>A49</f>
        <v>2007/08</v>
      </c>
      <c r="Q14" s="242">
        <f t="shared" ref="Q14:AA14" si="7">C53</f>
        <v>1303.6469999999999</v>
      </c>
      <c r="R14" s="242">
        <f t="shared" si="7"/>
        <v>13037.875</v>
      </c>
      <c r="S14" s="242">
        <f t="shared" si="7"/>
        <v>20.02</v>
      </c>
      <c r="T14" s="242">
        <f t="shared" si="7"/>
        <v>14361.542000000001</v>
      </c>
      <c r="U14" s="242">
        <f t="shared" si="7"/>
        <v>4420.41</v>
      </c>
      <c r="V14" s="242">
        <f t="shared" si="7"/>
        <v>21.841000000000001</v>
      </c>
      <c r="W14" s="247">
        <f t="shared" si="7"/>
        <v>5857.7390000000005</v>
      </c>
      <c r="X14" s="242">
        <f t="shared" si="7"/>
        <v>10299.99</v>
      </c>
      <c r="Y14" s="242">
        <f t="shared" si="7"/>
        <v>2437.402</v>
      </c>
      <c r="Z14" s="242">
        <f t="shared" si="7"/>
        <v>12737.392</v>
      </c>
      <c r="AA14" s="246">
        <f t="shared" si="7"/>
        <v>1624.15</v>
      </c>
    </row>
    <row r="15" spans="1:32">
      <c r="A15" s="2020"/>
      <c r="B15" s="235" t="s">
        <v>733</v>
      </c>
      <c r="C15" s="236">
        <v>5795.2629999999999</v>
      </c>
      <c r="D15" s="238"/>
      <c r="E15" s="237">
        <v>4.1520000000000001</v>
      </c>
      <c r="F15" s="236">
        <v>5799.415</v>
      </c>
      <c r="G15" s="236">
        <v>524.11500000000001</v>
      </c>
      <c r="H15" s="237">
        <v>18.571000000000002</v>
      </c>
      <c r="I15" s="236">
        <v>1162.953</v>
      </c>
      <c r="J15" s="236">
        <v>1705.6389999999999</v>
      </c>
      <c r="K15" s="236">
        <v>496.88600000000002</v>
      </c>
      <c r="L15" s="236">
        <v>2202.5250000000001</v>
      </c>
      <c r="M15" s="236">
        <v>3596.89</v>
      </c>
      <c r="O15" s="222"/>
      <c r="P15" s="241" t="str">
        <f>A61</f>
        <v>2009/10</v>
      </c>
      <c r="Q15" s="242">
        <f t="shared" ref="Q15:AA15" si="8">C65</f>
        <v>1673.3109999999999</v>
      </c>
      <c r="R15" s="242">
        <f t="shared" si="8"/>
        <v>13091.861999999999</v>
      </c>
      <c r="S15" s="242">
        <f t="shared" si="8"/>
        <v>8.343</v>
      </c>
      <c r="T15" s="242">
        <f t="shared" si="8"/>
        <v>14773.516</v>
      </c>
      <c r="U15" s="242">
        <f t="shared" si="8"/>
        <v>5938.6660000000002</v>
      </c>
      <c r="V15" s="242">
        <f t="shared" si="8"/>
        <v>22.337</v>
      </c>
      <c r="W15" s="247">
        <f t="shared" si="8"/>
        <v>5124.7030000000004</v>
      </c>
      <c r="X15" s="242">
        <f t="shared" si="8"/>
        <v>11085.705999999998</v>
      </c>
      <c r="Y15" s="242">
        <f t="shared" si="8"/>
        <v>1980.0230000000001</v>
      </c>
      <c r="Z15" s="242">
        <f t="shared" si="8"/>
        <v>13065.728999999999</v>
      </c>
      <c r="AA15" s="246">
        <f t="shared" si="8"/>
        <v>1707.787</v>
      </c>
    </row>
    <row r="16" spans="1:32" ht="16" thickBot="1">
      <c r="A16" s="2020"/>
      <c r="B16" s="235" t="s">
        <v>734</v>
      </c>
      <c r="C16" s="236">
        <v>3596.89</v>
      </c>
      <c r="D16" s="238"/>
      <c r="E16" s="237">
        <v>1.855</v>
      </c>
      <c r="F16" s="236">
        <v>3598.7449999999999</v>
      </c>
      <c r="G16" s="236">
        <v>535.29600000000005</v>
      </c>
      <c r="H16" s="237">
        <v>1.484</v>
      </c>
      <c r="I16" s="236">
        <v>953.91600000000005</v>
      </c>
      <c r="J16" s="236">
        <v>1490.6959999999999</v>
      </c>
      <c r="K16" s="236">
        <v>511.62299999999999</v>
      </c>
      <c r="L16" s="236">
        <v>2002.319</v>
      </c>
      <c r="M16" s="236">
        <v>1596.4259999999999</v>
      </c>
      <c r="O16" s="227"/>
      <c r="P16" s="7" t="str">
        <f>A67</f>
        <v>2010/11</v>
      </c>
      <c r="Q16" s="8">
        <f t="shared" ref="Q16:AA16" si="9">C71</f>
        <v>1707.787</v>
      </c>
      <c r="R16" s="8">
        <f t="shared" si="9"/>
        <v>12446.865</v>
      </c>
      <c r="S16" s="8">
        <f t="shared" si="9"/>
        <v>27.669</v>
      </c>
      <c r="T16" s="8">
        <f t="shared" si="9"/>
        <v>14182.321</v>
      </c>
      <c r="U16" s="8">
        <f t="shared" si="9"/>
        <v>6404.5740000000005</v>
      </c>
      <c r="V16" s="8">
        <f t="shared" si="9"/>
        <v>23</v>
      </c>
      <c r="W16" s="206">
        <f t="shared" si="9"/>
        <v>4792.9349999999995</v>
      </c>
      <c r="X16" s="8">
        <f t="shared" si="9"/>
        <v>11220.509</v>
      </c>
      <c r="Y16" s="8">
        <f t="shared" si="9"/>
        <v>1834.1669999999999</v>
      </c>
      <c r="Z16" s="8">
        <f t="shared" si="9"/>
        <v>13054.675999999999</v>
      </c>
      <c r="AA16" s="9">
        <f t="shared" si="9"/>
        <v>1127.645</v>
      </c>
    </row>
    <row r="17" spans="1:27" ht="16" thickBot="1">
      <c r="A17" s="2020"/>
      <c r="B17" s="235" t="s">
        <v>736</v>
      </c>
      <c r="C17" s="236">
        <v>1899.1079999999999</v>
      </c>
      <c r="D17" s="236">
        <v>9502.58</v>
      </c>
      <c r="E17" s="237">
        <v>10.14</v>
      </c>
      <c r="F17" s="236">
        <v>11411.828</v>
      </c>
      <c r="G17" s="236">
        <v>2041.8320000000001</v>
      </c>
      <c r="H17" s="237">
        <v>20.055</v>
      </c>
      <c r="I17" s="236">
        <v>5848.7470000000003</v>
      </c>
      <c r="J17" s="236">
        <v>7910.634</v>
      </c>
      <c r="K17" s="236">
        <v>1904.768</v>
      </c>
      <c r="L17" s="236">
        <v>9815.402</v>
      </c>
      <c r="M17" s="236">
        <v>1596.4259999999999</v>
      </c>
      <c r="O17" s="227"/>
      <c r="P17" s="7" t="str">
        <f>A73</f>
        <v>2011/12</v>
      </c>
      <c r="Q17" s="8">
        <f t="shared" ref="Q17:AA17" si="10">C77</f>
        <v>1127.645</v>
      </c>
      <c r="R17" s="8">
        <f t="shared" si="10"/>
        <v>12358.412</v>
      </c>
      <c r="S17" s="8">
        <f t="shared" si="10"/>
        <v>28.000000000000004</v>
      </c>
      <c r="T17" s="8">
        <f t="shared" si="10"/>
        <v>13514.057000000001</v>
      </c>
      <c r="U17" s="8">
        <f t="shared" si="10"/>
        <v>6396.5619999999999</v>
      </c>
      <c r="V17" s="8">
        <f t="shared" si="10"/>
        <v>24.41</v>
      </c>
      <c r="W17" s="206">
        <f t="shared" si="10"/>
        <v>4561.6820000000007</v>
      </c>
      <c r="X17" s="8">
        <f t="shared" si="10"/>
        <v>10982.653999999999</v>
      </c>
      <c r="Y17" s="8">
        <f t="shared" si="10"/>
        <v>1543</v>
      </c>
      <c r="Z17" s="8">
        <f t="shared" si="10"/>
        <v>12525.654</v>
      </c>
      <c r="AA17" s="9">
        <f t="shared" si="10"/>
        <v>988.40300000000002</v>
      </c>
    </row>
    <row r="18" spans="1:27">
      <c r="A18" s="2020"/>
      <c r="B18" s="234"/>
      <c r="C18" s="238"/>
      <c r="D18" s="238"/>
      <c r="E18" s="238"/>
      <c r="F18" s="238"/>
      <c r="G18" s="238"/>
      <c r="H18" s="238"/>
      <c r="I18" s="238"/>
      <c r="J18" s="238"/>
      <c r="K18" s="238"/>
      <c r="L18" s="238"/>
      <c r="M18" s="238"/>
      <c r="O18" s="224"/>
      <c r="P18" s="223" t="s">
        <v>740</v>
      </c>
      <c r="Q18" s="221">
        <f t="shared" ref="Q18:V18" si="11">AVERAGE(Q7:Q17)</f>
        <v>1559.2154545454543</v>
      </c>
      <c r="R18" s="221">
        <f t="shared" si="11"/>
        <v>11168.692272727272</v>
      </c>
      <c r="S18" s="221">
        <f t="shared" si="11"/>
        <v>14.648818181818182</v>
      </c>
      <c r="T18" s="221">
        <f t="shared" si="11"/>
        <v>12742.556545454543</v>
      </c>
      <c r="U18" s="221">
        <f t="shared" si="11"/>
        <v>3747.8023636363637</v>
      </c>
      <c r="V18" s="221">
        <f t="shared" si="11"/>
        <v>21.445818181818179</v>
      </c>
      <c r="W18" s="1592">
        <f>AVERAGE(W7:W17)</f>
        <v>5557.0618181818181</v>
      </c>
      <c r="X18" s="221">
        <f t="shared" ref="X18:AA18" si="12">AVERAGE(X7:X17)</f>
        <v>9326.31</v>
      </c>
      <c r="Y18" s="221">
        <f t="shared" si="12"/>
        <v>1927.7862727272729</v>
      </c>
      <c r="Z18" s="221">
        <f t="shared" si="12"/>
        <v>11254.096272727273</v>
      </c>
      <c r="AA18" s="220">
        <f t="shared" si="12"/>
        <v>1488.4602727272729</v>
      </c>
    </row>
    <row r="19" spans="1:27">
      <c r="A19" s="2019" t="s">
        <v>545</v>
      </c>
      <c r="B19" s="235" t="s">
        <v>731</v>
      </c>
      <c r="C19" s="236">
        <v>1596.4259999999999</v>
      </c>
      <c r="D19" s="236">
        <v>8966.7870000000003</v>
      </c>
      <c r="E19" s="237">
        <v>3.4289999999999998</v>
      </c>
      <c r="F19" s="236">
        <v>10566.642</v>
      </c>
      <c r="G19" s="236">
        <v>552.68200000000002</v>
      </c>
      <c r="H19" s="238"/>
      <c r="I19" s="236">
        <v>1982.5630000000001</v>
      </c>
      <c r="J19" s="236">
        <v>2535.2449999999999</v>
      </c>
      <c r="K19" s="236">
        <v>393.42599999999999</v>
      </c>
      <c r="L19" s="236">
        <v>2928.6709999999998</v>
      </c>
      <c r="M19" s="236">
        <v>7637.9709999999995</v>
      </c>
      <c r="O19" s="222"/>
      <c r="P19" s="205" t="s">
        <v>257</v>
      </c>
      <c r="Q19" s="294">
        <f t="shared" ref="Q19:V19" si="13">STDEV(Q7:Q17)</f>
        <v>385.67629465041432</v>
      </c>
      <c r="R19" s="294">
        <f t="shared" si="13"/>
        <v>1463.6344836834801</v>
      </c>
      <c r="S19" s="294">
        <f t="shared" si="13"/>
        <v>7.4441056389358398</v>
      </c>
      <c r="T19" s="294">
        <f t="shared" si="13"/>
        <v>1407.2146145126305</v>
      </c>
      <c r="U19" s="294">
        <f t="shared" si="13"/>
        <v>1751.1502141159262</v>
      </c>
      <c r="V19" s="294">
        <f t="shared" si="13"/>
        <v>1.7255557839827615</v>
      </c>
      <c r="W19" s="1593">
        <f>STDEV(W7:W17)</f>
        <v>519.94174234058528</v>
      </c>
      <c r="X19" s="294">
        <f t="shared" ref="X19:AA19" si="14">STDEV(X7:X17)</f>
        <v>1343.909967759894</v>
      </c>
      <c r="Y19" s="294">
        <f t="shared" si="14"/>
        <v>250.96129848567938</v>
      </c>
      <c r="Z19" s="294">
        <f t="shared" si="14"/>
        <v>1386.1707660211421</v>
      </c>
      <c r="AA19" s="295">
        <f t="shared" si="14"/>
        <v>415.25279500638845</v>
      </c>
    </row>
    <row r="20" spans="1:27" ht="29" thickBot="1">
      <c r="A20" s="2020"/>
      <c r="B20" s="235" t="s">
        <v>732</v>
      </c>
      <c r="C20" s="236">
        <v>7637.9709999999995</v>
      </c>
      <c r="D20" s="238"/>
      <c r="E20" s="237">
        <v>4.0599999999999996</v>
      </c>
      <c r="F20" s="236">
        <v>7642.0309999999999</v>
      </c>
      <c r="G20" s="236">
        <v>565.673</v>
      </c>
      <c r="H20" s="238"/>
      <c r="I20" s="236">
        <v>1554.296</v>
      </c>
      <c r="J20" s="236">
        <v>2119.9690000000001</v>
      </c>
      <c r="K20" s="236">
        <v>390.18900000000002</v>
      </c>
      <c r="L20" s="236">
        <v>2510.1579999999999</v>
      </c>
      <c r="M20" s="236">
        <v>5131.8729999999996</v>
      </c>
      <c r="O20" s="227"/>
      <c r="P20" s="228" t="s">
        <v>720</v>
      </c>
      <c r="Q20" s="252"/>
      <c r="R20" s="252"/>
      <c r="S20" s="253">
        <f>S18/R18</f>
        <v>1.3115965436337608E-3</v>
      </c>
      <c r="T20" s="254"/>
      <c r="U20" s="254">
        <f>U18/R18</f>
        <v>0.33556322191704469</v>
      </c>
      <c r="V20" s="254"/>
      <c r="W20" s="253">
        <f>W18/R18</f>
        <v>0.49755707136381194</v>
      </c>
      <c r="X20" s="254"/>
      <c r="Y20" s="253">
        <f>Y18/R18</f>
        <v>0.17260626630699788</v>
      </c>
      <c r="Z20" s="252"/>
      <c r="AA20" s="255"/>
    </row>
    <row r="21" spans="1:27">
      <c r="A21" s="2020"/>
      <c r="B21" s="235" t="s">
        <v>733</v>
      </c>
      <c r="C21" s="236">
        <v>5131.8729999999996</v>
      </c>
      <c r="D21" s="238"/>
      <c r="E21" s="237">
        <v>5.1520000000000001</v>
      </c>
      <c r="F21" s="236">
        <v>5137.0249999999996</v>
      </c>
      <c r="G21" s="236">
        <v>602.59400000000005</v>
      </c>
      <c r="H21" s="237">
        <v>18.882000000000001</v>
      </c>
      <c r="I21" s="236">
        <v>1137.2170000000001</v>
      </c>
      <c r="J21" s="236">
        <v>1758.693</v>
      </c>
      <c r="K21" s="236">
        <v>393.41399999999999</v>
      </c>
      <c r="L21" s="236">
        <v>2152.107</v>
      </c>
      <c r="M21" s="236">
        <v>2984.9180000000001</v>
      </c>
      <c r="O21" s="177"/>
      <c r="P21" s="205"/>
      <c r="Q21" s="251"/>
      <c r="R21" s="251"/>
      <c r="S21" s="251"/>
      <c r="T21" s="251"/>
      <c r="U21" s="251"/>
      <c r="V21" s="251"/>
      <c r="W21" s="208">
        <f>W18/Z18</f>
        <v>0.49378125826491992</v>
      </c>
      <c r="X21" s="251"/>
      <c r="Y21" s="251"/>
      <c r="Z21" s="251"/>
      <c r="AA21" s="251"/>
    </row>
    <row r="22" spans="1:27">
      <c r="A22" s="2020"/>
      <c r="B22" s="235" t="s">
        <v>734</v>
      </c>
      <c r="C22" s="236">
        <v>2984.9180000000001</v>
      </c>
      <c r="D22" s="238"/>
      <c r="E22" s="237">
        <v>1.8049999999999999</v>
      </c>
      <c r="F22" s="236">
        <v>2986.723</v>
      </c>
      <c r="G22" s="236">
        <v>613.86500000000001</v>
      </c>
      <c r="H22" s="237">
        <v>1.091</v>
      </c>
      <c r="I22" s="236">
        <v>874.23599999999999</v>
      </c>
      <c r="J22" s="236">
        <v>1489.192</v>
      </c>
      <c r="K22" s="236">
        <v>410.858</v>
      </c>
      <c r="L22" s="236">
        <v>1900.05</v>
      </c>
      <c r="M22" s="236">
        <v>1086.673</v>
      </c>
      <c r="O22" s="177"/>
      <c r="P22" s="210"/>
      <c r="Q22" s="226"/>
      <c r="R22" s="226"/>
      <c r="S22" s="209"/>
      <c r="T22" s="208"/>
      <c r="U22" s="208"/>
      <c r="V22" s="208"/>
      <c r="W22" s="209"/>
      <c r="X22" s="208"/>
      <c r="Y22" s="209"/>
      <c r="Z22" s="226"/>
      <c r="AA22" s="226"/>
    </row>
    <row r="23" spans="1:27">
      <c r="A23" s="2020"/>
      <c r="B23" s="235" t="s">
        <v>736</v>
      </c>
      <c r="C23" s="236">
        <v>1596.4259999999999</v>
      </c>
      <c r="D23" s="236">
        <v>8966.7870000000003</v>
      </c>
      <c r="E23" s="237">
        <v>14.445999999999998</v>
      </c>
      <c r="F23" s="236">
        <v>10577.659</v>
      </c>
      <c r="G23" s="236">
        <v>2334.8140000000003</v>
      </c>
      <c r="H23" s="237">
        <v>19.973000000000003</v>
      </c>
      <c r="I23" s="236">
        <v>5548.3120000000008</v>
      </c>
      <c r="J23" s="236">
        <v>7903.0990000000002</v>
      </c>
      <c r="K23" s="236">
        <v>1587.8869999999999</v>
      </c>
      <c r="L23" s="236">
        <v>9490.985999999999</v>
      </c>
      <c r="M23" s="236">
        <v>1086.673</v>
      </c>
      <c r="W23">
        <f>'crop yields'!H20*corn!W20</f>
        <v>38.103029636466545</v>
      </c>
    </row>
    <row r="24" spans="1:27">
      <c r="A24" s="2020"/>
      <c r="B24" s="234"/>
      <c r="C24" s="238"/>
      <c r="D24" s="238"/>
      <c r="E24" s="238"/>
      <c r="F24" s="238"/>
      <c r="G24" s="238"/>
      <c r="H24" s="238"/>
      <c r="I24" s="238"/>
      <c r="J24" s="238"/>
      <c r="K24" s="238"/>
      <c r="L24" s="238"/>
      <c r="M24" s="238"/>
    </row>
    <row r="25" spans="1:27">
      <c r="A25" s="2019" t="s">
        <v>547</v>
      </c>
      <c r="B25" s="235" t="s">
        <v>731</v>
      </c>
      <c r="C25" s="236">
        <v>1086.673</v>
      </c>
      <c r="D25" s="236">
        <v>10087.291999999999</v>
      </c>
      <c r="E25" s="237">
        <v>2.4609999999999999</v>
      </c>
      <c r="F25" s="236">
        <v>11176.425999999999</v>
      </c>
      <c r="G25" s="236">
        <v>592.61800000000005</v>
      </c>
      <c r="H25" s="238"/>
      <c r="I25" s="236">
        <v>2160.4839999999999</v>
      </c>
      <c r="J25" s="236">
        <v>2753.1019999999999</v>
      </c>
      <c r="K25" s="236">
        <v>469.54899999999998</v>
      </c>
      <c r="L25" s="236">
        <v>3222.6509999999998</v>
      </c>
      <c r="M25" s="236">
        <v>7953.7749999999996</v>
      </c>
    </row>
    <row r="26" spans="1:27">
      <c r="A26" s="2020"/>
      <c r="B26" s="235" t="s">
        <v>732</v>
      </c>
      <c r="C26" s="236">
        <v>7953.7749999999996</v>
      </c>
      <c r="D26" s="238"/>
      <c r="E26" s="237">
        <v>3.5230000000000001</v>
      </c>
      <c r="F26" s="236">
        <v>7957.2979999999998</v>
      </c>
      <c r="G26" s="236">
        <v>610.60199999999998</v>
      </c>
      <c r="H26" s="238"/>
      <c r="I26" s="236">
        <v>1569.345</v>
      </c>
      <c r="J26" s="236">
        <v>2179.9470000000001</v>
      </c>
      <c r="K26" s="236">
        <v>505.892</v>
      </c>
      <c r="L26" s="236">
        <v>2685.8389999999999</v>
      </c>
      <c r="M26" s="236">
        <v>5271.4589999999998</v>
      </c>
    </row>
    <row r="27" spans="1:27">
      <c r="A27" s="2020"/>
      <c r="B27" s="235" t="s">
        <v>733</v>
      </c>
      <c r="C27" s="236">
        <v>5271.4589999999998</v>
      </c>
      <c r="D27" s="238"/>
      <c r="E27" s="237">
        <v>5.1230000000000002</v>
      </c>
      <c r="F27" s="236">
        <v>5276.5819999999994</v>
      </c>
      <c r="G27" s="236">
        <v>659.36400000000003</v>
      </c>
      <c r="H27" s="237">
        <v>19.725000000000001</v>
      </c>
      <c r="I27" s="236">
        <v>1162.4590000000001</v>
      </c>
      <c r="J27" s="236">
        <v>1841.548</v>
      </c>
      <c r="K27" s="236">
        <v>464.89400000000001</v>
      </c>
      <c r="L27" s="236">
        <v>2306.442</v>
      </c>
      <c r="M27" s="236">
        <v>2970.14</v>
      </c>
    </row>
    <row r="28" spans="1:27">
      <c r="A28" s="2020"/>
      <c r="B28" s="235" t="s">
        <v>734</v>
      </c>
      <c r="C28" s="236">
        <v>2970.14</v>
      </c>
      <c r="D28" s="238"/>
      <c r="E28" s="237">
        <v>2.9689999999999999</v>
      </c>
      <c r="F28" s="236">
        <v>2973.1089999999999</v>
      </c>
      <c r="G28" s="236">
        <v>665.75</v>
      </c>
      <c r="H28" s="237">
        <v>0.83399999999999996</v>
      </c>
      <c r="I28" s="236">
        <v>888.952</v>
      </c>
      <c r="J28" s="236">
        <v>1555.5360000000001</v>
      </c>
      <c r="K28" s="236">
        <v>459.48200000000003</v>
      </c>
      <c r="L28" s="236">
        <v>2015.018</v>
      </c>
      <c r="M28" s="236">
        <v>958.09100000000001</v>
      </c>
    </row>
    <row r="29" spans="1:27">
      <c r="A29" s="2020"/>
      <c r="B29" s="235" t="s">
        <v>736</v>
      </c>
      <c r="C29" s="236">
        <v>1086.673</v>
      </c>
      <c r="D29" s="236">
        <v>10087.291999999999</v>
      </c>
      <c r="E29" s="237">
        <v>14.075999999999999</v>
      </c>
      <c r="F29" s="236">
        <v>11188.040999999999</v>
      </c>
      <c r="G29" s="236">
        <v>2528.3339999999998</v>
      </c>
      <c r="H29" s="237">
        <v>20.559000000000001</v>
      </c>
      <c r="I29" s="236">
        <v>5781.24</v>
      </c>
      <c r="J29" s="236">
        <v>8330.1329999999998</v>
      </c>
      <c r="K29" s="236">
        <v>1899.817</v>
      </c>
      <c r="L29" s="236">
        <v>10229.950000000001</v>
      </c>
      <c r="M29" s="236">
        <v>958.09100000000001</v>
      </c>
    </row>
    <row r="30" spans="1:27">
      <c r="A30" s="2020"/>
      <c r="B30" s="234"/>
      <c r="C30" s="238"/>
      <c r="D30" s="238"/>
      <c r="E30" s="238"/>
      <c r="F30" s="238"/>
      <c r="G30" s="238"/>
      <c r="H30" s="238"/>
      <c r="I30" s="238"/>
      <c r="J30" s="238"/>
      <c r="K30" s="238"/>
      <c r="L30" s="238"/>
      <c r="M30" s="238"/>
    </row>
    <row r="31" spans="1:27">
      <c r="A31" s="2019" t="s">
        <v>548</v>
      </c>
      <c r="B31" s="235" t="s">
        <v>731</v>
      </c>
      <c r="C31" s="236">
        <v>958.09100000000001</v>
      </c>
      <c r="D31" s="236">
        <v>11805.581</v>
      </c>
      <c r="E31" s="237">
        <v>1.635</v>
      </c>
      <c r="F31" s="236">
        <v>12765.307000000001</v>
      </c>
      <c r="G31" s="236">
        <v>645.27</v>
      </c>
      <c r="H31" s="238"/>
      <c r="I31" s="236">
        <v>2168.6590000000001</v>
      </c>
      <c r="J31" s="236">
        <v>2813.9290000000001</v>
      </c>
      <c r="K31" s="236">
        <v>498.89</v>
      </c>
      <c r="L31" s="236">
        <v>3312.819</v>
      </c>
      <c r="M31" s="236">
        <v>9452.4879999999994</v>
      </c>
    </row>
    <row r="32" spans="1:27">
      <c r="A32" s="2020"/>
      <c r="B32" s="235" t="s">
        <v>732</v>
      </c>
      <c r="C32" s="236">
        <v>9452.4879999999994</v>
      </c>
      <c r="D32" s="238"/>
      <c r="E32" s="237">
        <v>1.704</v>
      </c>
      <c r="F32" s="236">
        <v>9454.1919999999991</v>
      </c>
      <c r="G32" s="236">
        <v>639.68899999999996</v>
      </c>
      <c r="H32" s="238"/>
      <c r="I32" s="236">
        <v>1618.961</v>
      </c>
      <c r="J32" s="236">
        <v>2258.65</v>
      </c>
      <c r="K32" s="236">
        <v>439.20800000000003</v>
      </c>
      <c r="L32" s="236">
        <v>2697.8580000000002</v>
      </c>
      <c r="M32" s="236">
        <v>6756.3339999999998</v>
      </c>
    </row>
    <row r="33" spans="1:13">
      <c r="A33" s="2020"/>
      <c r="B33" s="235" t="s">
        <v>733</v>
      </c>
      <c r="C33" s="236">
        <v>6756.3339999999998</v>
      </c>
      <c r="D33" s="238"/>
      <c r="E33" s="237">
        <v>4.0060000000000002</v>
      </c>
      <c r="F33" s="236">
        <v>6760.34</v>
      </c>
      <c r="G33" s="236">
        <v>685.99800000000005</v>
      </c>
      <c r="H33" s="237">
        <v>20.469000000000001</v>
      </c>
      <c r="I33" s="236">
        <v>1304.6469999999999</v>
      </c>
      <c r="J33" s="236">
        <v>2011.114</v>
      </c>
      <c r="K33" s="236">
        <v>428.41300000000001</v>
      </c>
      <c r="L33" s="236">
        <v>2439.527</v>
      </c>
      <c r="M33" s="236">
        <v>4320.8130000000001</v>
      </c>
    </row>
    <row r="34" spans="1:13">
      <c r="A34" s="2020"/>
      <c r="B34" s="235" t="s">
        <v>734</v>
      </c>
      <c r="C34" s="236">
        <v>4320.8130000000001</v>
      </c>
      <c r="D34" s="238"/>
      <c r="E34" s="237">
        <v>3.4849999999999999</v>
      </c>
      <c r="F34" s="236">
        <v>4324.2979999999998</v>
      </c>
      <c r="G34" s="236">
        <v>715.65099999999995</v>
      </c>
      <c r="H34" s="237">
        <v>0.32200000000000001</v>
      </c>
      <c r="I34" s="236">
        <v>1042.808</v>
      </c>
      <c r="J34" s="236">
        <v>1758.7809999999999</v>
      </c>
      <c r="K34" s="236">
        <v>451.54500000000002</v>
      </c>
      <c r="L34" s="236">
        <v>2210.326</v>
      </c>
      <c r="M34" s="236">
        <v>2113.9720000000002</v>
      </c>
    </row>
    <row r="35" spans="1:13">
      <c r="A35" s="2020"/>
      <c r="B35" s="235" t="s">
        <v>736</v>
      </c>
      <c r="C35" s="236">
        <v>958.09100000000001</v>
      </c>
      <c r="D35" s="236">
        <v>11805.581</v>
      </c>
      <c r="E35" s="237">
        <v>10.83</v>
      </c>
      <c r="F35" s="236">
        <v>12774.502</v>
      </c>
      <c r="G35" s="236">
        <v>2686.6079999999997</v>
      </c>
      <c r="H35" s="237">
        <v>20.791</v>
      </c>
      <c r="I35" s="236">
        <v>6135.0749999999998</v>
      </c>
      <c r="J35" s="236">
        <v>8842.4739999999983</v>
      </c>
      <c r="K35" s="236">
        <v>1818.056</v>
      </c>
      <c r="L35" s="236">
        <v>10660.53</v>
      </c>
      <c r="M35" s="236">
        <v>2113.9720000000002</v>
      </c>
    </row>
    <row r="36" spans="1:13">
      <c r="A36" s="2020"/>
      <c r="B36" s="234"/>
      <c r="C36" s="238"/>
      <c r="D36" s="238"/>
      <c r="E36" s="238"/>
      <c r="F36" s="238"/>
      <c r="G36" s="238"/>
      <c r="H36" s="238"/>
      <c r="I36" s="238"/>
      <c r="J36" s="238"/>
      <c r="K36" s="238"/>
      <c r="L36" s="238"/>
      <c r="M36" s="238"/>
    </row>
    <row r="37" spans="1:13">
      <c r="A37" s="2019" t="s">
        <v>434</v>
      </c>
      <c r="B37" s="235" t="s">
        <v>731</v>
      </c>
      <c r="C37" s="236">
        <v>2113.9720000000002</v>
      </c>
      <c r="D37" s="236">
        <v>11112.187</v>
      </c>
      <c r="E37" s="237">
        <v>2.1139999999999999</v>
      </c>
      <c r="F37" s="236">
        <v>13228.273000000001</v>
      </c>
      <c r="G37" s="236">
        <v>706.06399999999996</v>
      </c>
      <c r="H37" s="238"/>
      <c r="I37" s="236">
        <v>2229.9229999999998</v>
      </c>
      <c r="J37" s="236">
        <v>2935.9870000000001</v>
      </c>
      <c r="K37" s="236">
        <v>477.32900000000001</v>
      </c>
      <c r="L37" s="236">
        <v>3413.3159999999998</v>
      </c>
      <c r="M37" s="236">
        <v>9814.9570000000003</v>
      </c>
    </row>
    <row r="38" spans="1:13">
      <c r="A38" s="2020"/>
      <c r="B38" s="235" t="s">
        <v>732</v>
      </c>
      <c r="C38" s="236">
        <v>9814.9570000000003</v>
      </c>
      <c r="D38" s="238"/>
      <c r="E38" s="237">
        <v>1.2350000000000001</v>
      </c>
      <c r="F38" s="236">
        <v>9816.1920000000009</v>
      </c>
      <c r="G38" s="236">
        <v>715.59299999999996</v>
      </c>
      <c r="H38" s="238"/>
      <c r="I38" s="236">
        <v>1639.028</v>
      </c>
      <c r="J38" s="236">
        <v>2354.6210000000001</v>
      </c>
      <c r="K38" s="236">
        <v>474.24299999999999</v>
      </c>
      <c r="L38" s="236">
        <v>2828.864</v>
      </c>
      <c r="M38" s="236">
        <v>6987.3280000000004</v>
      </c>
    </row>
    <row r="39" spans="1:13">
      <c r="A39" s="2020"/>
      <c r="B39" s="235" t="s">
        <v>733</v>
      </c>
      <c r="C39" s="236">
        <v>6987.3280000000004</v>
      </c>
      <c r="D39" s="238"/>
      <c r="E39" s="237">
        <v>4.1369999999999996</v>
      </c>
      <c r="F39" s="236">
        <v>6991.4650000000001</v>
      </c>
      <c r="G39" s="236">
        <v>764.73800000000006</v>
      </c>
      <c r="H39" s="237">
        <v>19.486999999999998</v>
      </c>
      <c r="I39" s="236">
        <v>1283.165</v>
      </c>
      <c r="J39" s="236">
        <v>2067.39</v>
      </c>
      <c r="K39" s="236">
        <v>562.37599999999998</v>
      </c>
      <c r="L39" s="236">
        <v>2629.7660000000001</v>
      </c>
      <c r="M39" s="236">
        <v>4361.6989999999996</v>
      </c>
    </row>
    <row r="40" spans="1:13">
      <c r="A40" s="2020"/>
      <c r="B40" s="235" t="s">
        <v>734</v>
      </c>
      <c r="C40" s="236">
        <v>4361.6989999999996</v>
      </c>
      <c r="D40" s="238"/>
      <c r="E40" s="237">
        <v>1.32</v>
      </c>
      <c r="F40" s="236">
        <v>4363.0189999999993</v>
      </c>
      <c r="G40" s="236">
        <v>812.64099999999996</v>
      </c>
      <c r="H40" s="237">
        <v>0.40799999999999997</v>
      </c>
      <c r="I40" s="236">
        <v>962.94500000000005</v>
      </c>
      <c r="J40" s="236">
        <v>1775.9939999999999</v>
      </c>
      <c r="K40" s="236">
        <v>619.86400000000003</v>
      </c>
      <c r="L40" s="236">
        <v>2395.8580000000002</v>
      </c>
      <c r="M40" s="236">
        <v>1967.1610000000001</v>
      </c>
    </row>
    <row r="41" spans="1:13">
      <c r="A41" s="2020"/>
      <c r="B41" s="235" t="s">
        <v>736</v>
      </c>
      <c r="C41" s="236">
        <v>2113.9720000000002</v>
      </c>
      <c r="D41" s="236">
        <v>11112.187</v>
      </c>
      <c r="E41" s="237">
        <v>8.8059999999999992</v>
      </c>
      <c r="F41" s="236">
        <v>13234.965</v>
      </c>
      <c r="G41" s="236">
        <v>2999.0360000000001</v>
      </c>
      <c r="H41" s="237">
        <v>19.895</v>
      </c>
      <c r="I41" s="236">
        <v>6115.0609999999997</v>
      </c>
      <c r="J41" s="236">
        <v>9133.9920000000002</v>
      </c>
      <c r="K41" s="236">
        <v>2133.8119999999999</v>
      </c>
      <c r="L41" s="236">
        <v>11267.804</v>
      </c>
      <c r="M41" s="236">
        <v>1967.1610000000001</v>
      </c>
    </row>
    <row r="42" spans="1:13">
      <c r="A42" s="2020"/>
      <c r="B42" s="234"/>
      <c r="C42" s="238"/>
      <c r="D42" s="238"/>
      <c r="E42" s="238"/>
      <c r="F42" s="238"/>
      <c r="G42" s="238"/>
      <c r="H42" s="238"/>
      <c r="I42" s="238"/>
      <c r="J42" s="238"/>
      <c r="K42" s="238"/>
      <c r="L42" s="238"/>
      <c r="M42" s="238"/>
    </row>
    <row r="43" spans="1:13">
      <c r="A43" s="2019" t="s">
        <v>730</v>
      </c>
      <c r="B43" s="235" t="s">
        <v>731</v>
      </c>
      <c r="C43" s="236">
        <v>1967.1610000000001</v>
      </c>
      <c r="D43" s="236">
        <v>10531.123</v>
      </c>
      <c r="E43" s="237">
        <v>1.153</v>
      </c>
      <c r="F43" s="236">
        <v>12499.437</v>
      </c>
      <c r="G43" s="236">
        <v>811.43100000000004</v>
      </c>
      <c r="H43" s="238"/>
      <c r="I43" s="236">
        <v>2159.36</v>
      </c>
      <c r="J43" s="236">
        <v>2970.7910000000002</v>
      </c>
      <c r="K43" s="236">
        <v>595.93899999999996</v>
      </c>
      <c r="L43" s="236">
        <v>3566.73</v>
      </c>
      <c r="M43" s="236">
        <v>8932.7070000000003</v>
      </c>
    </row>
    <row r="44" spans="1:13">
      <c r="A44" s="2020"/>
      <c r="B44" s="235" t="s">
        <v>732</v>
      </c>
      <c r="C44" s="236">
        <v>8932.7070000000003</v>
      </c>
      <c r="D44" s="238"/>
      <c r="E44" s="237">
        <v>1.6839999999999999</v>
      </c>
      <c r="F44" s="236">
        <v>8934.3909999999996</v>
      </c>
      <c r="G44" s="236">
        <v>831.39499999999998</v>
      </c>
      <c r="H44" s="238"/>
      <c r="I44" s="236">
        <v>1521.752</v>
      </c>
      <c r="J44" s="236">
        <v>2353.1469999999999</v>
      </c>
      <c r="K44" s="236">
        <v>512.99400000000003</v>
      </c>
      <c r="L44" s="236">
        <v>2866.1410000000001</v>
      </c>
      <c r="M44" s="236">
        <v>6068.25</v>
      </c>
    </row>
    <row r="45" spans="1:13">
      <c r="A45" s="2020"/>
      <c r="B45" s="235" t="s">
        <v>733</v>
      </c>
      <c r="C45" s="236">
        <v>6068.25</v>
      </c>
      <c r="D45" s="238"/>
      <c r="E45" s="237">
        <v>5.476</v>
      </c>
      <c r="F45" s="236">
        <v>6073.7259999999997</v>
      </c>
      <c r="G45" s="236">
        <v>908.49599999999998</v>
      </c>
      <c r="H45" s="237">
        <v>23.411999999999999</v>
      </c>
      <c r="I45" s="236">
        <v>1113.106</v>
      </c>
      <c r="J45" s="236">
        <v>2045.0139999999999</v>
      </c>
      <c r="K45" s="236">
        <v>495.26900000000001</v>
      </c>
      <c r="L45" s="236">
        <v>2540.2829999999999</v>
      </c>
      <c r="M45" s="236">
        <v>3533.4430000000002</v>
      </c>
    </row>
    <row r="46" spans="1:13">
      <c r="A46" s="2020"/>
      <c r="B46" s="235" t="s">
        <v>734</v>
      </c>
      <c r="C46" s="236">
        <v>3533.4430000000002</v>
      </c>
      <c r="D46" s="238"/>
      <c r="E46" s="237">
        <v>3.67</v>
      </c>
      <c r="F46" s="236">
        <v>3537.1130000000003</v>
      </c>
      <c r="G46" s="236">
        <v>966.05200000000002</v>
      </c>
      <c r="H46" s="237">
        <v>0.33300000000000002</v>
      </c>
      <c r="I46" s="236">
        <v>745.91399999999999</v>
      </c>
      <c r="J46" s="236">
        <v>1712.299</v>
      </c>
      <c r="K46" s="236">
        <v>521.16700000000003</v>
      </c>
      <c r="L46" s="236">
        <v>2233.4659999999999</v>
      </c>
      <c r="M46" s="236">
        <v>1303.6469999999999</v>
      </c>
    </row>
    <row r="47" spans="1:13">
      <c r="A47" s="2020"/>
      <c r="B47" s="235" t="s">
        <v>736</v>
      </c>
      <c r="C47" s="236">
        <v>1967.1610000000001</v>
      </c>
      <c r="D47" s="236">
        <v>10531.123</v>
      </c>
      <c r="E47" s="237">
        <v>11.982999999999999</v>
      </c>
      <c r="F47" s="236">
        <v>12510.267</v>
      </c>
      <c r="G47" s="236">
        <v>3517.3740000000003</v>
      </c>
      <c r="H47" s="237">
        <v>23.744999999999997</v>
      </c>
      <c r="I47" s="236">
        <v>5540.1319999999996</v>
      </c>
      <c r="J47" s="236">
        <v>9081.2510000000002</v>
      </c>
      <c r="K47" s="236">
        <v>2125.3690000000001</v>
      </c>
      <c r="L47" s="236">
        <v>11206.62</v>
      </c>
      <c r="M47" s="236">
        <v>1303.6469999999999</v>
      </c>
    </row>
    <row r="48" spans="1:13">
      <c r="A48" s="2020"/>
      <c r="B48" s="234"/>
      <c r="C48" s="238"/>
      <c r="D48" s="238"/>
      <c r="E48" s="238"/>
      <c r="F48" s="238"/>
      <c r="G48" s="238"/>
      <c r="H48" s="238"/>
      <c r="I48" s="238"/>
      <c r="J48" s="238"/>
      <c r="K48" s="238"/>
      <c r="L48" s="238"/>
      <c r="M48" s="238"/>
    </row>
    <row r="49" spans="1:13">
      <c r="A49" s="2019" t="s">
        <v>739</v>
      </c>
      <c r="B49" s="235" t="s">
        <v>731</v>
      </c>
      <c r="C49" s="236">
        <v>1303.6469999999999</v>
      </c>
      <c r="D49" s="236">
        <v>13037.875</v>
      </c>
      <c r="E49" s="237">
        <v>2.1840000000000002</v>
      </c>
      <c r="F49" s="236">
        <v>14343.706</v>
      </c>
      <c r="G49" s="236">
        <v>985.702</v>
      </c>
      <c r="H49" s="238"/>
      <c r="I49" s="236">
        <v>2386.7600000000002</v>
      </c>
      <c r="J49" s="236">
        <v>3372.462</v>
      </c>
      <c r="K49" s="236">
        <v>693.15899999999999</v>
      </c>
      <c r="L49" s="236">
        <v>4065.6210000000001</v>
      </c>
      <c r="M49" s="236">
        <v>10278.084999999999</v>
      </c>
    </row>
    <row r="50" spans="1:13">
      <c r="A50" s="2020"/>
      <c r="B50" s="235" t="s">
        <v>732</v>
      </c>
      <c r="C50" s="236">
        <v>10278.084999999999</v>
      </c>
      <c r="D50" s="238"/>
      <c r="E50" s="237">
        <v>2.8180000000000001</v>
      </c>
      <c r="F50" s="236">
        <v>10280.902999999998</v>
      </c>
      <c r="G50" s="236">
        <v>1045.962</v>
      </c>
      <c r="H50" s="238"/>
      <c r="I50" s="236">
        <v>1734.1130000000001</v>
      </c>
      <c r="J50" s="236">
        <v>2780.0749999999998</v>
      </c>
      <c r="K50" s="236">
        <v>642.10599999999999</v>
      </c>
      <c r="L50" s="236">
        <v>3422.181</v>
      </c>
      <c r="M50" s="236">
        <v>6858.7219999999998</v>
      </c>
    </row>
    <row r="51" spans="1:13">
      <c r="A51" s="2020"/>
      <c r="B51" s="235" t="s">
        <v>733</v>
      </c>
      <c r="C51" s="236">
        <v>6858.7219999999998</v>
      </c>
      <c r="D51" s="238"/>
      <c r="E51" s="237">
        <v>9.7119999999999997</v>
      </c>
      <c r="F51" s="236">
        <v>6868.4340000000002</v>
      </c>
      <c r="G51" s="236">
        <v>1167.4749999999999</v>
      </c>
      <c r="H51" s="237">
        <v>20.716000000000001</v>
      </c>
      <c r="I51" s="236">
        <v>1068.799</v>
      </c>
      <c r="J51" s="236">
        <v>2256.9899999999998</v>
      </c>
      <c r="K51" s="236">
        <v>583.42700000000002</v>
      </c>
      <c r="L51" s="236">
        <v>2840.4169999999999</v>
      </c>
      <c r="M51" s="236">
        <v>4028.0169999999998</v>
      </c>
    </row>
    <row r="52" spans="1:13">
      <c r="A52" s="2020"/>
      <c r="B52" s="235" t="s">
        <v>734</v>
      </c>
      <c r="C52" s="236">
        <v>4028.0169999999998</v>
      </c>
      <c r="D52" s="238"/>
      <c r="E52" s="237">
        <v>5.306</v>
      </c>
      <c r="F52" s="236">
        <v>4033.3229999999999</v>
      </c>
      <c r="G52" s="236">
        <v>1221.271</v>
      </c>
      <c r="H52" s="237">
        <v>1.125</v>
      </c>
      <c r="I52" s="236">
        <v>668.06700000000001</v>
      </c>
      <c r="J52" s="236">
        <v>1890.463</v>
      </c>
      <c r="K52" s="236">
        <v>518.71</v>
      </c>
      <c r="L52" s="236">
        <v>2409.1729999999998</v>
      </c>
      <c r="M52" s="236">
        <v>1624.15</v>
      </c>
    </row>
    <row r="53" spans="1:13">
      <c r="A53" s="2020"/>
      <c r="B53" s="235" t="s">
        <v>736</v>
      </c>
      <c r="C53" s="236">
        <v>1303.6469999999999</v>
      </c>
      <c r="D53" s="236">
        <v>13037.875</v>
      </c>
      <c r="E53" s="237">
        <v>20.02</v>
      </c>
      <c r="F53" s="236">
        <v>14361.542000000001</v>
      </c>
      <c r="G53" s="236">
        <v>4420.41</v>
      </c>
      <c r="H53" s="237">
        <v>21.841000000000001</v>
      </c>
      <c r="I53" s="236">
        <v>5857.7390000000005</v>
      </c>
      <c r="J53" s="236">
        <v>10299.99</v>
      </c>
      <c r="K53" s="236">
        <v>2437.402</v>
      </c>
      <c r="L53" s="236">
        <v>12737.392</v>
      </c>
      <c r="M53" s="236">
        <v>1624.15</v>
      </c>
    </row>
    <row r="54" spans="1:13">
      <c r="A54" s="2020"/>
      <c r="B54" s="234"/>
      <c r="C54" s="238"/>
      <c r="D54" s="238"/>
      <c r="E54" s="238"/>
      <c r="F54" s="238"/>
      <c r="G54" s="238"/>
      <c r="H54" s="238"/>
      <c r="I54" s="238"/>
      <c r="J54" s="238"/>
      <c r="K54" s="238"/>
      <c r="L54" s="238"/>
      <c r="M54" s="238"/>
    </row>
    <row r="55" spans="1:13">
      <c r="A55" s="2019" t="s">
        <v>741</v>
      </c>
      <c r="B55" s="235" t="s">
        <v>731</v>
      </c>
      <c r="C55" s="236">
        <v>1624.15</v>
      </c>
      <c r="D55" s="236">
        <v>12091.647999999999</v>
      </c>
      <c r="E55" s="237">
        <v>2.8149999999999999</v>
      </c>
      <c r="F55" s="236">
        <v>13718.612999999999</v>
      </c>
      <c r="G55" s="236">
        <v>1219.2439999999999</v>
      </c>
      <c r="H55" s="238"/>
      <c r="I55" s="236">
        <v>1978.4749999999999</v>
      </c>
      <c r="J55" s="236">
        <v>3197.7190000000001</v>
      </c>
      <c r="K55" s="236">
        <v>448.78800000000001</v>
      </c>
      <c r="L55" s="236">
        <v>3646.5070000000001</v>
      </c>
      <c r="M55" s="236">
        <v>10072.106</v>
      </c>
    </row>
    <row r="56" spans="1:13">
      <c r="A56" s="2020"/>
      <c r="B56" s="235" t="s">
        <v>732</v>
      </c>
      <c r="C56" s="236">
        <v>10072.106</v>
      </c>
      <c r="D56" s="238"/>
      <c r="E56" s="237">
        <v>4.1079999999999997</v>
      </c>
      <c r="F56" s="236">
        <v>10076.214</v>
      </c>
      <c r="G56" s="236">
        <v>1178.2439999999999</v>
      </c>
      <c r="H56" s="238"/>
      <c r="I56" s="236">
        <v>1572.89</v>
      </c>
      <c r="J56" s="236">
        <v>2751.134</v>
      </c>
      <c r="K56" s="236">
        <v>370.935</v>
      </c>
      <c r="L56" s="236">
        <v>3122.069</v>
      </c>
      <c r="M56" s="236">
        <v>6954.1450000000004</v>
      </c>
    </row>
    <row r="57" spans="1:13">
      <c r="A57" s="2020"/>
      <c r="B57" s="235" t="s">
        <v>733</v>
      </c>
      <c r="C57" s="236">
        <v>6954.1450000000004</v>
      </c>
      <c r="D57" s="238"/>
      <c r="E57" s="237">
        <v>5.1210000000000004</v>
      </c>
      <c r="F57" s="236">
        <v>6959.2660000000005</v>
      </c>
      <c r="G57" s="236">
        <v>1237.6110000000001</v>
      </c>
      <c r="H57" s="237">
        <v>20.413</v>
      </c>
      <c r="I57" s="236">
        <v>946.82100000000003</v>
      </c>
      <c r="J57" s="236">
        <v>2204.8449999999998</v>
      </c>
      <c r="K57" s="236">
        <v>492.99400000000003</v>
      </c>
      <c r="L57" s="236">
        <v>2697.8389999999999</v>
      </c>
      <c r="M57" s="236">
        <v>4261.4269999999997</v>
      </c>
    </row>
    <row r="58" spans="1:13">
      <c r="A58" s="2020"/>
      <c r="B58" s="235" t="s">
        <v>734</v>
      </c>
      <c r="C58" s="236">
        <v>4261.4269999999997</v>
      </c>
      <c r="D58" s="238"/>
      <c r="E58" s="237">
        <v>1.486</v>
      </c>
      <c r="F58" s="236">
        <v>4262.9129999999996</v>
      </c>
      <c r="G58" s="236">
        <v>1368.171</v>
      </c>
      <c r="H58" s="237">
        <v>1.532</v>
      </c>
      <c r="I58" s="236">
        <v>683.66899999999998</v>
      </c>
      <c r="J58" s="236">
        <v>2053.3719999999998</v>
      </c>
      <c r="K58" s="236">
        <v>536.23</v>
      </c>
      <c r="L58" s="236">
        <v>2589.6019999999999</v>
      </c>
      <c r="M58" s="236">
        <v>1673.3109999999999</v>
      </c>
    </row>
    <row r="59" spans="1:13">
      <c r="A59" s="2020"/>
      <c r="B59" s="235" t="s">
        <v>736</v>
      </c>
      <c r="C59" s="236">
        <v>1624.15</v>
      </c>
      <c r="D59" s="236">
        <v>12091.647999999999</v>
      </c>
      <c r="E59" s="237">
        <v>13.53</v>
      </c>
      <c r="F59" s="236">
        <v>13729.328</v>
      </c>
      <c r="G59" s="236">
        <v>5003.2700000000004</v>
      </c>
      <c r="H59" s="237">
        <v>21.945</v>
      </c>
      <c r="I59" s="236">
        <v>5181.8549999999996</v>
      </c>
      <c r="J59" s="236">
        <v>10207.07</v>
      </c>
      <c r="K59" s="236">
        <v>1848.9470000000001</v>
      </c>
      <c r="L59" s="236">
        <v>12056.017</v>
      </c>
      <c r="M59" s="236">
        <v>1673.3109999999999</v>
      </c>
    </row>
    <row r="60" spans="1:13">
      <c r="A60" s="2020"/>
      <c r="B60" s="234"/>
      <c r="C60" s="238"/>
      <c r="D60" s="238"/>
      <c r="E60" s="238"/>
      <c r="F60" s="238"/>
      <c r="G60" s="238"/>
      <c r="H60" s="238"/>
      <c r="I60" s="238"/>
      <c r="J60" s="238"/>
      <c r="K60" s="238"/>
      <c r="L60" s="238"/>
      <c r="M60" s="238"/>
    </row>
    <row r="61" spans="1:13">
      <c r="A61" s="2019" t="s">
        <v>735</v>
      </c>
      <c r="B61" s="235" t="s">
        <v>731</v>
      </c>
      <c r="C61" s="236">
        <v>1673.3109999999999</v>
      </c>
      <c r="D61" s="236">
        <v>13091.861999999999</v>
      </c>
      <c r="E61" s="237">
        <v>0.98</v>
      </c>
      <c r="F61" s="236">
        <v>14766.152999999998</v>
      </c>
      <c r="G61" s="236">
        <v>1382.029</v>
      </c>
      <c r="H61" s="238"/>
      <c r="I61" s="236">
        <v>2014.7829999999999</v>
      </c>
      <c r="J61" s="236">
        <v>3396.8119999999999</v>
      </c>
      <c r="K61" s="236">
        <v>466.88099999999997</v>
      </c>
      <c r="L61" s="236">
        <v>3863.6930000000002</v>
      </c>
      <c r="M61" s="236">
        <v>10902.46</v>
      </c>
    </row>
    <row r="62" spans="1:13">
      <c r="A62" s="2020"/>
      <c r="B62" s="235" t="s">
        <v>732</v>
      </c>
      <c r="C62" s="236">
        <v>10902.46</v>
      </c>
      <c r="D62" s="238"/>
      <c r="E62" s="237">
        <v>1.319</v>
      </c>
      <c r="F62" s="236">
        <v>10903.778999999999</v>
      </c>
      <c r="G62" s="236">
        <v>1447.24</v>
      </c>
      <c r="H62" s="238"/>
      <c r="I62" s="236">
        <v>1341.24</v>
      </c>
      <c r="J62" s="236">
        <v>2788.48</v>
      </c>
      <c r="K62" s="236">
        <v>421.512</v>
      </c>
      <c r="L62" s="236">
        <v>3209.9920000000002</v>
      </c>
      <c r="M62" s="236">
        <v>7693.7870000000003</v>
      </c>
    </row>
    <row r="63" spans="1:13">
      <c r="A63" s="2020"/>
      <c r="B63" s="235" t="s">
        <v>733</v>
      </c>
      <c r="C63" s="236">
        <v>7693.7870000000003</v>
      </c>
      <c r="D63" s="238"/>
      <c r="E63" s="237">
        <v>3.1320000000000001</v>
      </c>
      <c r="F63" s="236">
        <v>7696.9189999999999</v>
      </c>
      <c r="G63" s="236">
        <v>1543.1479999999999</v>
      </c>
      <c r="H63" s="237">
        <v>21.684000000000001</v>
      </c>
      <c r="I63" s="236">
        <v>1273.3910000000001</v>
      </c>
      <c r="J63" s="236">
        <v>2838.223</v>
      </c>
      <c r="K63" s="236">
        <v>548.625</v>
      </c>
      <c r="L63" s="236">
        <v>3386.848</v>
      </c>
      <c r="M63" s="236">
        <v>4310.0709999999999</v>
      </c>
    </row>
    <row r="64" spans="1:13">
      <c r="A64" s="2020"/>
      <c r="B64" s="235" t="s">
        <v>734</v>
      </c>
      <c r="C64" s="236">
        <v>4310.0709999999999</v>
      </c>
      <c r="D64" s="238"/>
      <c r="E64" s="237">
        <v>2.9119999999999999</v>
      </c>
      <c r="F64" s="236">
        <v>4312.9830000000002</v>
      </c>
      <c r="G64" s="236">
        <v>1566.249</v>
      </c>
      <c r="H64" s="237">
        <v>0.65300000000000002</v>
      </c>
      <c r="I64" s="236">
        <v>495.28899999999999</v>
      </c>
      <c r="J64" s="236">
        <v>2062.1909999999998</v>
      </c>
      <c r="K64" s="236">
        <v>543.005</v>
      </c>
      <c r="L64" s="236">
        <v>2605.1959999999999</v>
      </c>
      <c r="M64" s="236">
        <v>1707.787</v>
      </c>
    </row>
    <row r="65" spans="1:13">
      <c r="A65" s="2020"/>
      <c r="B65" s="235" t="s">
        <v>736</v>
      </c>
      <c r="C65" s="236">
        <v>1673.3109999999999</v>
      </c>
      <c r="D65" s="236">
        <v>13091.861999999999</v>
      </c>
      <c r="E65" s="237">
        <v>8.343</v>
      </c>
      <c r="F65" s="236">
        <v>14773.516</v>
      </c>
      <c r="G65" s="236">
        <v>5938.6660000000002</v>
      </c>
      <c r="H65" s="237">
        <v>22.337</v>
      </c>
      <c r="I65" s="236">
        <v>5124.7030000000004</v>
      </c>
      <c r="J65" s="236">
        <v>11085.705999999998</v>
      </c>
      <c r="K65" s="236">
        <v>1980.0230000000001</v>
      </c>
      <c r="L65" s="236">
        <v>13065.728999999999</v>
      </c>
      <c r="M65" s="236">
        <v>1707.787</v>
      </c>
    </row>
    <row r="66" spans="1:13">
      <c r="A66" s="2020"/>
      <c r="B66" s="234"/>
      <c r="C66" s="238"/>
      <c r="D66" s="238"/>
      <c r="E66" s="238"/>
      <c r="F66" s="238"/>
      <c r="G66" s="238"/>
      <c r="H66" s="238"/>
      <c r="I66" s="238"/>
      <c r="J66" s="238"/>
      <c r="K66" s="238"/>
      <c r="L66" s="238"/>
      <c r="M66" s="238"/>
    </row>
    <row r="67" spans="1:13">
      <c r="A67" s="2019" t="s">
        <v>737</v>
      </c>
      <c r="B67" s="235" t="s">
        <v>731</v>
      </c>
      <c r="C67" s="236">
        <v>1707.787</v>
      </c>
      <c r="D67" s="236">
        <v>12446.865</v>
      </c>
      <c r="E67" s="237">
        <v>5.3209999999999997</v>
      </c>
      <c r="F67" s="236">
        <v>14159.973</v>
      </c>
      <c r="G67" s="236">
        <v>1579.9490000000001</v>
      </c>
      <c r="H67" s="238"/>
      <c r="I67" s="236">
        <v>2069.3989999999999</v>
      </c>
      <c r="J67" s="236">
        <v>3649.348</v>
      </c>
      <c r="K67" s="236">
        <v>453.85599999999999</v>
      </c>
      <c r="L67" s="236">
        <v>4103.2039999999997</v>
      </c>
      <c r="M67" s="236">
        <v>10056.769</v>
      </c>
    </row>
    <row r="68" spans="1:13">
      <c r="A68" s="2020"/>
      <c r="B68" s="235" t="s">
        <v>732</v>
      </c>
      <c r="C68" s="236">
        <v>10056.769</v>
      </c>
      <c r="D68" s="238"/>
      <c r="E68" s="237">
        <v>8.4640000000000004</v>
      </c>
      <c r="F68" s="236">
        <v>10065.233</v>
      </c>
      <c r="G68" s="236">
        <v>1579.0039999999999</v>
      </c>
      <c r="H68" s="238"/>
      <c r="I68" s="236">
        <v>1560.088</v>
      </c>
      <c r="J68" s="236">
        <v>3139.0920000000001</v>
      </c>
      <c r="K68" s="236">
        <v>402.91300000000001</v>
      </c>
      <c r="L68" s="236">
        <v>3542.0050000000001</v>
      </c>
      <c r="M68" s="236">
        <v>6523.2280000000001</v>
      </c>
    </row>
    <row r="69" spans="1:13">
      <c r="A69" s="2020"/>
      <c r="B69" s="235" t="s">
        <v>733</v>
      </c>
      <c r="C69" s="236">
        <v>6523.2280000000001</v>
      </c>
      <c r="D69" s="238"/>
      <c r="E69" s="237">
        <v>10.384</v>
      </c>
      <c r="F69" s="236">
        <v>6533.6120000000001</v>
      </c>
      <c r="G69" s="236">
        <v>1619.4090000000001</v>
      </c>
      <c r="H69" s="237">
        <v>20.239999999999998</v>
      </c>
      <c r="I69" s="236">
        <v>713.35599999999999</v>
      </c>
      <c r="J69" s="236">
        <v>2353.0050000000001</v>
      </c>
      <c r="K69" s="236">
        <v>510.76900000000001</v>
      </c>
      <c r="L69" s="236">
        <v>2863.7739999999999</v>
      </c>
      <c r="M69" s="236">
        <v>3669.8380000000002</v>
      </c>
    </row>
    <row r="70" spans="1:13">
      <c r="A70" s="2020"/>
      <c r="B70" s="235" t="s">
        <v>734</v>
      </c>
      <c r="C70" s="236">
        <v>3669.8380000000002</v>
      </c>
      <c r="D70" s="238"/>
      <c r="E70" s="237">
        <v>3.5</v>
      </c>
      <c r="F70" s="236">
        <v>3673.3380000000002</v>
      </c>
      <c r="G70" s="236">
        <v>1626.212</v>
      </c>
      <c r="H70" s="237">
        <v>2.76</v>
      </c>
      <c r="I70" s="236">
        <v>450.09199999999998</v>
      </c>
      <c r="J70" s="236">
        <v>2079.0639999999999</v>
      </c>
      <c r="K70" s="236">
        <v>466.62900000000002</v>
      </c>
      <c r="L70" s="236">
        <v>2545.6930000000002</v>
      </c>
      <c r="M70" s="236">
        <v>1127.645</v>
      </c>
    </row>
    <row r="71" spans="1:13">
      <c r="A71" s="2020"/>
      <c r="B71" s="235" t="s">
        <v>736</v>
      </c>
      <c r="C71" s="236">
        <v>1707.787</v>
      </c>
      <c r="D71" s="236">
        <v>12446.865</v>
      </c>
      <c r="E71" s="237">
        <v>27.669</v>
      </c>
      <c r="F71" s="236">
        <v>14182.321</v>
      </c>
      <c r="G71" s="236">
        <v>6404.5740000000005</v>
      </c>
      <c r="H71" s="237">
        <v>23</v>
      </c>
      <c r="I71" s="236">
        <v>4792.9349999999995</v>
      </c>
      <c r="J71" s="236">
        <v>11220.509</v>
      </c>
      <c r="K71" s="236">
        <v>1834.1669999999999</v>
      </c>
      <c r="L71" s="236">
        <v>13054.675999999999</v>
      </c>
      <c r="M71" s="236">
        <v>1127.645</v>
      </c>
    </row>
    <row r="72" spans="1:13">
      <c r="A72" s="2020"/>
      <c r="B72" s="234"/>
      <c r="C72" s="238"/>
      <c r="D72" s="238"/>
      <c r="E72" s="238"/>
      <c r="F72" s="238"/>
      <c r="G72" s="238"/>
      <c r="H72" s="238"/>
      <c r="I72" s="238"/>
      <c r="J72" s="238"/>
      <c r="K72" s="238"/>
      <c r="L72" s="238"/>
      <c r="M72" s="238"/>
    </row>
    <row r="73" spans="1:13" s="215" customFormat="1">
      <c r="A73" s="2019" t="s">
        <v>738</v>
      </c>
      <c r="B73" s="235" t="s">
        <v>731</v>
      </c>
      <c r="C73" s="236">
        <v>1127.645</v>
      </c>
      <c r="D73" s="236">
        <v>12358.412</v>
      </c>
      <c r="E73" s="237">
        <v>4.0540000000000003</v>
      </c>
      <c r="F73" s="236">
        <v>13490.111000000001</v>
      </c>
      <c r="G73" s="236">
        <v>1613.433</v>
      </c>
      <c r="H73" s="238"/>
      <c r="I73" s="236">
        <v>1822.9970000000001</v>
      </c>
      <c r="J73" s="236">
        <v>3436.43</v>
      </c>
      <c r="K73" s="236">
        <v>406.21499999999997</v>
      </c>
      <c r="L73" s="236">
        <v>3842.645</v>
      </c>
      <c r="M73" s="236">
        <v>9647.4660000000003</v>
      </c>
    </row>
    <row r="74" spans="1:13">
      <c r="A74" s="2020"/>
      <c r="B74" s="235" t="s">
        <v>732</v>
      </c>
      <c r="C74" s="236">
        <v>9647.4660000000003</v>
      </c>
      <c r="D74" s="238"/>
      <c r="E74" s="237">
        <v>3.9350000000000001</v>
      </c>
      <c r="F74" s="236">
        <v>9651.4009999999998</v>
      </c>
      <c r="G74" s="236">
        <v>1637.5889999999999</v>
      </c>
      <c r="H74" s="238"/>
      <c r="I74" s="236">
        <v>1544.2460000000001</v>
      </c>
      <c r="J74" s="236">
        <v>3181.835</v>
      </c>
      <c r="K74" s="236">
        <v>446.21</v>
      </c>
      <c r="L74" s="236">
        <v>3628.0450000000001</v>
      </c>
      <c r="M74" s="236">
        <v>6023.3559999999998</v>
      </c>
    </row>
    <row r="75" spans="1:13">
      <c r="A75" s="2020"/>
      <c r="B75" s="235" t="s">
        <v>733</v>
      </c>
      <c r="C75" s="236">
        <v>6023.3559999999998</v>
      </c>
      <c r="D75" s="238"/>
      <c r="E75" s="237">
        <v>10.644</v>
      </c>
      <c r="F75" s="236">
        <v>6034</v>
      </c>
      <c r="G75" s="236">
        <v>1604.9970000000001</v>
      </c>
      <c r="H75" s="237">
        <v>23.452000000000002</v>
      </c>
      <c r="I75" s="236">
        <v>859.73699999999997</v>
      </c>
      <c r="J75" s="236">
        <v>2488.1860000000001</v>
      </c>
      <c r="K75" s="236">
        <v>397.60199999999998</v>
      </c>
      <c r="L75" s="236">
        <v>2885.788</v>
      </c>
      <c r="M75" s="236">
        <v>3148.212</v>
      </c>
    </row>
    <row r="76" spans="1:13">
      <c r="A76" s="2020"/>
      <c r="B76" s="235" t="s">
        <v>734</v>
      </c>
      <c r="C76" s="236">
        <v>3148.212</v>
      </c>
      <c r="D76" s="238"/>
      <c r="E76" s="237">
        <v>9.3670000000000009</v>
      </c>
      <c r="F76" s="236">
        <v>3157.5790000000002</v>
      </c>
      <c r="G76" s="236">
        <v>1540.5429999999999</v>
      </c>
      <c r="H76" s="237">
        <v>0.95799999999999996</v>
      </c>
      <c r="I76" s="236">
        <v>334.702</v>
      </c>
      <c r="J76" s="236">
        <v>1876.203</v>
      </c>
      <c r="K76" s="236">
        <v>292.97300000000001</v>
      </c>
      <c r="L76" s="236">
        <v>2169.1759999999999</v>
      </c>
      <c r="M76" s="236">
        <v>988.40300000000002</v>
      </c>
    </row>
    <row r="77" spans="1:13">
      <c r="A77" s="2020"/>
      <c r="B77" s="235" t="s">
        <v>736</v>
      </c>
      <c r="C77" s="236">
        <v>1127.645</v>
      </c>
      <c r="D77" s="236">
        <v>12358.412</v>
      </c>
      <c r="E77" s="237">
        <v>28.000000000000004</v>
      </c>
      <c r="F77" s="236">
        <v>13514.057000000001</v>
      </c>
      <c r="G77" s="236">
        <v>6396.5619999999999</v>
      </c>
      <c r="H77" s="237">
        <v>24.41</v>
      </c>
      <c r="I77" s="236">
        <v>4561.6820000000007</v>
      </c>
      <c r="J77" s="236">
        <v>10982.653999999999</v>
      </c>
      <c r="K77" s="236">
        <v>1543</v>
      </c>
      <c r="L77" s="236">
        <v>12525.654</v>
      </c>
      <c r="M77" s="236">
        <v>988.40300000000002</v>
      </c>
    </row>
    <row r="78" spans="1:13">
      <c r="A78" s="2020"/>
      <c r="B78" s="234"/>
      <c r="C78" s="238"/>
      <c r="D78" s="238"/>
      <c r="E78" s="238"/>
      <c r="F78" s="238"/>
      <c r="G78" s="238"/>
      <c r="H78" s="238"/>
      <c r="I78" s="238"/>
      <c r="J78" s="238"/>
      <c r="K78" s="238"/>
      <c r="L78" s="238"/>
      <c r="M78" s="238"/>
    </row>
    <row r="79" spans="1:13">
      <c r="A79" s="2019" t="s">
        <v>742</v>
      </c>
      <c r="B79" s="218" t="s">
        <v>736</v>
      </c>
      <c r="C79" s="217">
        <v>988.40300000000002</v>
      </c>
      <c r="D79" s="217">
        <v>10705.728999999999</v>
      </c>
      <c r="E79" s="216">
        <v>75</v>
      </c>
      <c r="F79" s="217">
        <v>11769.132</v>
      </c>
      <c r="G79" s="217">
        <v>5825</v>
      </c>
      <c r="H79" s="216">
        <v>25</v>
      </c>
      <c r="I79" s="217">
        <v>4150</v>
      </c>
      <c r="J79" s="217">
        <v>10000</v>
      </c>
      <c r="K79" s="217">
        <v>1150</v>
      </c>
      <c r="L79" s="217">
        <v>11150</v>
      </c>
      <c r="M79" s="217">
        <v>619.13199999999995</v>
      </c>
    </row>
    <row r="80" spans="1:13">
      <c r="A80" s="2021"/>
      <c r="B80" s="239"/>
      <c r="C80" s="240"/>
      <c r="D80" s="240"/>
      <c r="E80" s="240"/>
      <c r="F80" s="240"/>
      <c r="G80" s="240"/>
      <c r="H80" s="240"/>
      <c r="I80" s="240"/>
      <c r="J80" s="240"/>
      <c r="K80" s="240"/>
      <c r="L80" s="240"/>
      <c r="M80" s="240"/>
    </row>
    <row r="81" spans="1:13">
      <c r="A81" s="2022" t="s">
        <v>629</v>
      </c>
      <c r="B81" s="2020"/>
      <c r="C81" s="2020"/>
      <c r="D81" s="2020"/>
      <c r="E81" s="2020"/>
      <c r="F81" s="2020"/>
      <c r="G81" s="2020"/>
      <c r="H81" s="2020"/>
      <c r="I81" s="2020"/>
      <c r="J81" s="2020"/>
      <c r="K81" s="2020"/>
      <c r="L81" s="2020"/>
      <c r="M81" s="2020"/>
    </row>
    <row r="82" spans="1:13">
      <c r="A82" s="2023" t="s">
        <v>507</v>
      </c>
      <c r="B82" s="2020"/>
      <c r="C82" s="2020"/>
      <c r="D82" s="2020"/>
      <c r="E82" s="2020"/>
      <c r="F82" s="2020"/>
      <c r="G82" s="2020"/>
      <c r="H82" s="2020"/>
      <c r="I82" s="2020"/>
      <c r="J82" s="2020"/>
      <c r="K82" s="2020"/>
      <c r="L82" s="2020"/>
      <c r="M82" s="2020"/>
    </row>
  </sheetData>
  <mergeCells count="29">
    <mergeCell ref="O3:AA3"/>
    <mergeCell ref="A7:A12"/>
    <mergeCell ref="O4:P6"/>
    <mergeCell ref="Q4:T4"/>
    <mergeCell ref="U4:Z4"/>
    <mergeCell ref="Q5:T5"/>
    <mergeCell ref="U5:X5"/>
    <mergeCell ref="Y5:Z5"/>
    <mergeCell ref="A3:M3"/>
    <mergeCell ref="A4:B6"/>
    <mergeCell ref="C4:F4"/>
    <mergeCell ref="G4:L4"/>
    <mergeCell ref="C5:F5"/>
    <mergeCell ref="G5:J5"/>
    <mergeCell ref="K5:L5"/>
    <mergeCell ref="A79:A80"/>
    <mergeCell ref="A81:M81"/>
    <mergeCell ref="A82:M82"/>
    <mergeCell ref="A37:A42"/>
    <mergeCell ref="A43:A48"/>
    <mergeCell ref="A49:A54"/>
    <mergeCell ref="A55:A60"/>
    <mergeCell ref="A61:A66"/>
    <mergeCell ref="A67:A72"/>
    <mergeCell ref="A13:A18"/>
    <mergeCell ref="A19:A24"/>
    <mergeCell ref="A25:A30"/>
    <mergeCell ref="A31:A36"/>
    <mergeCell ref="A73:A78"/>
  </mergeCells>
  <phoneticPr fontId="107" type="noConversion"/>
  <hyperlinks>
    <hyperlink ref="A2" r:id="rId1" xr:uid="{00000000-0004-0000-0D00-000000000000}"/>
  </hyperlink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AA83"/>
  <sheetViews>
    <sheetView topLeftCell="K7" workbookViewId="0">
      <selection activeCell="W7" sqref="W7"/>
    </sheetView>
  </sheetViews>
  <sheetFormatPr baseColWidth="10" defaultColWidth="8.83203125" defaultRowHeight="15"/>
  <cols>
    <col min="16" max="16" width="16.6640625" customWidth="1"/>
  </cols>
  <sheetData>
    <row r="1" spans="1:27" s="263" customFormat="1">
      <c r="A1" s="249" t="s">
        <v>508</v>
      </c>
    </row>
    <row r="2" spans="1:27" s="263" customFormat="1">
      <c r="A2" s="248" t="s">
        <v>501</v>
      </c>
    </row>
    <row r="3" spans="1:27" ht="14.5" customHeight="1" thickBot="1">
      <c r="A3" s="2038" t="s">
        <v>319</v>
      </c>
      <c r="B3" s="2020"/>
      <c r="C3" s="2020"/>
      <c r="D3" s="2020"/>
      <c r="E3" s="2020"/>
      <c r="F3" s="2020"/>
      <c r="G3" s="2020"/>
      <c r="H3" s="2020"/>
      <c r="I3" s="2020"/>
      <c r="J3" s="2020"/>
      <c r="K3" s="2020"/>
      <c r="L3" s="2020"/>
      <c r="M3" s="2020"/>
      <c r="O3" s="2024" t="s">
        <v>624</v>
      </c>
      <c r="P3" s="2024"/>
      <c r="Q3" s="2024"/>
      <c r="R3" s="2024"/>
      <c r="S3" s="2024"/>
      <c r="T3" s="2024"/>
      <c r="U3" s="2024"/>
      <c r="V3" s="2024"/>
      <c r="W3" s="2024"/>
      <c r="X3" s="2024"/>
      <c r="Y3" s="2024"/>
      <c r="Z3" s="2024"/>
      <c r="AA3" s="2024"/>
    </row>
    <row r="4" spans="1:27" ht="15" customHeight="1">
      <c r="A4" s="2045" t="s">
        <v>599</v>
      </c>
      <c r="B4" s="2040"/>
      <c r="C4" s="2041" t="s">
        <v>600</v>
      </c>
      <c r="D4" s="2040"/>
      <c r="E4" s="2040"/>
      <c r="F4" s="2042"/>
      <c r="G4" s="2041" t="s">
        <v>601</v>
      </c>
      <c r="H4" s="2040"/>
      <c r="I4" s="2040"/>
      <c r="J4" s="2040"/>
      <c r="K4" s="2040"/>
      <c r="L4" s="2042"/>
      <c r="M4" s="213"/>
      <c r="O4" s="2025" t="s">
        <v>602</v>
      </c>
      <c r="P4" s="2026"/>
      <c r="Q4" s="2029" t="s">
        <v>600</v>
      </c>
      <c r="R4" s="2030"/>
      <c r="S4" s="2030"/>
      <c r="T4" s="2031"/>
      <c r="U4" s="2029" t="s">
        <v>601</v>
      </c>
      <c r="V4" s="2030"/>
      <c r="W4" s="2030"/>
      <c r="X4" s="2030"/>
      <c r="Y4" s="2030"/>
      <c r="Z4" s="2031"/>
      <c r="AA4" s="243"/>
    </row>
    <row r="5" spans="1:27" ht="14.5" customHeight="1">
      <c r="A5" s="2020"/>
      <c r="B5" s="2020"/>
      <c r="C5" s="2043"/>
      <c r="D5" s="2020"/>
      <c r="E5" s="2020"/>
      <c r="F5" s="2044"/>
      <c r="G5" s="2041" t="s">
        <v>673</v>
      </c>
      <c r="H5" s="2040"/>
      <c r="I5" s="2040"/>
      <c r="J5" s="2042"/>
      <c r="K5" s="2043"/>
      <c r="L5" s="2044"/>
      <c r="M5" s="214"/>
      <c r="O5" s="2027"/>
      <c r="P5" s="2028"/>
      <c r="Q5" s="2032"/>
      <c r="R5" s="2033"/>
      <c r="S5" s="2033"/>
      <c r="T5" s="2034"/>
      <c r="U5" s="2035" t="s">
        <v>673</v>
      </c>
      <c r="V5" s="2036"/>
      <c r="W5" s="2036"/>
      <c r="X5" s="2037"/>
      <c r="Y5" s="2032"/>
      <c r="Z5" s="2034"/>
      <c r="AA5" s="244"/>
    </row>
    <row r="6" spans="1:27" ht="38" thickBot="1">
      <c r="A6" s="2021"/>
      <c r="B6" s="2021"/>
      <c r="C6" s="212" t="s">
        <v>674</v>
      </c>
      <c r="D6" s="212" t="s">
        <v>675</v>
      </c>
      <c r="E6" s="212" t="s">
        <v>486</v>
      </c>
      <c r="F6" s="212" t="s">
        <v>487</v>
      </c>
      <c r="G6" s="212" t="s">
        <v>488</v>
      </c>
      <c r="H6" s="212" t="s">
        <v>489</v>
      </c>
      <c r="I6" s="212" t="s">
        <v>490</v>
      </c>
      <c r="J6" s="212" t="s">
        <v>365</v>
      </c>
      <c r="K6" s="212" t="s">
        <v>366</v>
      </c>
      <c r="L6" s="212" t="s">
        <v>367</v>
      </c>
      <c r="M6" s="211" t="s">
        <v>368</v>
      </c>
      <c r="O6" s="2027"/>
      <c r="P6" s="2028"/>
      <c r="Q6" s="158" t="s">
        <v>674</v>
      </c>
      <c r="R6" s="158" t="s">
        <v>675</v>
      </c>
      <c r="S6" s="158" t="s">
        <v>486</v>
      </c>
      <c r="T6" s="158" t="s">
        <v>487</v>
      </c>
      <c r="U6" s="158" t="s">
        <v>488</v>
      </c>
      <c r="V6" s="158" t="s">
        <v>489</v>
      </c>
      <c r="W6" s="207" t="s">
        <v>490</v>
      </c>
      <c r="X6" s="158" t="s">
        <v>365</v>
      </c>
      <c r="Y6" s="158" t="s">
        <v>366</v>
      </c>
      <c r="Z6" s="158" t="s">
        <v>367</v>
      </c>
      <c r="AA6" s="159" t="s">
        <v>368</v>
      </c>
    </row>
    <row r="7" spans="1:27" ht="14.5" customHeight="1">
      <c r="A7" s="2019" t="s">
        <v>543</v>
      </c>
      <c r="B7" s="257" t="s">
        <v>649</v>
      </c>
      <c r="C7" s="258">
        <v>76.031000000000006</v>
      </c>
      <c r="D7" s="258">
        <v>149.16499999999999</v>
      </c>
      <c r="E7" s="259">
        <v>20.994</v>
      </c>
      <c r="F7" s="258">
        <v>246.19</v>
      </c>
      <c r="G7" s="258">
        <v>16.5</v>
      </c>
      <c r="H7" s="260"/>
      <c r="I7" s="258">
        <v>78.918999999999997</v>
      </c>
      <c r="J7" s="258">
        <v>95.418999999999997</v>
      </c>
      <c r="K7" s="259">
        <v>0.39400000000000002</v>
      </c>
      <c r="L7" s="258">
        <v>95.813000000000002</v>
      </c>
      <c r="M7" s="258">
        <v>150.37700000000001</v>
      </c>
      <c r="O7" s="286"/>
      <c r="P7" s="296" t="str">
        <f>A7</f>
        <v>2000/01</v>
      </c>
      <c r="Q7" s="297">
        <f>C11</f>
        <v>76.031000000000006</v>
      </c>
      <c r="R7" s="297">
        <f t="shared" ref="R7:AA7" si="0">D11</f>
        <v>149.16499999999999</v>
      </c>
      <c r="S7" s="297">
        <f t="shared" si="0"/>
        <v>105.98099999999999</v>
      </c>
      <c r="T7" s="297">
        <f t="shared" si="0"/>
        <v>331.17700000000002</v>
      </c>
      <c r="U7" s="297">
        <f t="shared" si="0"/>
        <v>56.7</v>
      </c>
      <c r="V7" s="297">
        <f t="shared" si="0"/>
        <v>11.27</v>
      </c>
      <c r="W7" s="298">
        <f t="shared" si="0"/>
        <v>188.77600000000001</v>
      </c>
      <c r="X7" s="297">
        <f t="shared" si="0"/>
        <v>256.74600000000004</v>
      </c>
      <c r="Y7" s="297">
        <f t="shared" si="0"/>
        <v>1.704</v>
      </c>
      <c r="Z7" s="297">
        <f t="shared" si="0"/>
        <v>258.45</v>
      </c>
      <c r="AA7" s="299">
        <f t="shared" si="0"/>
        <v>72.727000000000004</v>
      </c>
    </row>
    <row r="8" spans="1:27">
      <c r="A8" s="2020"/>
      <c r="B8" s="257" t="s">
        <v>650</v>
      </c>
      <c r="C8" s="258">
        <v>150.37700000000001</v>
      </c>
      <c r="D8" s="260"/>
      <c r="E8" s="259">
        <v>36.607999999999997</v>
      </c>
      <c r="F8" s="258">
        <v>186.98500000000001</v>
      </c>
      <c r="G8" s="258">
        <v>14.6</v>
      </c>
      <c r="H8" s="259">
        <v>1.3069999999999999</v>
      </c>
      <c r="I8" s="258">
        <v>26.484000000000002</v>
      </c>
      <c r="J8" s="258">
        <v>42.390999999999998</v>
      </c>
      <c r="K8" s="259">
        <v>0.45700000000000002</v>
      </c>
      <c r="L8" s="258">
        <v>42.847999999999999</v>
      </c>
      <c r="M8" s="258">
        <v>144.137</v>
      </c>
      <c r="O8" s="245"/>
      <c r="P8" s="241" t="str">
        <f>A13</f>
        <v>2001/02</v>
      </c>
      <c r="Q8" s="242">
        <f t="shared" ref="Q8:AA8" si="1">C17</f>
        <v>72.727000000000004</v>
      </c>
      <c r="R8" s="242">
        <f t="shared" si="1"/>
        <v>117.602</v>
      </c>
      <c r="S8" s="242">
        <f t="shared" si="1"/>
        <v>95.962999999999994</v>
      </c>
      <c r="T8" s="242">
        <f t="shared" si="1"/>
        <v>286.29200000000003</v>
      </c>
      <c r="U8" s="242">
        <f t="shared" si="1"/>
        <v>59.2</v>
      </c>
      <c r="V8" s="242">
        <f t="shared" si="1"/>
        <v>12.802</v>
      </c>
      <c r="W8" s="247">
        <f t="shared" si="1"/>
        <v>148.26999999999998</v>
      </c>
      <c r="X8" s="242">
        <f t="shared" si="1"/>
        <v>220.27199999999996</v>
      </c>
      <c r="Y8" s="242">
        <f t="shared" si="1"/>
        <v>2.8180000000000001</v>
      </c>
      <c r="Z8" s="242">
        <f t="shared" si="1"/>
        <v>223.09</v>
      </c>
      <c r="AA8" s="246">
        <f t="shared" si="1"/>
        <v>63.201999999999998</v>
      </c>
    </row>
    <row r="9" spans="1:27">
      <c r="A9" s="2020"/>
      <c r="B9" s="257" t="s">
        <v>717</v>
      </c>
      <c r="C9" s="258">
        <v>144.137</v>
      </c>
      <c r="D9" s="260"/>
      <c r="E9" s="259">
        <v>28.209</v>
      </c>
      <c r="F9" s="258">
        <v>172.346</v>
      </c>
      <c r="G9" s="258">
        <v>14</v>
      </c>
      <c r="H9" s="259">
        <v>0.316</v>
      </c>
      <c r="I9" s="258">
        <v>47.628</v>
      </c>
      <c r="J9" s="258">
        <v>61.944000000000003</v>
      </c>
      <c r="K9" s="259">
        <v>0.47399999999999998</v>
      </c>
      <c r="L9" s="258">
        <v>62.417999999999999</v>
      </c>
      <c r="M9" s="258">
        <v>109.928</v>
      </c>
      <c r="O9" s="245"/>
      <c r="P9" s="241" t="str">
        <f>A19</f>
        <v>2002/03</v>
      </c>
      <c r="Q9" s="242">
        <f t="shared" ref="Q9:AA9" si="2">C23</f>
        <v>63.201999999999998</v>
      </c>
      <c r="R9" s="242">
        <f t="shared" si="2"/>
        <v>116.002</v>
      </c>
      <c r="S9" s="242">
        <f t="shared" si="2"/>
        <v>95.126000000000005</v>
      </c>
      <c r="T9" s="242">
        <f t="shared" si="2"/>
        <v>274.33</v>
      </c>
      <c r="U9" s="242">
        <f t="shared" si="2"/>
        <v>60.2</v>
      </c>
      <c r="V9" s="242">
        <f t="shared" si="2"/>
        <v>11.759</v>
      </c>
      <c r="W9" s="247">
        <f t="shared" si="2"/>
        <v>149.93299999999999</v>
      </c>
      <c r="X9" s="242">
        <f t="shared" si="2"/>
        <v>221.892</v>
      </c>
      <c r="Y9" s="242">
        <f t="shared" si="2"/>
        <v>2.605</v>
      </c>
      <c r="Z9" s="242">
        <f t="shared" si="2"/>
        <v>224.49700000000001</v>
      </c>
      <c r="AA9" s="246">
        <f t="shared" si="2"/>
        <v>49.832999999999998</v>
      </c>
    </row>
    <row r="10" spans="1:27">
      <c r="A10" s="2020"/>
      <c r="B10" s="257" t="s">
        <v>718</v>
      </c>
      <c r="C10" s="258">
        <v>109.928</v>
      </c>
      <c r="D10" s="260"/>
      <c r="E10" s="259">
        <v>20.170000000000002</v>
      </c>
      <c r="F10" s="258">
        <v>130.09800000000001</v>
      </c>
      <c r="G10" s="258">
        <v>11.6</v>
      </c>
      <c r="H10" s="259">
        <v>9.6470000000000002</v>
      </c>
      <c r="I10" s="258">
        <v>35.744999999999997</v>
      </c>
      <c r="J10" s="258">
        <v>56.991999999999997</v>
      </c>
      <c r="K10" s="259">
        <v>0.379</v>
      </c>
      <c r="L10" s="258">
        <v>57.371000000000002</v>
      </c>
      <c r="M10" s="258">
        <v>72.727000000000004</v>
      </c>
      <c r="O10" s="245"/>
      <c r="P10" s="241" t="str">
        <f>A25</f>
        <v>2003/04</v>
      </c>
      <c r="Q10" s="242">
        <f t="shared" ref="Q10:AA10" si="3">C29</f>
        <v>49.832999999999998</v>
      </c>
      <c r="R10" s="242">
        <f t="shared" si="3"/>
        <v>144.38300000000001</v>
      </c>
      <c r="S10" s="242">
        <f t="shared" si="3"/>
        <v>89.731999999999999</v>
      </c>
      <c r="T10" s="242">
        <f t="shared" si="3"/>
        <v>283.94799999999998</v>
      </c>
      <c r="U10" s="242">
        <f t="shared" si="3"/>
        <v>62.4</v>
      </c>
      <c r="V10" s="242">
        <f t="shared" si="3"/>
        <v>10.509</v>
      </c>
      <c r="W10" s="247">
        <f t="shared" si="3"/>
        <v>143.72300000000001</v>
      </c>
      <c r="X10" s="242">
        <f t="shared" si="3"/>
        <v>216.63200000000001</v>
      </c>
      <c r="Y10" s="242">
        <f t="shared" si="3"/>
        <v>2.468</v>
      </c>
      <c r="Z10" s="242">
        <f t="shared" si="3"/>
        <v>219.1</v>
      </c>
      <c r="AA10" s="246">
        <f t="shared" si="3"/>
        <v>64.847999999999999</v>
      </c>
    </row>
    <row r="11" spans="1:27">
      <c r="A11" s="2020"/>
      <c r="B11" s="257" t="s">
        <v>719</v>
      </c>
      <c r="C11" s="258">
        <v>76.031000000000006</v>
      </c>
      <c r="D11" s="258">
        <v>149.16499999999999</v>
      </c>
      <c r="E11" s="259">
        <v>105.98099999999999</v>
      </c>
      <c r="F11" s="258">
        <v>331.17700000000002</v>
      </c>
      <c r="G11" s="258">
        <v>56.7</v>
      </c>
      <c r="H11" s="259">
        <v>11.27</v>
      </c>
      <c r="I11" s="258">
        <v>188.77600000000001</v>
      </c>
      <c r="J11" s="258">
        <v>256.74600000000004</v>
      </c>
      <c r="K11" s="259">
        <v>1.704</v>
      </c>
      <c r="L11" s="258">
        <v>258.45</v>
      </c>
      <c r="M11" s="258">
        <v>72.727000000000004</v>
      </c>
      <c r="O11" s="245"/>
      <c r="P11" s="241" t="str">
        <f>A31</f>
        <v>2004/05</v>
      </c>
      <c r="Q11" s="242">
        <f t="shared" ref="Q11:AA11" si="4">C35</f>
        <v>64.847999999999999</v>
      </c>
      <c r="R11" s="242">
        <f t="shared" si="4"/>
        <v>115.69499999999999</v>
      </c>
      <c r="S11" s="242">
        <f t="shared" si="4"/>
        <v>90.311000000000007</v>
      </c>
      <c r="T11" s="242">
        <f t="shared" si="4"/>
        <v>270.85399999999998</v>
      </c>
      <c r="U11" s="242">
        <f t="shared" si="4"/>
        <v>63</v>
      </c>
      <c r="V11" s="242">
        <f t="shared" si="4"/>
        <v>10.979999999999999</v>
      </c>
      <c r="W11" s="247">
        <f t="shared" si="4"/>
        <v>136.25299999999999</v>
      </c>
      <c r="X11" s="242">
        <f t="shared" si="4"/>
        <v>210.233</v>
      </c>
      <c r="Y11" s="242">
        <f t="shared" si="4"/>
        <v>2.6789999999999998</v>
      </c>
      <c r="Z11" s="242">
        <f t="shared" si="4"/>
        <v>212.91200000000001</v>
      </c>
      <c r="AA11" s="246">
        <f t="shared" si="4"/>
        <v>57.942</v>
      </c>
    </row>
    <row r="12" spans="1:27">
      <c r="A12" s="2020"/>
      <c r="B12" s="256"/>
      <c r="C12" s="260"/>
      <c r="D12" s="260"/>
      <c r="E12" s="260"/>
      <c r="F12" s="260"/>
      <c r="G12" s="260"/>
      <c r="H12" s="260"/>
      <c r="I12" s="260"/>
      <c r="J12" s="260"/>
      <c r="K12" s="260"/>
      <c r="L12" s="260"/>
      <c r="M12" s="260"/>
      <c r="O12" s="245"/>
      <c r="P12" s="241" t="str">
        <f>A37</f>
        <v>2005/06</v>
      </c>
      <c r="Q12" s="242">
        <f t="shared" ref="Q12:AA12" si="5">C41</f>
        <v>57.942</v>
      </c>
      <c r="R12" s="242">
        <f t="shared" si="5"/>
        <v>114.85899999999999</v>
      </c>
      <c r="S12" s="242">
        <f t="shared" si="5"/>
        <v>91.187000000000012</v>
      </c>
      <c r="T12" s="242">
        <f t="shared" si="5"/>
        <v>263.988</v>
      </c>
      <c r="U12" s="242">
        <f t="shared" si="5"/>
        <v>62.881</v>
      </c>
      <c r="V12" s="242">
        <f t="shared" si="5"/>
        <v>10.798999999999999</v>
      </c>
      <c r="W12" s="247">
        <f t="shared" si="5"/>
        <v>135.65299999999999</v>
      </c>
      <c r="X12" s="242">
        <f t="shared" si="5"/>
        <v>209.33300000000003</v>
      </c>
      <c r="Y12" s="242">
        <f t="shared" si="5"/>
        <v>2.089</v>
      </c>
      <c r="Z12" s="242">
        <f t="shared" si="5"/>
        <v>211.422</v>
      </c>
      <c r="AA12" s="246">
        <f t="shared" si="5"/>
        <v>52.566000000000003</v>
      </c>
    </row>
    <row r="13" spans="1:27">
      <c r="A13" s="2019" t="s">
        <v>445</v>
      </c>
      <c r="B13" s="257" t="s">
        <v>649</v>
      </c>
      <c r="C13" s="258">
        <v>72.727000000000004</v>
      </c>
      <c r="D13" s="258">
        <v>117.602</v>
      </c>
      <c r="E13" s="259">
        <v>17.7</v>
      </c>
      <c r="F13" s="258">
        <v>208.029</v>
      </c>
      <c r="G13" s="258">
        <v>17</v>
      </c>
      <c r="H13" s="260"/>
      <c r="I13" s="258">
        <v>73.828999999999994</v>
      </c>
      <c r="J13" s="258">
        <v>90.828999999999994</v>
      </c>
      <c r="K13" s="259">
        <v>0.80800000000000005</v>
      </c>
      <c r="L13" s="258">
        <v>91.637</v>
      </c>
      <c r="M13" s="258">
        <v>116.392</v>
      </c>
      <c r="O13" s="245"/>
      <c r="P13" s="241" t="str">
        <f>A43</f>
        <v>2006/07</v>
      </c>
      <c r="Q13" s="242">
        <f t="shared" ref="Q13:AA13" si="6">C47</f>
        <v>52.566000000000003</v>
      </c>
      <c r="R13" s="242">
        <f t="shared" si="6"/>
        <v>93.522000000000006</v>
      </c>
      <c r="S13" s="242">
        <f t="shared" si="6"/>
        <v>106.21799999999999</v>
      </c>
      <c r="T13" s="242">
        <f t="shared" si="6"/>
        <v>252.30600000000001</v>
      </c>
      <c r="U13" s="242">
        <f t="shared" si="6"/>
        <v>64.510000000000005</v>
      </c>
      <c r="V13" s="242">
        <f t="shared" si="6"/>
        <v>9.657</v>
      </c>
      <c r="W13" s="247">
        <f t="shared" si="6"/>
        <v>124.94700000000002</v>
      </c>
      <c r="X13" s="242">
        <f t="shared" si="6"/>
        <v>199.11399999999998</v>
      </c>
      <c r="Y13" s="242">
        <f t="shared" si="6"/>
        <v>2.5940000000000003</v>
      </c>
      <c r="Z13" s="242">
        <f t="shared" si="6"/>
        <v>201.70799999999997</v>
      </c>
      <c r="AA13" s="246">
        <f t="shared" si="6"/>
        <v>50.597999999999999</v>
      </c>
    </row>
    <row r="14" spans="1:27">
      <c r="A14" s="2020"/>
      <c r="B14" s="257" t="s">
        <v>650</v>
      </c>
      <c r="C14" s="258">
        <v>116.392</v>
      </c>
      <c r="D14" s="260"/>
      <c r="E14" s="259">
        <v>48.170999999999999</v>
      </c>
      <c r="F14" s="258">
        <v>164.56299999999999</v>
      </c>
      <c r="G14" s="258">
        <v>15</v>
      </c>
      <c r="H14" s="259">
        <v>1.4850000000000001</v>
      </c>
      <c r="I14" s="258">
        <v>32.979999999999997</v>
      </c>
      <c r="J14" s="258">
        <v>49.465000000000003</v>
      </c>
      <c r="K14" s="259">
        <v>0.88100000000000001</v>
      </c>
      <c r="L14" s="258">
        <v>50.345999999999997</v>
      </c>
      <c r="M14" s="258">
        <v>114.217</v>
      </c>
      <c r="O14" s="222"/>
      <c r="P14" s="241" t="str">
        <f>A49</f>
        <v>2007/08</v>
      </c>
      <c r="Q14" s="242">
        <f t="shared" ref="Q14:AA14" si="7">C53</f>
        <v>50.597999999999999</v>
      </c>
      <c r="R14" s="242">
        <f t="shared" si="7"/>
        <v>90.43</v>
      </c>
      <c r="S14" s="242">
        <f t="shared" si="7"/>
        <v>123.29100000000001</v>
      </c>
      <c r="T14" s="242">
        <f t="shared" si="7"/>
        <v>264.31900000000002</v>
      </c>
      <c r="U14" s="242">
        <f t="shared" si="7"/>
        <v>66</v>
      </c>
      <c r="V14" s="242">
        <f t="shared" si="7"/>
        <v>8.4809999999999999</v>
      </c>
      <c r="W14" s="247">
        <f t="shared" si="7"/>
        <v>120.15599999999999</v>
      </c>
      <c r="X14" s="242">
        <f t="shared" si="7"/>
        <v>194.637</v>
      </c>
      <c r="Y14" s="242">
        <f t="shared" si="7"/>
        <v>2.9079999999999999</v>
      </c>
      <c r="Z14" s="242">
        <f t="shared" si="7"/>
        <v>197.54499999999999</v>
      </c>
      <c r="AA14" s="246">
        <f t="shared" si="7"/>
        <v>66.774000000000001</v>
      </c>
    </row>
    <row r="15" spans="1:27">
      <c r="A15" s="2020"/>
      <c r="B15" s="257" t="s">
        <v>717</v>
      </c>
      <c r="C15" s="258">
        <v>114.217</v>
      </c>
      <c r="D15" s="260"/>
      <c r="E15" s="259">
        <v>18.111000000000001</v>
      </c>
      <c r="F15" s="258">
        <v>132.328</v>
      </c>
      <c r="G15" s="258">
        <v>14.7</v>
      </c>
      <c r="H15" s="259">
        <v>0.35799999999999998</v>
      </c>
      <c r="I15" s="258">
        <v>23.231000000000002</v>
      </c>
      <c r="J15" s="258">
        <v>38.289000000000001</v>
      </c>
      <c r="K15" s="259">
        <v>0.68100000000000005</v>
      </c>
      <c r="L15" s="258">
        <v>38.97</v>
      </c>
      <c r="M15" s="258">
        <v>93.358000000000004</v>
      </c>
      <c r="O15" s="222"/>
      <c r="P15" s="241" t="str">
        <f>A61</f>
        <v>2009/10</v>
      </c>
      <c r="Q15" s="242">
        <f t="shared" ref="Q15:AA15" si="8">C65</f>
        <v>84.099000000000004</v>
      </c>
      <c r="R15" s="242">
        <f t="shared" si="8"/>
        <v>93.081000000000003</v>
      </c>
      <c r="S15" s="242">
        <f t="shared" si="8"/>
        <v>94.915999999999997</v>
      </c>
      <c r="T15" s="242">
        <f t="shared" si="8"/>
        <v>272.096</v>
      </c>
      <c r="U15" s="242">
        <f t="shared" si="8"/>
        <v>66.227000000000004</v>
      </c>
      <c r="V15" s="242">
        <f t="shared" si="8"/>
        <v>8.2080000000000002</v>
      </c>
      <c r="W15" s="247">
        <f t="shared" si="8"/>
        <v>115.179</v>
      </c>
      <c r="X15" s="242">
        <f t="shared" si="8"/>
        <v>189.614</v>
      </c>
      <c r="Y15" s="242">
        <f t="shared" si="8"/>
        <v>2.1659999999999999</v>
      </c>
      <c r="Z15" s="242">
        <f t="shared" si="8"/>
        <v>191.78</v>
      </c>
      <c r="AA15" s="246">
        <f t="shared" si="8"/>
        <v>80.316000000000003</v>
      </c>
    </row>
    <row r="16" spans="1:27" ht="16" thickBot="1">
      <c r="A16" s="2020"/>
      <c r="B16" s="257" t="s">
        <v>718</v>
      </c>
      <c r="C16" s="258">
        <v>93.358000000000004</v>
      </c>
      <c r="D16" s="260"/>
      <c r="E16" s="259">
        <v>11.981</v>
      </c>
      <c r="F16" s="258">
        <v>105.339</v>
      </c>
      <c r="G16" s="258">
        <v>12.5</v>
      </c>
      <c r="H16" s="259">
        <v>10.959</v>
      </c>
      <c r="I16" s="258">
        <v>18.23</v>
      </c>
      <c r="J16" s="258">
        <v>41.689</v>
      </c>
      <c r="K16" s="259">
        <v>0.44800000000000001</v>
      </c>
      <c r="L16" s="258">
        <v>42.137</v>
      </c>
      <c r="M16" s="258">
        <v>63.201999999999998</v>
      </c>
      <c r="O16" s="227"/>
      <c r="P16" s="7" t="str">
        <f>A67</f>
        <v>2010/11</v>
      </c>
      <c r="Q16" s="8">
        <f t="shared" ref="Q16:AA16" si="9">C71</f>
        <v>80.316000000000003</v>
      </c>
      <c r="R16" s="8">
        <f t="shared" si="9"/>
        <v>81.19</v>
      </c>
      <c r="S16" s="8">
        <f t="shared" si="9"/>
        <v>85.147999999999996</v>
      </c>
      <c r="T16" s="8">
        <f t="shared" si="9"/>
        <v>246.654</v>
      </c>
      <c r="U16" s="8">
        <f t="shared" si="9"/>
        <v>67.227000000000004</v>
      </c>
      <c r="V16" s="8">
        <f t="shared" si="9"/>
        <v>6.75</v>
      </c>
      <c r="W16" s="206">
        <f t="shared" si="9"/>
        <v>102.19499999999999</v>
      </c>
      <c r="X16" s="8">
        <f t="shared" si="9"/>
        <v>176.17199999999997</v>
      </c>
      <c r="Y16" s="8">
        <f t="shared" si="9"/>
        <v>2.8530000000000002</v>
      </c>
      <c r="Z16" s="8">
        <f t="shared" si="9"/>
        <v>179.02500000000001</v>
      </c>
      <c r="AA16" s="9">
        <f t="shared" si="9"/>
        <v>67.629000000000005</v>
      </c>
    </row>
    <row r="17" spans="1:27" ht="16" thickBot="1">
      <c r="A17" s="2020"/>
      <c r="B17" s="257" t="s">
        <v>719</v>
      </c>
      <c r="C17" s="258">
        <v>72.727000000000004</v>
      </c>
      <c r="D17" s="258">
        <v>117.602</v>
      </c>
      <c r="E17" s="259">
        <v>95.962999999999994</v>
      </c>
      <c r="F17" s="258">
        <v>286.29200000000003</v>
      </c>
      <c r="G17" s="258">
        <v>59.2</v>
      </c>
      <c r="H17" s="259">
        <v>12.802</v>
      </c>
      <c r="I17" s="258">
        <v>148.26999999999998</v>
      </c>
      <c r="J17" s="258">
        <v>220.27199999999996</v>
      </c>
      <c r="K17" s="259">
        <v>2.8180000000000001</v>
      </c>
      <c r="L17" s="258">
        <v>223.09</v>
      </c>
      <c r="M17" s="258">
        <v>63.201999999999998</v>
      </c>
      <c r="O17" s="227"/>
      <c r="P17" s="7" t="str">
        <f>A73</f>
        <v>2011/12</v>
      </c>
      <c r="Q17" s="8">
        <f t="shared" ref="Q17:AA17" si="10">C77</f>
        <v>67.629000000000005</v>
      </c>
      <c r="R17" s="8">
        <f t="shared" si="10"/>
        <v>53.649000000000001</v>
      </c>
      <c r="S17" s="8">
        <f t="shared" si="10"/>
        <v>94.068999999999988</v>
      </c>
      <c r="T17" s="8">
        <f t="shared" si="10"/>
        <v>215.34699999999998</v>
      </c>
      <c r="U17" s="8">
        <f t="shared" si="10"/>
        <v>67.227000000000004</v>
      </c>
      <c r="V17" s="8">
        <f t="shared" si="10"/>
        <v>8.7729999999999997</v>
      </c>
      <c r="W17" s="206">
        <f t="shared" si="10"/>
        <v>81.935000000000002</v>
      </c>
      <c r="X17" s="8">
        <f t="shared" si="10"/>
        <v>157.935</v>
      </c>
      <c r="Y17" s="8">
        <f t="shared" si="10"/>
        <v>2.4260000000000002</v>
      </c>
      <c r="Z17" s="8">
        <f t="shared" si="10"/>
        <v>160.36099999999999</v>
      </c>
      <c r="AA17" s="9">
        <f t="shared" si="10"/>
        <v>54.985999999999997</v>
      </c>
    </row>
    <row r="18" spans="1:27">
      <c r="A18" s="2020"/>
      <c r="B18" s="256"/>
      <c r="C18" s="260"/>
      <c r="D18" s="260"/>
      <c r="E18" s="260"/>
      <c r="F18" s="260"/>
      <c r="G18" s="260"/>
      <c r="H18" s="260"/>
      <c r="I18" s="260"/>
      <c r="J18" s="260"/>
      <c r="K18" s="260"/>
      <c r="L18" s="260"/>
      <c r="M18" s="260"/>
      <c r="O18" s="224"/>
      <c r="P18" s="223" t="s">
        <v>740</v>
      </c>
      <c r="Q18" s="221">
        <f t="shared" ref="Q18:V18" si="11">AVERAGE(Q7:Q17)</f>
        <v>65.435545454545462</v>
      </c>
      <c r="R18" s="221">
        <f t="shared" si="11"/>
        <v>106.32527272727272</v>
      </c>
      <c r="S18" s="221">
        <f t="shared" si="11"/>
        <v>97.449272727272742</v>
      </c>
      <c r="T18" s="221">
        <f t="shared" si="11"/>
        <v>269.21009090909087</v>
      </c>
      <c r="U18" s="221">
        <f t="shared" si="11"/>
        <v>63.233818181818172</v>
      </c>
      <c r="V18" s="221">
        <f t="shared" si="11"/>
        <v>9.9989090909090894</v>
      </c>
      <c r="W18" s="250">
        <f>AVERAGE(W7:W17)</f>
        <v>131.54727272727271</v>
      </c>
      <c r="X18" s="221">
        <f t="shared" ref="X18:AA18" si="12">AVERAGE(X7:X17)</f>
        <v>204.78</v>
      </c>
      <c r="Y18" s="221">
        <f t="shared" si="12"/>
        <v>2.4827272727272729</v>
      </c>
      <c r="Z18" s="221">
        <f t="shared" si="12"/>
        <v>207.26272727272726</v>
      </c>
      <c r="AA18" s="220">
        <f t="shared" si="12"/>
        <v>61.94736363636364</v>
      </c>
    </row>
    <row r="19" spans="1:27">
      <c r="A19" s="2019" t="s">
        <v>545</v>
      </c>
      <c r="B19" s="257" t="s">
        <v>649</v>
      </c>
      <c r="C19" s="258">
        <v>63.201999999999998</v>
      </c>
      <c r="D19" s="258">
        <v>116.002</v>
      </c>
      <c r="E19" s="259">
        <v>13.512</v>
      </c>
      <c r="F19" s="258">
        <v>192.71600000000001</v>
      </c>
      <c r="G19" s="258">
        <v>17.2</v>
      </c>
      <c r="H19" s="260"/>
      <c r="I19" s="258">
        <v>63.33</v>
      </c>
      <c r="J19" s="258">
        <v>80.53</v>
      </c>
      <c r="K19" s="259">
        <v>0.47399999999999998</v>
      </c>
      <c r="L19" s="258">
        <v>81.004000000000005</v>
      </c>
      <c r="M19" s="258">
        <v>111.712</v>
      </c>
      <c r="O19" s="222"/>
      <c r="P19" s="205" t="s">
        <v>257</v>
      </c>
      <c r="Q19" s="294">
        <f t="shared" ref="Q19:V19" si="13">STDEV(Q7:Q17)</f>
        <v>11.961175572356034</v>
      </c>
      <c r="R19" s="294">
        <f t="shared" si="13"/>
        <v>27.683241587974873</v>
      </c>
      <c r="S19" s="294">
        <f t="shared" si="13"/>
        <v>10.695675482089753</v>
      </c>
      <c r="T19" s="294">
        <f t="shared" si="13"/>
        <v>28.518574429500195</v>
      </c>
      <c r="U19" s="294">
        <f t="shared" si="13"/>
        <v>3.4521220667346579</v>
      </c>
      <c r="V19" s="294">
        <f t="shared" si="13"/>
        <v>1.7922153026099017</v>
      </c>
      <c r="W19" s="219">
        <f>STDEV(W7:W17)</f>
        <v>28.007569630694157</v>
      </c>
      <c r="X19" s="294">
        <f t="shared" ref="X19:AA19" si="14">STDEV(X7:X17)</f>
        <v>26.080808913835678</v>
      </c>
      <c r="Y19" s="294">
        <f t="shared" si="14"/>
        <v>0.36897292337218623</v>
      </c>
      <c r="Z19" s="294">
        <f t="shared" si="14"/>
        <v>25.921303574824098</v>
      </c>
      <c r="AA19" s="295">
        <f t="shared" si="14"/>
        <v>9.7326868980023153</v>
      </c>
    </row>
    <row r="20" spans="1:27" ht="16" thickBot="1">
      <c r="A20" s="2020"/>
      <c r="B20" s="257" t="s">
        <v>650</v>
      </c>
      <c r="C20" s="258">
        <v>111.712</v>
      </c>
      <c r="D20" s="260"/>
      <c r="E20" s="259">
        <v>40.530999999999999</v>
      </c>
      <c r="F20" s="258">
        <v>152.24299999999999</v>
      </c>
      <c r="G20" s="258">
        <v>15.3</v>
      </c>
      <c r="H20" s="259">
        <v>1.3640000000000001</v>
      </c>
      <c r="I20" s="258">
        <v>30.978999999999999</v>
      </c>
      <c r="J20" s="258">
        <v>47.643000000000001</v>
      </c>
      <c r="K20" s="259">
        <v>0.81599999999999995</v>
      </c>
      <c r="L20" s="258">
        <v>48.459000000000003</v>
      </c>
      <c r="M20" s="258">
        <v>103.78400000000001</v>
      </c>
      <c r="O20" s="227"/>
      <c r="P20" s="473" t="s">
        <v>720</v>
      </c>
      <c r="Q20" s="252"/>
      <c r="R20" s="252"/>
      <c r="S20" s="253">
        <f>S18/R18</f>
        <v>0.91652031758463326</v>
      </c>
      <c r="T20" s="254"/>
      <c r="U20" s="254"/>
      <c r="V20" s="254"/>
      <c r="W20" s="474">
        <f>W18/R18</f>
        <v>1.2372154742992771</v>
      </c>
      <c r="X20" s="254"/>
      <c r="Y20" s="253">
        <f>Y18/R18</f>
        <v>2.3350302416769129E-2</v>
      </c>
      <c r="Z20" s="252"/>
      <c r="AA20" s="255"/>
    </row>
    <row r="21" spans="1:27">
      <c r="A21" s="2020"/>
      <c r="B21" s="257" t="s">
        <v>717</v>
      </c>
      <c r="C21" s="258">
        <v>103.78400000000001</v>
      </c>
      <c r="D21" s="260"/>
      <c r="E21" s="259">
        <v>23.114000000000001</v>
      </c>
      <c r="F21" s="258">
        <v>126.89800000000001</v>
      </c>
      <c r="G21" s="258">
        <v>14.9</v>
      </c>
      <c r="H21" s="259">
        <v>0.32900000000000001</v>
      </c>
      <c r="I21" s="258">
        <v>27.966000000000001</v>
      </c>
      <c r="J21" s="258">
        <v>43.195</v>
      </c>
      <c r="K21" s="259">
        <v>0.82399999999999995</v>
      </c>
      <c r="L21" s="258">
        <v>44.018999999999998</v>
      </c>
      <c r="M21" s="258">
        <v>82.879000000000005</v>
      </c>
    </row>
    <row r="22" spans="1:27">
      <c r="A22" s="2020"/>
      <c r="B22" s="257" t="s">
        <v>718</v>
      </c>
      <c r="C22" s="258">
        <v>82.879000000000005</v>
      </c>
      <c r="D22" s="260"/>
      <c r="E22" s="259">
        <v>17.969000000000001</v>
      </c>
      <c r="F22" s="258">
        <v>100.84800000000001</v>
      </c>
      <c r="G22" s="258">
        <v>12.8</v>
      </c>
      <c r="H22" s="259">
        <v>10.066000000000001</v>
      </c>
      <c r="I22" s="258">
        <v>27.658000000000001</v>
      </c>
      <c r="J22" s="258">
        <v>50.524000000000001</v>
      </c>
      <c r="K22" s="259">
        <v>0.49099999999999999</v>
      </c>
      <c r="L22" s="258">
        <v>51.015000000000001</v>
      </c>
      <c r="M22" s="258">
        <v>49.832999999999998</v>
      </c>
      <c r="V22" s="288" t="s">
        <v>945</v>
      </c>
      <c r="W22" s="440">
        <f>'crop yields'!E65</f>
        <v>62.214285714285722</v>
      </c>
      <c r="X22" s="440">
        <f>W22</f>
        <v>62.214285714285722</v>
      </c>
    </row>
    <row r="23" spans="1:27">
      <c r="A23" s="2020"/>
      <c r="B23" s="257" t="s">
        <v>719</v>
      </c>
      <c r="C23" s="258">
        <v>63.201999999999998</v>
      </c>
      <c r="D23" s="258">
        <v>116.002</v>
      </c>
      <c r="E23" s="259">
        <v>95.126000000000005</v>
      </c>
      <c r="F23" s="258">
        <v>274.33</v>
      </c>
      <c r="G23" s="258">
        <v>60.2</v>
      </c>
      <c r="H23" s="259">
        <v>11.759</v>
      </c>
      <c r="I23" s="258">
        <v>149.93299999999999</v>
      </c>
      <c r="J23" s="258">
        <v>221.892</v>
      </c>
      <c r="K23" s="259">
        <v>2.605</v>
      </c>
      <c r="L23" s="258">
        <v>224.49700000000001</v>
      </c>
      <c r="M23" s="258">
        <v>49.832999999999998</v>
      </c>
      <c r="V23" s="288" t="s">
        <v>623</v>
      </c>
      <c r="W23" s="440">
        <f>W18/W22</f>
        <v>2.114422294123786</v>
      </c>
      <c r="X23" s="440">
        <f>X18/X22</f>
        <v>3.291526980482204</v>
      </c>
    </row>
    <row r="24" spans="1:27">
      <c r="A24" s="2020"/>
      <c r="B24" s="256"/>
      <c r="C24" s="260"/>
      <c r="D24" s="260"/>
      <c r="E24" s="260"/>
      <c r="F24" s="260"/>
      <c r="G24" s="260"/>
      <c r="H24" s="260"/>
      <c r="I24" s="260"/>
      <c r="J24" s="260"/>
      <c r="K24" s="260"/>
      <c r="L24" s="260"/>
      <c r="M24" s="260"/>
      <c r="V24" s="288" t="s">
        <v>622</v>
      </c>
      <c r="W24">
        <f>W18/X18</f>
        <v>0.64238340036757846</v>
      </c>
    </row>
    <row r="25" spans="1:27">
      <c r="A25" s="2019" t="s">
        <v>547</v>
      </c>
      <c r="B25" s="257" t="s">
        <v>649</v>
      </c>
      <c r="C25" s="258">
        <v>49.832999999999998</v>
      </c>
      <c r="D25" s="258">
        <v>144.38300000000001</v>
      </c>
      <c r="E25" s="259">
        <v>21.213999999999999</v>
      </c>
      <c r="F25" s="258">
        <v>215.43</v>
      </c>
      <c r="G25" s="258">
        <v>15.6</v>
      </c>
      <c r="H25" s="260"/>
      <c r="I25" s="258">
        <v>67.584000000000003</v>
      </c>
      <c r="J25" s="258">
        <v>83.183999999999997</v>
      </c>
      <c r="K25" s="259">
        <v>0.50900000000000001</v>
      </c>
      <c r="L25" s="258">
        <v>83.692999999999998</v>
      </c>
      <c r="M25" s="258">
        <v>131.73699999999999</v>
      </c>
      <c r="W25">
        <f>W24*X23</f>
        <v>2.1144222941237865</v>
      </c>
    </row>
    <row r="26" spans="1:27">
      <c r="A26" s="2020"/>
      <c r="B26" s="257" t="s">
        <v>650</v>
      </c>
      <c r="C26" s="258">
        <v>131.73699999999999</v>
      </c>
      <c r="D26" s="260"/>
      <c r="E26" s="259">
        <v>28.184999999999999</v>
      </c>
      <c r="F26" s="258">
        <v>159.922</v>
      </c>
      <c r="G26" s="258">
        <v>15.5</v>
      </c>
      <c r="H26" s="259">
        <v>1.2190000000000001</v>
      </c>
      <c r="I26" s="258">
        <v>22.959</v>
      </c>
      <c r="J26" s="258">
        <v>39.677999999999997</v>
      </c>
      <c r="K26" s="259">
        <v>0.94399999999999995</v>
      </c>
      <c r="L26" s="258">
        <v>40.622</v>
      </c>
      <c r="M26" s="258">
        <v>119.3</v>
      </c>
    </row>
    <row r="27" spans="1:27">
      <c r="A27" s="2020"/>
      <c r="B27" s="257" t="s">
        <v>717</v>
      </c>
      <c r="C27" s="258">
        <v>119.3</v>
      </c>
      <c r="D27" s="260"/>
      <c r="E27" s="259">
        <v>20.155000000000001</v>
      </c>
      <c r="F27" s="258">
        <v>139.45499999999998</v>
      </c>
      <c r="G27" s="258">
        <v>15.7</v>
      </c>
      <c r="H27" s="259">
        <v>0.29399999999999998</v>
      </c>
      <c r="I27" s="258">
        <v>27.763000000000002</v>
      </c>
      <c r="J27" s="258">
        <v>43.756999999999998</v>
      </c>
      <c r="K27" s="259">
        <v>0.68400000000000005</v>
      </c>
      <c r="L27" s="258">
        <v>44.441000000000003</v>
      </c>
      <c r="M27" s="258">
        <v>95.013999999999996</v>
      </c>
    </row>
    <row r="28" spans="1:27">
      <c r="A28" s="2020"/>
      <c r="B28" s="257" t="s">
        <v>718</v>
      </c>
      <c r="C28" s="258">
        <v>95.013999999999996</v>
      </c>
      <c r="D28" s="260"/>
      <c r="E28" s="259">
        <v>20.178000000000001</v>
      </c>
      <c r="F28" s="258">
        <v>115.19199999999999</v>
      </c>
      <c r="G28" s="258">
        <v>15.6</v>
      </c>
      <c r="H28" s="259">
        <v>8.9960000000000004</v>
      </c>
      <c r="I28" s="258">
        <v>25.417000000000002</v>
      </c>
      <c r="J28" s="258">
        <v>50.012999999999998</v>
      </c>
      <c r="K28" s="259">
        <v>0.33100000000000002</v>
      </c>
      <c r="L28" s="258">
        <v>50.344000000000001</v>
      </c>
      <c r="M28" s="258">
        <v>64.847999999999999</v>
      </c>
      <c r="V28" s="288" t="s">
        <v>620</v>
      </c>
      <c r="W28" s="288">
        <f>W18*32</f>
        <v>4209.5127272727268</v>
      </c>
      <c r="X28">
        <f>X18*32</f>
        <v>6552.96</v>
      </c>
    </row>
    <row r="29" spans="1:27">
      <c r="A29" s="2020"/>
      <c r="B29" s="257" t="s">
        <v>719</v>
      </c>
      <c r="C29" s="258">
        <v>49.832999999999998</v>
      </c>
      <c r="D29" s="258">
        <v>144.38300000000001</v>
      </c>
      <c r="E29" s="259">
        <v>89.731999999999999</v>
      </c>
      <c r="F29" s="258">
        <v>283.94799999999998</v>
      </c>
      <c r="G29" s="258">
        <v>62.4</v>
      </c>
      <c r="H29" s="259">
        <v>10.509</v>
      </c>
      <c r="I29" s="258">
        <v>143.72300000000001</v>
      </c>
      <c r="J29" s="258">
        <v>216.63200000000001</v>
      </c>
      <c r="K29" s="259">
        <v>2.468</v>
      </c>
      <c r="L29" s="258">
        <v>219.1</v>
      </c>
      <c r="M29" s="258">
        <v>64.847999999999999</v>
      </c>
      <c r="V29" s="288" t="s">
        <v>621</v>
      </c>
      <c r="W29" s="288">
        <f>W28/2000</f>
        <v>2.1047563636363633</v>
      </c>
      <c r="X29">
        <f>X28/2000</f>
        <v>3.2764799999999998</v>
      </c>
    </row>
    <row r="30" spans="1:27">
      <c r="A30" s="2020"/>
      <c r="B30" s="256"/>
      <c r="C30" s="260"/>
      <c r="D30" s="260"/>
      <c r="E30" s="260"/>
      <c r="F30" s="260"/>
      <c r="G30" s="260"/>
      <c r="H30" s="260"/>
      <c r="I30" s="260"/>
      <c r="J30" s="260"/>
      <c r="K30" s="260"/>
      <c r="L30" s="260"/>
      <c r="M30" s="260"/>
    </row>
    <row r="31" spans="1:27">
      <c r="A31" s="2019" t="s">
        <v>548</v>
      </c>
      <c r="B31" s="257" t="s">
        <v>649</v>
      </c>
      <c r="C31" s="258">
        <v>64.847999999999999</v>
      </c>
      <c r="D31" s="258">
        <v>115.69499999999999</v>
      </c>
      <c r="E31" s="259">
        <v>16.452999999999999</v>
      </c>
      <c r="F31" s="258">
        <v>196.99599999999998</v>
      </c>
      <c r="G31" s="258">
        <v>15.7</v>
      </c>
      <c r="H31" s="260"/>
      <c r="I31" s="258">
        <v>64.944999999999993</v>
      </c>
      <c r="J31" s="258">
        <v>80.644999999999996</v>
      </c>
      <c r="K31" s="259">
        <v>0.59299999999999997</v>
      </c>
      <c r="L31" s="258">
        <v>81.238</v>
      </c>
      <c r="M31" s="258">
        <v>115.758</v>
      </c>
    </row>
    <row r="32" spans="1:27">
      <c r="A32" s="2020"/>
      <c r="B32" s="257" t="s">
        <v>650</v>
      </c>
      <c r="C32" s="258">
        <v>115.758</v>
      </c>
      <c r="D32" s="260"/>
      <c r="E32" s="259">
        <v>26.178000000000001</v>
      </c>
      <c r="F32" s="258">
        <v>141.93600000000001</v>
      </c>
      <c r="G32" s="258">
        <v>15.8</v>
      </c>
      <c r="H32" s="259">
        <v>1.274</v>
      </c>
      <c r="I32" s="258">
        <v>19.106000000000002</v>
      </c>
      <c r="J32" s="258">
        <v>36.18</v>
      </c>
      <c r="K32" s="259">
        <v>0.84299999999999997</v>
      </c>
      <c r="L32" s="258">
        <v>37.023000000000003</v>
      </c>
      <c r="M32" s="258">
        <v>104.913</v>
      </c>
    </row>
    <row r="33" spans="1:13">
      <c r="A33" s="2020"/>
      <c r="B33" s="257" t="s">
        <v>717</v>
      </c>
      <c r="C33" s="258">
        <v>104.913</v>
      </c>
      <c r="D33" s="260"/>
      <c r="E33" s="259">
        <v>26.033000000000001</v>
      </c>
      <c r="F33" s="258">
        <v>130.946</v>
      </c>
      <c r="G33" s="258">
        <v>15.7</v>
      </c>
      <c r="H33" s="259">
        <v>0.307</v>
      </c>
      <c r="I33" s="258">
        <v>31.815999999999999</v>
      </c>
      <c r="J33" s="258">
        <v>47.823</v>
      </c>
      <c r="K33" s="259">
        <v>0.67700000000000005</v>
      </c>
      <c r="L33" s="258">
        <v>48.5</v>
      </c>
      <c r="M33" s="258">
        <v>82.445999999999998</v>
      </c>
    </row>
    <row r="34" spans="1:13">
      <c r="A34" s="2020"/>
      <c r="B34" s="257" t="s">
        <v>718</v>
      </c>
      <c r="C34" s="258">
        <v>82.445999999999998</v>
      </c>
      <c r="D34" s="260"/>
      <c r="E34" s="259">
        <v>21.646999999999998</v>
      </c>
      <c r="F34" s="258">
        <v>104.09299999999999</v>
      </c>
      <c r="G34" s="258">
        <v>15.8</v>
      </c>
      <c r="H34" s="259">
        <v>9.3989999999999991</v>
      </c>
      <c r="I34" s="258">
        <v>20.385999999999999</v>
      </c>
      <c r="J34" s="258">
        <v>45.585000000000001</v>
      </c>
      <c r="K34" s="259">
        <v>0.56599999999999995</v>
      </c>
      <c r="L34" s="258">
        <v>46.151000000000003</v>
      </c>
      <c r="M34" s="258">
        <v>57.942</v>
      </c>
    </row>
    <row r="35" spans="1:13">
      <c r="A35" s="2020"/>
      <c r="B35" s="257" t="s">
        <v>719</v>
      </c>
      <c r="C35" s="258">
        <v>64.847999999999999</v>
      </c>
      <c r="D35" s="258">
        <v>115.69499999999999</v>
      </c>
      <c r="E35" s="259">
        <v>90.311000000000007</v>
      </c>
      <c r="F35" s="258">
        <v>270.85399999999998</v>
      </c>
      <c r="G35" s="258">
        <v>63</v>
      </c>
      <c r="H35" s="259">
        <v>10.979999999999999</v>
      </c>
      <c r="I35" s="258">
        <v>136.25299999999999</v>
      </c>
      <c r="J35" s="258">
        <v>210.233</v>
      </c>
      <c r="K35" s="259">
        <v>2.6789999999999998</v>
      </c>
      <c r="L35" s="258">
        <v>212.91200000000001</v>
      </c>
      <c r="M35" s="258">
        <v>57.942</v>
      </c>
    </row>
    <row r="36" spans="1:13">
      <c r="A36" s="2020"/>
      <c r="B36" s="256"/>
      <c r="C36" s="260"/>
      <c r="D36" s="260"/>
      <c r="E36" s="260"/>
      <c r="F36" s="260"/>
      <c r="G36" s="260"/>
      <c r="H36" s="260"/>
      <c r="I36" s="260"/>
      <c r="J36" s="260"/>
      <c r="K36" s="260"/>
      <c r="L36" s="260"/>
      <c r="M36" s="260"/>
    </row>
    <row r="37" spans="1:13">
      <c r="A37" s="2019" t="s">
        <v>434</v>
      </c>
      <c r="B37" s="257" t="s">
        <v>649</v>
      </c>
      <c r="C37" s="258">
        <v>57.942</v>
      </c>
      <c r="D37" s="258">
        <v>114.85899999999999</v>
      </c>
      <c r="E37" s="259">
        <v>20.442</v>
      </c>
      <c r="F37" s="258">
        <v>193.24299999999999</v>
      </c>
      <c r="G37" s="258">
        <v>15.7</v>
      </c>
      <c r="H37" s="260"/>
      <c r="I37" s="258">
        <v>63.628999999999998</v>
      </c>
      <c r="J37" s="258">
        <v>79.328999999999994</v>
      </c>
      <c r="K37" s="259">
        <v>0.41099999999999998</v>
      </c>
      <c r="L37" s="258">
        <v>79.739999999999995</v>
      </c>
      <c r="M37" s="258">
        <v>113.503</v>
      </c>
    </row>
    <row r="38" spans="1:13">
      <c r="A38" s="2020"/>
      <c r="B38" s="257" t="s">
        <v>650</v>
      </c>
      <c r="C38" s="258">
        <v>113.503</v>
      </c>
      <c r="D38" s="260"/>
      <c r="E38" s="259">
        <v>21.885999999999999</v>
      </c>
      <c r="F38" s="258">
        <v>135.38900000000001</v>
      </c>
      <c r="G38" s="258">
        <v>15.8</v>
      </c>
      <c r="H38" s="259">
        <v>1.2529999999999999</v>
      </c>
      <c r="I38" s="258">
        <v>22.260999999999999</v>
      </c>
      <c r="J38" s="258">
        <v>39.314</v>
      </c>
      <c r="K38" s="259">
        <v>0.35799999999999998</v>
      </c>
      <c r="L38" s="258">
        <v>39.671999999999997</v>
      </c>
      <c r="M38" s="258">
        <v>95.716999999999999</v>
      </c>
    </row>
    <row r="39" spans="1:13">
      <c r="A39" s="2020"/>
      <c r="B39" s="257" t="s">
        <v>717</v>
      </c>
      <c r="C39" s="258">
        <v>95.716999999999999</v>
      </c>
      <c r="D39" s="260"/>
      <c r="E39" s="259">
        <v>28.173999999999999</v>
      </c>
      <c r="F39" s="258">
        <v>123.89099999999999</v>
      </c>
      <c r="G39" s="258">
        <v>15.7</v>
      </c>
      <c r="H39" s="259">
        <v>0.30199999999999999</v>
      </c>
      <c r="I39" s="258">
        <v>32.375</v>
      </c>
      <c r="J39" s="258">
        <v>48.377000000000002</v>
      </c>
      <c r="K39" s="259">
        <v>0.64100000000000001</v>
      </c>
      <c r="L39" s="258">
        <v>49.018000000000001</v>
      </c>
      <c r="M39" s="258">
        <v>74.873000000000005</v>
      </c>
    </row>
    <row r="40" spans="1:13">
      <c r="A40" s="2020"/>
      <c r="B40" s="257" t="s">
        <v>718</v>
      </c>
      <c r="C40" s="258">
        <v>74.873000000000005</v>
      </c>
      <c r="D40" s="260"/>
      <c r="E40" s="259">
        <v>20.684999999999999</v>
      </c>
      <c r="F40" s="258">
        <v>95.558000000000007</v>
      </c>
      <c r="G40" s="258">
        <v>15.680999999999999</v>
      </c>
      <c r="H40" s="259">
        <v>9.2439999999999998</v>
      </c>
      <c r="I40" s="258">
        <v>17.388000000000002</v>
      </c>
      <c r="J40" s="258">
        <v>42.313000000000002</v>
      </c>
      <c r="K40" s="259">
        <v>0.67900000000000005</v>
      </c>
      <c r="L40" s="258">
        <v>42.991999999999997</v>
      </c>
      <c r="M40" s="258">
        <v>52.566000000000003</v>
      </c>
    </row>
    <row r="41" spans="1:13">
      <c r="A41" s="2020"/>
      <c r="B41" s="257" t="s">
        <v>719</v>
      </c>
      <c r="C41" s="258">
        <v>57.942</v>
      </c>
      <c r="D41" s="258">
        <v>114.85899999999999</v>
      </c>
      <c r="E41" s="259">
        <v>91.187000000000012</v>
      </c>
      <c r="F41" s="258">
        <v>263.988</v>
      </c>
      <c r="G41" s="258">
        <v>62.881</v>
      </c>
      <c r="H41" s="259">
        <v>10.798999999999999</v>
      </c>
      <c r="I41" s="258">
        <v>135.65299999999999</v>
      </c>
      <c r="J41" s="258">
        <v>209.33300000000003</v>
      </c>
      <c r="K41" s="259">
        <v>2.089</v>
      </c>
      <c r="L41" s="258">
        <v>211.422</v>
      </c>
      <c r="M41" s="258">
        <v>52.566000000000003</v>
      </c>
    </row>
    <row r="42" spans="1:13">
      <c r="A42" s="2020"/>
      <c r="B42" s="256"/>
      <c r="C42" s="260"/>
      <c r="D42" s="260"/>
      <c r="E42" s="260"/>
      <c r="F42" s="260"/>
      <c r="G42" s="260"/>
      <c r="H42" s="260"/>
      <c r="I42" s="260"/>
      <c r="J42" s="260"/>
      <c r="K42" s="260"/>
      <c r="L42" s="260"/>
      <c r="M42" s="260"/>
    </row>
    <row r="43" spans="1:13">
      <c r="A43" s="2019" t="s">
        <v>730</v>
      </c>
      <c r="B43" s="257" t="s">
        <v>649</v>
      </c>
      <c r="C43" s="258">
        <v>52.566000000000003</v>
      </c>
      <c r="D43" s="258">
        <v>93.522000000000006</v>
      </c>
      <c r="E43" s="259">
        <v>27.814</v>
      </c>
      <c r="F43" s="258">
        <v>173.90200000000002</v>
      </c>
      <c r="G43" s="258">
        <v>16.100000000000001</v>
      </c>
      <c r="H43" s="260"/>
      <c r="I43" s="258">
        <v>56.741</v>
      </c>
      <c r="J43" s="258">
        <v>72.840999999999994</v>
      </c>
      <c r="K43" s="259">
        <v>0.97699999999999998</v>
      </c>
      <c r="L43" s="258">
        <v>73.817999999999998</v>
      </c>
      <c r="M43" s="258">
        <v>100.084</v>
      </c>
    </row>
    <row r="44" spans="1:13">
      <c r="A44" s="2020"/>
      <c r="B44" s="257" t="s">
        <v>650</v>
      </c>
      <c r="C44" s="258">
        <v>100.084</v>
      </c>
      <c r="D44" s="260"/>
      <c r="E44" s="259">
        <v>34.313000000000002</v>
      </c>
      <c r="F44" s="258">
        <v>134.39699999999999</v>
      </c>
      <c r="G44" s="258">
        <v>16.024999999999999</v>
      </c>
      <c r="H44" s="259">
        <v>1.1200000000000001</v>
      </c>
      <c r="I44" s="258">
        <v>17.821999999999999</v>
      </c>
      <c r="J44" s="258">
        <v>34.966999999999999</v>
      </c>
      <c r="K44" s="259">
        <v>0.54100000000000004</v>
      </c>
      <c r="L44" s="258">
        <v>35.508000000000003</v>
      </c>
      <c r="M44" s="258">
        <v>98.888999999999996</v>
      </c>
    </row>
    <row r="45" spans="1:13">
      <c r="A45" s="2020"/>
      <c r="B45" s="257" t="s">
        <v>717</v>
      </c>
      <c r="C45" s="258">
        <v>98.888999999999996</v>
      </c>
      <c r="D45" s="260"/>
      <c r="E45" s="259">
        <v>21.071999999999999</v>
      </c>
      <c r="F45" s="258">
        <v>119.961</v>
      </c>
      <c r="G45" s="258">
        <v>16.106000000000002</v>
      </c>
      <c r="H45" s="259">
        <v>0.27</v>
      </c>
      <c r="I45" s="258">
        <v>32.023000000000003</v>
      </c>
      <c r="J45" s="258">
        <v>48.399000000000001</v>
      </c>
      <c r="K45" s="259">
        <v>0.504</v>
      </c>
      <c r="L45" s="258">
        <v>48.902999999999999</v>
      </c>
      <c r="M45" s="258">
        <v>71.058000000000007</v>
      </c>
    </row>
    <row r="46" spans="1:13">
      <c r="A46" s="2020"/>
      <c r="B46" s="257" t="s">
        <v>718</v>
      </c>
      <c r="C46" s="258">
        <v>71.058000000000007</v>
      </c>
      <c r="D46" s="260"/>
      <c r="E46" s="259">
        <v>23.018999999999998</v>
      </c>
      <c r="F46" s="258">
        <v>94.076999999999998</v>
      </c>
      <c r="G46" s="258">
        <v>16.279</v>
      </c>
      <c r="H46" s="259">
        <v>8.2669999999999995</v>
      </c>
      <c r="I46" s="258">
        <v>18.361000000000001</v>
      </c>
      <c r="J46" s="258">
        <v>42.906999999999996</v>
      </c>
      <c r="K46" s="259">
        <v>0.57199999999999995</v>
      </c>
      <c r="L46" s="258">
        <v>43.478999999999999</v>
      </c>
      <c r="M46" s="258">
        <v>50.597999999999999</v>
      </c>
    </row>
    <row r="47" spans="1:13">
      <c r="A47" s="2020"/>
      <c r="B47" s="257" t="s">
        <v>719</v>
      </c>
      <c r="C47" s="258">
        <v>52.566000000000003</v>
      </c>
      <c r="D47" s="258">
        <v>93.522000000000006</v>
      </c>
      <c r="E47" s="259">
        <v>106.21799999999999</v>
      </c>
      <c r="F47" s="258">
        <v>252.30600000000001</v>
      </c>
      <c r="G47" s="258">
        <v>64.510000000000005</v>
      </c>
      <c r="H47" s="259">
        <v>9.657</v>
      </c>
      <c r="I47" s="258">
        <v>124.94700000000002</v>
      </c>
      <c r="J47" s="258">
        <v>199.11399999999998</v>
      </c>
      <c r="K47" s="259">
        <v>2.5940000000000003</v>
      </c>
      <c r="L47" s="258">
        <v>201.70799999999997</v>
      </c>
      <c r="M47" s="258">
        <v>50.597999999999999</v>
      </c>
    </row>
    <row r="48" spans="1:13">
      <c r="A48" s="2020"/>
      <c r="B48" s="256"/>
      <c r="C48" s="260"/>
      <c r="D48" s="260"/>
      <c r="E48" s="260"/>
      <c r="F48" s="260"/>
      <c r="G48" s="260"/>
      <c r="H48" s="260"/>
      <c r="I48" s="260"/>
      <c r="J48" s="260"/>
      <c r="K48" s="260"/>
      <c r="L48" s="260"/>
      <c r="M48" s="260"/>
    </row>
    <row r="49" spans="1:13">
      <c r="A49" s="2019" t="s">
        <v>739</v>
      </c>
      <c r="B49" s="257" t="s">
        <v>649</v>
      </c>
      <c r="C49" s="258">
        <v>50.597999999999999</v>
      </c>
      <c r="D49" s="258">
        <v>90.43</v>
      </c>
      <c r="E49" s="259">
        <v>20.925000000000001</v>
      </c>
      <c r="F49" s="258">
        <v>161.953</v>
      </c>
      <c r="G49" s="258">
        <v>16.100000000000001</v>
      </c>
      <c r="H49" s="260"/>
      <c r="I49" s="258">
        <v>57.048000000000002</v>
      </c>
      <c r="J49" s="258">
        <v>73.147999999999996</v>
      </c>
      <c r="K49" s="259">
        <v>0.44500000000000001</v>
      </c>
      <c r="L49" s="258">
        <v>73.593000000000004</v>
      </c>
      <c r="M49" s="258">
        <v>88.36</v>
      </c>
    </row>
    <row r="50" spans="1:13">
      <c r="A50" s="2020"/>
      <c r="B50" s="257" t="s">
        <v>650</v>
      </c>
      <c r="C50" s="258">
        <v>88.36</v>
      </c>
      <c r="D50" s="260"/>
      <c r="E50" s="259">
        <v>42.383000000000003</v>
      </c>
      <c r="F50" s="258">
        <v>130.74299999999999</v>
      </c>
      <c r="G50" s="258">
        <v>16</v>
      </c>
      <c r="H50" s="259">
        <v>0.98399999999999999</v>
      </c>
      <c r="I50" s="258">
        <v>18.491</v>
      </c>
      <c r="J50" s="258">
        <v>35.475000000000001</v>
      </c>
      <c r="K50" s="259">
        <v>0.83699999999999997</v>
      </c>
      <c r="L50" s="258">
        <v>36.311999999999998</v>
      </c>
      <c r="M50" s="258">
        <v>94.430999999999997</v>
      </c>
    </row>
    <row r="51" spans="1:13">
      <c r="A51" s="2020"/>
      <c r="B51" s="257" t="s">
        <v>717</v>
      </c>
      <c r="C51" s="258">
        <v>94.430999999999997</v>
      </c>
      <c r="D51" s="260"/>
      <c r="E51" s="259">
        <v>27.646999999999998</v>
      </c>
      <c r="F51" s="258">
        <v>122.078</v>
      </c>
      <c r="G51" s="258">
        <v>16.5</v>
      </c>
      <c r="H51" s="259">
        <v>0.23699999999999999</v>
      </c>
      <c r="I51" s="258">
        <v>25.591000000000001</v>
      </c>
      <c r="J51" s="258">
        <v>42.328000000000003</v>
      </c>
      <c r="K51" s="259">
        <v>0.76200000000000001</v>
      </c>
      <c r="L51" s="258">
        <v>43.09</v>
      </c>
      <c r="M51" s="258">
        <v>78.988</v>
      </c>
    </row>
    <row r="52" spans="1:13">
      <c r="A52" s="2020"/>
      <c r="B52" s="257" t="s">
        <v>718</v>
      </c>
      <c r="C52" s="258">
        <v>78.988</v>
      </c>
      <c r="D52" s="260"/>
      <c r="E52" s="259">
        <v>32.335999999999999</v>
      </c>
      <c r="F52" s="258">
        <v>111.324</v>
      </c>
      <c r="G52" s="258">
        <v>17.399999999999999</v>
      </c>
      <c r="H52" s="259">
        <v>7.26</v>
      </c>
      <c r="I52" s="258">
        <v>19.026</v>
      </c>
      <c r="J52" s="258">
        <v>43.686</v>
      </c>
      <c r="K52" s="259">
        <v>0.86399999999999999</v>
      </c>
      <c r="L52" s="258">
        <v>44.55</v>
      </c>
      <c r="M52" s="258">
        <v>66.774000000000001</v>
      </c>
    </row>
    <row r="53" spans="1:13">
      <c r="A53" s="2020"/>
      <c r="B53" s="257" t="s">
        <v>719</v>
      </c>
      <c r="C53" s="258">
        <v>50.597999999999999</v>
      </c>
      <c r="D53" s="258">
        <v>90.43</v>
      </c>
      <c r="E53" s="259">
        <v>123.29100000000001</v>
      </c>
      <c r="F53" s="258">
        <v>264.31900000000002</v>
      </c>
      <c r="G53" s="258">
        <v>66</v>
      </c>
      <c r="H53" s="259">
        <v>8.4809999999999999</v>
      </c>
      <c r="I53" s="258">
        <v>120.15599999999999</v>
      </c>
      <c r="J53" s="258">
        <v>194.637</v>
      </c>
      <c r="K53" s="259">
        <v>2.9079999999999999</v>
      </c>
      <c r="L53" s="258">
        <v>197.54499999999999</v>
      </c>
      <c r="M53" s="258">
        <v>66.774000000000001</v>
      </c>
    </row>
    <row r="54" spans="1:13">
      <c r="A54" s="2020"/>
      <c r="B54" s="256"/>
      <c r="C54" s="260"/>
      <c r="D54" s="260"/>
      <c r="E54" s="260"/>
      <c r="F54" s="260"/>
      <c r="G54" s="260"/>
      <c r="H54" s="260"/>
      <c r="I54" s="260"/>
      <c r="J54" s="260"/>
      <c r="K54" s="260"/>
      <c r="L54" s="260"/>
      <c r="M54" s="260"/>
    </row>
    <row r="55" spans="1:13">
      <c r="A55" s="2019" t="s">
        <v>741</v>
      </c>
      <c r="B55" s="257" t="s">
        <v>649</v>
      </c>
      <c r="C55" s="258">
        <v>66.774000000000001</v>
      </c>
      <c r="D55" s="258">
        <v>89.135000000000005</v>
      </c>
      <c r="E55" s="259">
        <v>32.033000000000001</v>
      </c>
      <c r="F55" s="258">
        <v>187.94200000000001</v>
      </c>
      <c r="G55" s="258">
        <v>16.600000000000001</v>
      </c>
      <c r="H55" s="260"/>
      <c r="I55" s="258">
        <v>51.107999999999997</v>
      </c>
      <c r="J55" s="258">
        <v>67.707999999999998</v>
      </c>
      <c r="K55" s="259">
        <v>1.1379999999999999</v>
      </c>
      <c r="L55" s="258">
        <v>68.846000000000004</v>
      </c>
      <c r="M55" s="258">
        <v>119.096</v>
      </c>
    </row>
    <row r="56" spans="1:13">
      <c r="A56" s="2020"/>
      <c r="B56" s="257" t="s">
        <v>650</v>
      </c>
      <c r="C56" s="258">
        <v>119.096</v>
      </c>
      <c r="D56" s="260"/>
      <c r="E56" s="259">
        <v>35.564999999999998</v>
      </c>
      <c r="F56" s="258">
        <v>154.661</v>
      </c>
      <c r="G56" s="258">
        <v>16.5</v>
      </c>
      <c r="H56" s="259">
        <v>1.028</v>
      </c>
      <c r="I56" s="258">
        <v>21.289000000000001</v>
      </c>
      <c r="J56" s="258">
        <v>38.817</v>
      </c>
      <c r="K56" s="259">
        <v>0.92200000000000004</v>
      </c>
      <c r="L56" s="258">
        <v>39.738999999999997</v>
      </c>
      <c r="M56" s="258">
        <v>114.922</v>
      </c>
    </row>
    <row r="57" spans="1:13">
      <c r="A57" s="2020"/>
      <c r="B57" s="257" t="s">
        <v>717</v>
      </c>
      <c r="C57" s="258">
        <v>114.922</v>
      </c>
      <c r="D57" s="260"/>
      <c r="E57" s="259">
        <v>23.169</v>
      </c>
      <c r="F57" s="258">
        <v>138.09100000000001</v>
      </c>
      <c r="G57" s="258">
        <v>16.3</v>
      </c>
      <c r="H57" s="259">
        <v>0.248</v>
      </c>
      <c r="I57" s="258">
        <v>25.283999999999999</v>
      </c>
      <c r="J57" s="258">
        <v>41.832000000000001</v>
      </c>
      <c r="K57" s="259">
        <v>0.80900000000000005</v>
      </c>
      <c r="L57" s="258">
        <v>42.640999999999998</v>
      </c>
      <c r="M57" s="258">
        <v>95.45</v>
      </c>
    </row>
    <row r="58" spans="1:13">
      <c r="A58" s="2020"/>
      <c r="B58" s="257" t="s">
        <v>718</v>
      </c>
      <c r="C58" s="258">
        <v>95.45</v>
      </c>
      <c r="D58" s="260"/>
      <c r="E58" s="259">
        <v>23.786999999999999</v>
      </c>
      <c r="F58" s="258">
        <v>119.23699999999999</v>
      </c>
      <c r="G58" s="258">
        <v>16.7</v>
      </c>
      <c r="H58" s="259">
        <v>7.5880000000000001</v>
      </c>
      <c r="I58" s="258">
        <v>10.375</v>
      </c>
      <c r="J58" s="258">
        <v>34.662999999999997</v>
      </c>
      <c r="K58" s="259">
        <v>0.47499999999999998</v>
      </c>
      <c r="L58" s="258">
        <v>35.137999999999998</v>
      </c>
      <c r="M58" s="258">
        <v>84.099000000000004</v>
      </c>
    </row>
    <row r="59" spans="1:13">
      <c r="A59" s="2020"/>
      <c r="B59" s="257" t="s">
        <v>719</v>
      </c>
      <c r="C59" s="258">
        <v>66.774000000000001</v>
      </c>
      <c r="D59" s="258">
        <v>89.135000000000005</v>
      </c>
      <c r="E59" s="259">
        <v>114.554</v>
      </c>
      <c r="F59" s="258">
        <v>270.46300000000002</v>
      </c>
      <c r="G59" s="258">
        <v>66.100000000000009</v>
      </c>
      <c r="H59" s="259">
        <v>8.8640000000000008</v>
      </c>
      <c r="I59" s="258">
        <v>108.05599999999998</v>
      </c>
      <c r="J59" s="258">
        <v>183.02</v>
      </c>
      <c r="K59" s="259">
        <v>3.3440000000000003</v>
      </c>
      <c r="L59" s="258">
        <v>186.364</v>
      </c>
      <c r="M59" s="258">
        <v>84.099000000000004</v>
      </c>
    </row>
    <row r="60" spans="1:13">
      <c r="A60" s="2020"/>
      <c r="B60" s="256"/>
      <c r="C60" s="260"/>
      <c r="D60" s="260"/>
      <c r="E60" s="260"/>
      <c r="F60" s="260"/>
      <c r="G60" s="260"/>
      <c r="H60" s="260"/>
      <c r="I60" s="260"/>
      <c r="J60" s="260"/>
      <c r="K60" s="260"/>
      <c r="L60" s="260"/>
      <c r="M60" s="260"/>
    </row>
    <row r="61" spans="1:13">
      <c r="A61" s="2019" t="s">
        <v>735</v>
      </c>
      <c r="B61" s="257" t="s">
        <v>649</v>
      </c>
      <c r="C61" s="258">
        <v>84.099000000000004</v>
      </c>
      <c r="D61" s="258">
        <v>93.081000000000003</v>
      </c>
      <c r="E61" s="259">
        <v>27.11</v>
      </c>
      <c r="F61" s="258">
        <v>204.29000000000002</v>
      </c>
      <c r="G61" s="258">
        <v>16.600000000000001</v>
      </c>
      <c r="H61" s="260"/>
      <c r="I61" s="258">
        <v>58.728000000000002</v>
      </c>
      <c r="J61" s="258">
        <v>75.328000000000003</v>
      </c>
      <c r="K61" s="259">
        <v>0.58699999999999997</v>
      </c>
      <c r="L61" s="258">
        <v>75.915000000000006</v>
      </c>
      <c r="M61" s="258">
        <v>128.375</v>
      </c>
    </row>
    <row r="62" spans="1:13">
      <c r="A62" s="2020"/>
      <c r="B62" s="257" t="s">
        <v>650</v>
      </c>
      <c r="C62" s="258">
        <v>128.375</v>
      </c>
      <c r="D62" s="260"/>
      <c r="E62" s="259">
        <v>21.741</v>
      </c>
      <c r="F62" s="258">
        <v>150.11599999999999</v>
      </c>
      <c r="G62" s="258">
        <v>16.481999999999999</v>
      </c>
      <c r="H62" s="259">
        <v>0.95199999999999996</v>
      </c>
      <c r="I62" s="258">
        <v>21.358000000000001</v>
      </c>
      <c r="J62" s="258">
        <v>38.792000000000002</v>
      </c>
      <c r="K62" s="259">
        <v>0.69499999999999995</v>
      </c>
      <c r="L62" s="258">
        <v>39.487000000000002</v>
      </c>
      <c r="M62" s="258">
        <v>110.629</v>
      </c>
    </row>
    <row r="63" spans="1:13">
      <c r="A63" s="2020"/>
      <c r="B63" s="257" t="s">
        <v>717</v>
      </c>
      <c r="C63" s="258">
        <v>110.629</v>
      </c>
      <c r="D63" s="260"/>
      <c r="E63" s="259">
        <v>24.931000000000001</v>
      </c>
      <c r="F63" s="258">
        <v>135.56</v>
      </c>
      <c r="G63" s="258">
        <v>16.353999999999999</v>
      </c>
      <c r="H63" s="259">
        <v>0.23</v>
      </c>
      <c r="I63" s="258">
        <v>20.626000000000001</v>
      </c>
      <c r="J63" s="258">
        <v>37.21</v>
      </c>
      <c r="K63" s="259">
        <v>0.35899999999999999</v>
      </c>
      <c r="L63" s="258">
        <v>37.569000000000003</v>
      </c>
      <c r="M63" s="258">
        <v>97.991</v>
      </c>
    </row>
    <row r="64" spans="1:13">
      <c r="A64" s="2020"/>
      <c r="B64" s="257" t="s">
        <v>718</v>
      </c>
      <c r="C64" s="258">
        <v>97.991</v>
      </c>
      <c r="D64" s="260"/>
      <c r="E64" s="259">
        <v>21.134</v>
      </c>
      <c r="F64" s="258">
        <v>119.125</v>
      </c>
      <c r="G64" s="258">
        <v>16.791</v>
      </c>
      <c r="H64" s="259">
        <v>7.0259999999999998</v>
      </c>
      <c r="I64" s="258">
        <v>14.467000000000001</v>
      </c>
      <c r="J64" s="258">
        <v>38.283999999999999</v>
      </c>
      <c r="K64" s="259">
        <v>0.52500000000000002</v>
      </c>
      <c r="L64" s="258">
        <v>38.808999999999997</v>
      </c>
      <c r="M64" s="258">
        <v>80.316000000000003</v>
      </c>
    </row>
    <row r="65" spans="1:13">
      <c r="A65" s="2020"/>
      <c r="B65" s="257" t="s">
        <v>719</v>
      </c>
      <c r="C65" s="258">
        <v>84.099000000000004</v>
      </c>
      <c r="D65" s="258">
        <v>93.081000000000003</v>
      </c>
      <c r="E65" s="259">
        <v>94.915999999999997</v>
      </c>
      <c r="F65" s="258">
        <v>272.096</v>
      </c>
      <c r="G65" s="258">
        <v>66.227000000000004</v>
      </c>
      <c r="H65" s="259">
        <v>8.2080000000000002</v>
      </c>
      <c r="I65" s="258">
        <v>115.179</v>
      </c>
      <c r="J65" s="258">
        <v>189.614</v>
      </c>
      <c r="K65" s="259">
        <v>2.1659999999999999</v>
      </c>
      <c r="L65" s="258">
        <v>191.78</v>
      </c>
      <c r="M65" s="258">
        <v>80.316000000000003</v>
      </c>
    </row>
    <row r="66" spans="1:13">
      <c r="A66" s="2020"/>
      <c r="B66" s="256"/>
      <c r="C66" s="260"/>
      <c r="D66" s="260"/>
      <c r="E66" s="260"/>
      <c r="F66" s="260"/>
      <c r="G66" s="260"/>
      <c r="H66" s="260"/>
      <c r="I66" s="260"/>
      <c r="J66" s="260"/>
      <c r="K66" s="260"/>
      <c r="L66" s="260"/>
      <c r="M66" s="260"/>
    </row>
    <row r="67" spans="1:13">
      <c r="A67" s="2019" t="s">
        <v>737</v>
      </c>
      <c r="B67" s="257" t="s">
        <v>649</v>
      </c>
      <c r="C67" s="258">
        <v>80.316000000000003</v>
      </c>
      <c r="D67" s="258">
        <v>81.19</v>
      </c>
      <c r="E67" s="259">
        <v>24.210999999999999</v>
      </c>
      <c r="F67" s="258">
        <v>185.71699999999998</v>
      </c>
      <c r="G67" s="258">
        <v>17.815000000000001</v>
      </c>
      <c r="H67" s="260"/>
      <c r="I67" s="258">
        <v>50.012</v>
      </c>
      <c r="J67" s="258">
        <v>67.826999999999998</v>
      </c>
      <c r="K67" s="259">
        <v>0.91800000000000004</v>
      </c>
      <c r="L67" s="258">
        <v>68.745000000000005</v>
      </c>
      <c r="M67" s="258">
        <v>116.97199999999999</v>
      </c>
    </row>
    <row r="68" spans="1:13">
      <c r="A68" s="2020"/>
      <c r="B68" s="257" t="s">
        <v>650</v>
      </c>
      <c r="C68" s="258">
        <v>116.97199999999999</v>
      </c>
      <c r="D68" s="260"/>
      <c r="E68" s="259">
        <v>23.524000000000001</v>
      </c>
      <c r="F68" s="258">
        <v>140.49599999999998</v>
      </c>
      <c r="G68" s="258">
        <v>16.89</v>
      </c>
      <c r="H68" s="259">
        <v>0.78300000000000003</v>
      </c>
      <c r="I68" s="258">
        <v>21.027999999999999</v>
      </c>
      <c r="J68" s="258">
        <v>38.701000000000001</v>
      </c>
      <c r="K68" s="259">
        <v>0.78400000000000003</v>
      </c>
      <c r="L68" s="258">
        <v>39.484999999999999</v>
      </c>
      <c r="M68" s="258">
        <v>101.011</v>
      </c>
    </row>
    <row r="69" spans="1:13">
      <c r="A69" s="2020"/>
      <c r="B69" s="257" t="s">
        <v>717</v>
      </c>
      <c r="C69" s="258">
        <v>101.011</v>
      </c>
      <c r="D69" s="260"/>
      <c r="E69" s="259">
        <v>19.2</v>
      </c>
      <c r="F69" s="258">
        <v>120.211</v>
      </c>
      <c r="G69" s="258">
        <v>16.712</v>
      </c>
      <c r="H69" s="259">
        <v>0.189</v>
      </c>
      <c r="I69" s="258">
        <v>16.460999999999999</v>
      </c>
      <c r="J69" s="258">
        <v>33.362000000000002</v>
      </c>
      <c r="K69" s="259">
        <v>0.53800000000000003</v>
      </c>
      <c r="L69" s="258">
        <v>33.9</v>
      </c>
      <c r="M69" s="258">
        <v>86.311000000000007</v>
      </c>
    </row>
    <row r="70" spans="1:13">
      <c r="A70" s="2020"/>
      <c r="B70" s="257" t="s">
        <v>718</v>
      </c>
      <c r="C70" s="258">
        <v>86.311000000000007</v>
      </c>
      <c r="D70" s="260"/>
      <c r="E70" s="259">
        <v>18.213000000000001</v>
      </c>
      <c r="F70" s="258">
        <v>104.524</v>
      </c>
      <c r="G70" s="258">
        <v>15.81</v>
      </c>
      <c r="H70" s="259">
        <v>5.7779999999999996</v>
      </c>
      <c r="I70" s="258">
        <v>14.694000000000001</v>
      </c>
      <c r="J70" s="258">
        <v>36.281999999999996</v>
      </c>
      <c r="K70" s="259">
        <v>0.61299999999999999</v>
      </c>
      <c r="L70" s="258">
        <v>36.895000000000003</v>
      </c>
      <c r="M70" s="258">
        <v>67.629000000000005</v>
      </c>
    </row>
    <row r="71" spans="1:13">
      <c r="A71" s="2020"/>
      <c r="B71" s="257" t="s">
        <v>719</v>
      </c>
      <c r="C71" s="258">
        <v>80.316000000000003</v>
      </c>
      <c r="D71" s="258">
        <v>81.19</v>
      </c>
      <c r="E71" s="259">
        <v>85.147999999999996</v>
      </c>
      <c r="F71" s="258">
        <v>246.654</v>
      </c>
      <c r="G71" s="258">
        <v>67.227000000000004</v>
      </c>
      <c r="H71" s="259">
        <v>6.75</v>
      </c>
      <c r="I71" s="258">
        <v>102.19499999999999</v>
      </c>
      <c r="J71" s="258">
        <v>176.17199999999997</v>
      </c>
      <c r="K71" s="259">
        <v>2.8530000000000002</v>
      </c>
      <c r="L71" s="258">
        <v>179.02500000000001</v>
      </c>
      <c r="M71" s="258">
        <v>67.629000000000005</v>
      </c>
    </row>
    <row r="72" spans="1:13">
      <c r="A72" s="2020"/>
      <c r="B72" s="256"/>
      <c r="C72" s="260"/>
      <c r="D72" s="260"/>
      <c r="E72" s="260"/>
      <c r="F72" s="260"/>
      <c r="G72" s="260"/>
      <c r="H72" s="260"/>
      <c r="I72" s="260"/>
      <c r="J72" s="260"/>
      <c r="K72" s="260"/>
      <c r="L72" s="260"/>
      <c r="M72" s="260"/>
    </row>
    <row r="73" spans="1:13">
      <c r="A73" s="2019" t="s">
        <v>738</v>
      </c>
      <c r="B73" s="257" t="s">
        <v>649</v>
      </c>
      <c r="C73" s="258">
        <v>67.629000000000005</v>
      </c>
      <c r="D73" s="258">
        <v>53.649000000000001</v>
      </c>
      <c r="E73" s="259">
        <v>17.751999999999999</v>
      </c>
      <c r="F73" s="258">
        <v>139.03</v>
      </c>
      <c r="G73" s="258">
        <v>16.739999999999998</v>
      </c>
      <c r="H73" s="260"/>
      <c r="I73" s="258">
        <v>43.131999999999998</v>
      </c>
      <c r="J73" s="258">
        <v>59.872</v>
      </c>
      <c r="K73" s="259">
        <v>0.76700000000000002</v>
      </c>
      <c r="L73" s="258">
        <v>60.639000000000003</v>
      </c>
      <c r="M73" s="258">
        <v>78.391000000000005</v>
      </c>
    </row>
    <row r="74" spans="1:13">
      <c r="A74" s="2020"/>
      <c r="B74" s="257" t="s">
        <v>650</v>
      </c>
      <c r="C74" s="258">
        <v>78.391000000000005</v>
      </c>
      <c r="D74" s="260"/>
      <c r="E74" s="259">
        <v>35.814999999999998</v>
      </c>
      <c r="F74" s="258">
        <v>114.206</v>
      </c>
      <c r="G74" s="258">
        <v>16.678999999999998</v>
      </c>
      <c r="H74" s="259">
        <v>1.018</v>
      </c>
      <c r="I74" s="258">
        <v>16.523</v>
      </c>
      <c r="J74" s="258">
        <v>34.22</v>
      </c>
      <c r="K74" s="259">
        <v>0.85099999999999998</v>
      </c>
      <c r="L74" s="258">
        <v>35.070999999999998</v>
      </c>
      <c r="M74" s="258">
        <v>79.135000000000005</v>
      </c>
    </row>
    <row r="75" spans="1:13">
      <c r="A75" s="2020"/>
      <c r="B75" s="257" t="s">
        <v>717</v>
      </c>
      <c r="C75" s="258">
        <v>79.135000000000005</v>
      </c>
      <c r="D75" s="260"/>
      <c r="E75" s="259">
        <v>24.233000000000001</v>
      </c>
      <c r="F75" s="258">
        <v>103.36800000000001</v>
      </c>
      <c r="G75" s="258">
        <v>16.713000000000001</v>
      </c>
      <c r="H75" s="259">
        <v>0.246</v>
      </c>
      <c r="I75" s="258">
        <v>11.188000000000001</v>
      </c>
      <c r="J75" s="258">
        <v>28.146999999999998</v>
      </c>
      <c r="K75" s="259">
        <v>0.42699999999999999</v>
      </c>
      <c r="L75" s="258">
        <v>28.574000000000002</v>
      </c>
      <c r="M75" s="258">
        <v>74.793999999999997</v>
      </c>
    </row>
    <row r="76" spans="1:13">
      <c r="A76" s="2020"/>
      <c r="B76" s="257" t="s">
        <v>718</v>
      </c>
      <c r="C76" s="258">
        <v>74.793999999999997</v>
      </c>
      <c r="D76" s="260"/>
      <c r="E76" s="259">
        <v>16.268999999999998</v>
      </c>
      <c r="F76" s="258">
        <v>91.062999999999988</v>
      </c>
      <c r="G76" s="258">
        <v>17.094999999999999</v>
      </c>
      <c r="H76" s="259">
        <v>7.5090000000000003</v>
      </c>
      <c r="I76" s="258">
        <v>11.092000000000001</v>
      </c>
      <c r="J76" s="258">
        <v>35.695999999999998</v>
      </c>
      <c r="K76" s="259">
        <v>0.38100000000000001</v>
      </c>
      <c r="L76" s="258">
        <v>36.076999999999998</v>
      </c>
      <c r="M76" s="258">
        <v>54.985999999999997</v>
      </c>
    </row>
    <row r="77" spans="1:13">
      <c r="A77" s="2020"/>
      <c r="B77" s="257" t="s">
        <v>719</v>
      </c>
      <c r="C77" s="258">
        <v>67.629000000000005</v>
      </c>
      <c r="D77" s="258">
        <v>53.649000000000001</v>
      </c>
      <c r="E77" s="259">
        <v>94.068999999999988</v>
      </c>
      <c r="F77" s="258">
        <v>215.34699999999998</v>
      </c>
      <c r="G77" s="258">
        <v>67.227000000000004</v>
      </c>
      <c r="H77" s="259">
        <v>8.7729999999999997</v>
      </c>
      <c r="I77" s="258">
        <v>81.935000000000002</v>
      </c>
      <c r="J77" s="258">
        <v>157.935</v>
      </c>
      <c r="K77" s="259">
        <v>2.4260000000000002</v>
      </c>
      <c r="L77" s="258">
        <v>160.36099999999999</v>
      </c>
      <c r="M77" s="258">
        <v>54.985999999999997</v>
      </c>
    </row>
    <row r="78" spans="1:13">
      <c r="A78" s="2020"/>
      <c r="B78" s="256"/>
      <c r="C78" s="260"/>
      <c r="D78" s="260"/>
      <c r="E78" s="260"/>
      <c r="F78" s="260"/>
      <c r="G78" s="260"/>
      <c r="H78" s="260"/>
      <c r="I78" s="260"/>
      <c r="J78" s="260"/>
      <c r="K78" s="260"/>
      <c r="L78" s="260"/>
      <c r="M78" s="260"/>
    </row>
    <row r="79" spans="1:13">
      <c r="A79" s="2019" t="s">
        <v>742</v>
      </c>
      <c r="B79" s="257" t="s">
        <v>649</v>
      </c>
      <c r="C79" s="258">
        <v>54.985999999999997</v>
      </c>
      <c r="D79" s="258">
        <v>64.024000000000001</v>
      </c>
      <c r="E79" s="259">
        <v>24.3</v>
      </c>
      <c r="F79" s="258">
        <v>143.31</v>
      </c>
      <c r="G79" s="258">
        <v>16.899999999999999</v>
      </c>
      <c r="H79" s="260"/>
      <c r="I79" s="258">
        <v>40.509</v>
      </c>
      <c r="J79" s="258">
        <v>57.408999999999999</v>
      </c>
      <c r="K79" s="259">
        <v>0.9</v>
      </c>
      <c r="L79" s="258">
        <v>58.308999999999997</v>
      </c>
      <c r="M79" s="258">
        <v>85.001000000000005</v>
      </c>
    </row>
    <row r="80" spans="1:13">
      <c r="A80" s="2020"/>
      <c r="B80" s="257" t="s">
        <v>719</v>
      </c>
      <c r="C80" s="258">
        <v>54.985999999999997</v>
      </c>
      <c r="D80" s="258">
        <v>64.024000000000001</v>
      </c>
      <c r="E80" s="259">
        <v>95</v>
      </c>
      <c r="F80" s="258">
        <v>214.01</v>
      </c>
      <c r="G80" s="258">
        <v>67.199999999999989</v>
      </c>
      <c r="H80" s="259">
        <v>8.7999999999999989</v>
      </c>
      <c r="I80" s="258">
        <v>85</v>
      </c>
      <c r="J80" s="258">
        <v>161</v>
      </c>
      <c r="K80" s="259">
        <v>3</v>
      </c>
      <c r="L80" s="258">
        <v>164</v>
      </c>
      <c r="M80" s="258">
        <v>50.01</v>
      </c>
    </row>
    <row r="81" spans="1:13">
      <c r="A81" s="2021"/>
      <c r="B81" s="261"/>
      <c r="C81" s="262"/>
      <c r="D81" s="262"/>
      <c r="E81" s="262"/>
      <c r="F81" s="262"/>
      <c r="G81" s="262"/>
      <c r="H81" s="262"/>
      <c r="I81" s="262"/>
      <c r="J81" s="262"/>
      <c r="K81" s="262"/>
      <c r="L81" s="262"/>
      <c r="M81" s="262"/>
    </row>
    <row r="82" spans="1:13">
      <c r="A82" s="2038" t="s">
        <v>550</v>
      </c>
      <c r="B82" s="2020"/>
      <c r="C82" s="2020"/>
      <c r="D82" s="2020"/>
      <c r="E82" s="2020"/>
      <c r="F82" s="2020"/>
      <c r="G82" s="2020"/>
      <c r="H82" s="2020"/>
      <c r="I82" s="2020"/>
      <c r="J82" s="2020"/>
      <c r="K82" s="2020"/>
      <c r="L82" s="2020"/>
      <c r="M82" s="2020"/>
    </row>
    <row r="83" spans="1:13">
      <c r="A83" s="2046" t="s">
        <v>507</v>
      </c>
      <c r="B83" s="2020"/>
      <c r="C83" s="2020"/>
      <c r="D83" s="2020"/>
      <c r="E83" s="2020"/>
      <c r="F83" s="2020"/>
      <c r="G83" s="2020"/>
      <c r="H83" s="2020"/>
      <c r="I83" s="2020"/>
      <c r="J83" s="2020"/>
      <c r="K83" s="2020"/>
      <c r="L83" s="2020"/>
      <c r="M83" s="2020"/>
    </row>
  </sheetData>
  <mergeCells count="29">
    <mergeCell ref="O3:AA3"/>
    <mergeCell ref="O4:P6"/>
    <mergeCell ref="Q4:T4"/>
    <mergeCell ref="U4:Z4"/>
    <mergeCell ref="U5:X5"/>
    <mergeCell ref="Y5:Z5"/>
    <mergeCell ref="Q5:T5"/>
    <mergeCell ref="A73:A78"/>
    <mergeCell ref="A79:A81"/>
    <mergeCell ref="A82:M82"/>
    <mergeCell ref="A83:M83"/>
    <mergeCell ref="A37:A42"/>
    <mergeCell ref="A43:A48"/>
    <mergeCell ref="A49:A54"/>
    <mergeCell ref="A55:A60"/>
    <mergeCell ref="A61:A66"/>
    <mergeCell ref="A67:A72"/>
    <mergeCell ref="A7:A12"/>
    <mergeCell ref="A13:A18"/>
    <mergeCell ref="A19:A24"/>
    <mergeCell ref="A25:A30"/>
    <mergeCell ref="A31:A36"/>
    <mergeCell ref="A3:M3"/>
    <mergeCell ref="A4:B6"/>
    <mergeCell ref="C4:F4"/>
    <mergeCell ref="G4:L4"/>
    <mergeCell ref="C5:F5"/>
    <mergeCell ref="G5:J5"/>
    <mergeCell ref="K5:L5"/>
  </mergeCells>
  <phoneticPr fontId="107"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AA83"/>
  <sheetViews>
    <sheetView topLeftCell="I1" workbookViewId="0">
      <selection activeCell="W18" sqref="W18"/>
    </sheetView>
  </sheetViews>
  <sheetFormatPr baseColWidth="10" defaultColWidth="8.83203125" defaultRowHeight="15"/>
  <sheetData>
    <row r="1" spans="1:27" s="263" customFormat="1">
      <c r="A1" s="249" t="s">
        <v>508</v>
      </c>
    </row>
    <row r="2" spans="1:27" s="263" customFormat="1" ht="14.5" customHeight="1">
      <c r="A2" s="248" t="s">
        <v>501</v>
      </c>
      <c r="O2" s="274"/>
      <c r="P2" s="274"/>
      <c r="Q2" s="274"/>
      <c r="R2" s="274"/>
      <c r="S2" s="274"/>
      <c r="T2" s="274"/>
      <c r="U2" s="274"/>
      <c r="V2" s="274"/>
      <c r="W2" s="274"/>
      <c r="X2" s="274"/>
      <c r="Y2" s="274"/>
      <c r="Z2" s="274"/>
      <c r="AA2" s="274"/>
    </row>
    <row r="3" spans="1:27" ht="16" thickBot="1">
      <c r="A3" s="2038" t="s">
        <v>648</v>
      </c>
      <c r="B3" s="2020"/>
      <c r="C3" s="2020"/>
      <c r="D3" s="2020"/>
      <c r="E3" s="2020"/>
      <c r="F3" s="2020"/>
      <c r="G3" s="2020"/>
      <c r="H3" s="2020"/>
      <c r="I3" s="2020"/>
      <c r="J3" s="2020"/>
      <c r="K3" s="2020"/>
      <c r="L3" s="2020"/>
      <c r="M3" s="2020"/>
      <c r="O3" s="2024" t="s">
        <v>598</v>
      </c>
      <c r="P3" s="2024"/>
      <c r="Q3" s="2024"/>
      <c r="R3" s="2024"/>
      <c r="S3" s="2024"/>
      <c r="T3" s="2024"/>
      <c r="U3" s="2024"/>
      <c r="V3" s="2024"/>
      <c r="W3" s="2024"/>
      <c r="X3" s="2024"/>
      <c r="Y3" s="2024"/>
      <c r="Z3" s="2024"/>
      <c r="AA3" s="2024"/>
    </row>
    <row r="4" spans="1:27" ht="15" customHeight="1">
      <c r="A4" s="2045" t="s">
        <v>599</v>
      </c>
      <c r="B4" s="2040"/>
      <c r="C4" s="2041" t="s">
        <v>600</v>
      </c>
      <c r="D4" s="2040"/>
      <c r="E4" s="2040"/>
      <c r="F4" s="2042"/>
      <c r="G4" s="2041" t="s">
        <v>601</v>
      </c>
      <c r="H4" s="2040"/>
      <c r="I4" s="2040"/>
      <c r="J4" s="2040"/>
      <c r="K4" s="2040"/>
      <c r="L4" s="2042"/>
      <c r="M4" s="264"/>
      <c r="O4" s="2025" t="s">
        <v>602</v>
      </c>
      <c r="P4" s="2026"/>
      <c r="Q4" s="2029" t="s">
        <v>600</v>
      </c>
      <c r="R4" s="2030"/>
      <c r="S4" s="2030"/>
      <c r="T4" s="2031"/>
      <c r="U4" s="2029" t="s">
        <v>601</v>
      </c>
      <c r="V4" s="2030"/>
      <c r="W4" s="2030"/>
      <c r="X4" s="2030"/>
      <c r="Y4" s="2030"/>
      <c r="Z4" s="2031"/>
      <c r="AA4" s="243"/>
    </row>
    <row r="5" spans="1:27" ht="14.5" customHeight="1">
      <c r="A5" s="2020"/>
      <c r="B5" s="2020"/>
      <c r="C5" s="2043"/>
      <c r="D5" s="2020"/>
      <c r="E5" s="2020"/>
      <c r="F5" s="2044"/>
      <c r="G5" s="2041" t="s">
        <v>673</v>
      </c>
      <c r="H5" s="2040"/>
      <c r="I5" s="2040"/>
      <c r="J5" s="2042"/>
      <c r="K5" s="2043"/>
      <c r="L5" s="2044"/>
      <c r="M5" s="265"/>
      <c r="O5" s="2027"/>
      <c r="P5" s="2028"/>
      <c r="Q5" s="2032"/>
      <c r="R5" s="2033"/>
      <c r="S5" s="2033"/>
      <c r="T5" s="2034"/>
      <c r="U5" s="2035" t="s">
        <v>673</v>
      </c>
      <c r="V5" s="2036"/>
      <c r="W5" s="2036"/>
      <c r="X5" s="2037"/>
      <c r="Y5" s="2032"/>
      <c r="Z5" s="2034"/>
      <c r="AA5" s="244"/>
    </row>
    <row r="6" spans="1:27" ht="38" thickBot="1">
      <c r="A6" s="2021"/>
      <c r="B6" s="2021"/>
      <c r="C6" s="266" t="s">
        <v>674</v>
      </c>
      <c r="D6" s="266" t="s">
        <v>675</v>
      </c>
      <c r="E6" s="266" t="s">
        <v>486</v>
      </c>
      <c r="F6" s="266" t="s">
        <v>487</v>
      </c>
      <c r="G6" s="266" t="s">
        <v>488</v>
      </c>
      <c r="H6" s="266" t="s">
        <v>489</v>
      </c>
      <c r="I6" s="266" t="s">
        <v>490</v>
      </c>
      <c r="J6" s="266" t="s">
        <v>365</v>
      </c>
      <c r="K6" s="266" t="s">
        <v>366</v>
      </c>
      <c r="L6" s="266" t="s">
        <v>367</v>
      </c>
      <c r="M6" s="267" t="s">
        <v>368</v>
      </c>
      <c r="O6" s="2027"/>
      <c r="P6" s="2028"/>
      <c r="Q6" s="158" t="s">
        <v>674</v>
      </c>
      <c r="R6" s="158" t="s">
        <v>675</v>
      </c>
      <c r="S6" s="158" t="s">
        <v>486</v>
      </c>
      <c r="T6" s="158" t="s">
        <v>487</v>
      </c>
      <c r="U6" s="158" t="s">
        <v>488</v>
      </c>
      <c r="V6" s="158" t="s">
        <v>489</v>
      </c>
      <c r="W6" s="207" t="s">
        <v>490</v>
      </c>
      <c r="X6" s="158" t="s">
        <v>365</v>
      </c>
      <c r="Y6" s="158" t="s">
        <v>366</v>
      </c>
      <c r="Z6" s="158" t="s">
        <v>367</v>
      </c>
      <c r="AA6" s="159" t="s">
        <v>368</v>
      </c>
    </row>
    <row r="7" spans="1:27">
      <c r="A7" s="2019" t="s">
        <v>543</v>
      </c>
      <c r="B7" s="268" t="s">
        <v>649</v>
      </c>
      <c r="C7" s="269">
        <v>111.324</v>
      </c>
      <c r="D7" s="269">
        <v>317.80399999999997</v>
      </c>
      <c r="E7" s="270">
        <v>7.2089999999999996</v>
      </c>
      <c r="F7" s="269">
        <v>436.33699999999999</v>
      </c>
      <c r="G7" s="269">
        <v>40.448</v>
      </c>
      <c r="H7" s="271"/>
      <c r="I7" s="269">
        <v>93.426000000000002</v>
      </c>
      <c r="J7" s="269">
        <v>133.874</v>
      </c>
      <c r="K7" s="270">
        <v>8.4220000000000006</v>
      </c>
      <c r="L7" s="269">
        <v>142.29599999999999</v>
      </c>
      <c r="M7" s="269">
        <v>294.041</v>
      </c>
      <c r="O7" s="286"/>
      <c r="P7" s="296" t="str">
        <f>A7</f>
        <v>2000/01</v>
      </c>
      <c r="Q7" s="297">
        <f>C11</f>
        <v>111.324</v>
      </c>
      <c r="R7" s="297">
        <f t="shared" ref="R7:AA7" si="0">D11</f>
        <v>317.80399999999997</v>
      </c>
      <c r="S7" s="297">
        <f t="shared" si="0"/>
        <v>29.222999999999999</v>
      </c>
      <c r="T7" s="297">
        <f t="shared" si="0"/>
        <v>458.351</v>
      </c>
      <c r="U7" s="297">
        <f t="shared" si="0"/>
        <v>150.571</v>
      </c>
      <c r="V7" s="297">
        <f t="shared" si="0"/>
        <v>8.2010000000000005</v>
      </c>
      <c r="W7" s="298">
        <f t="shared" si="0"/>
        <v>135.54499999999999</v>
      </c>
      <c r="X7" s="297">
        <f t="shared" si="0"/>
        <v>294.31700000000001</v>
      </c>
      <c r="Y7" s="297">
        <f t="shared" si="0"/>
        <v>57.775000000000006</v>
      </c>
      <c r="Z7" s="297">
        <f t="shared" si="0"/>
        <v>352.09199999999998</v>
      </c>
      <c r="AA7" s="299">
        <f t="shared" si="0"/>
        <v>106.259</v>
      </c>
    </row>
    <row r="8" spans="1:27">
      <c r="A8" s="2020"/>
      <c r="B8" s="268" t="s">
        <v>650</v>
      </c>
      <c r="C8" s="269">
        <v>294.041</v>
      </c>
      <c r="D8" s="271"/>
      <c r="E8" s="270">
        <v>4.9160000000000004</v>
      </c>
      <c r="F8" s="269">
        <v>298.95699999999999</v>
      </c>
      <c r="G8" s="269">
        <v>35.506999999999998</v>
      </c>
      <c r="H8" s="270">
        <v>0.57399999999999995</v>
      </c>
      <c r="I8" s="269">
        <v>9.3119999999999994</v>
      </c>
      <c r="J8" s="269">
        <v>45.393000000000001</v>
      </c>
      <c r="K8" s="270">
        <v>24.695</v>
      </c>
      <c r="L8" s="269">
        <v>70.087999999999994</v>
      </c>
      <c r="M8" s="269">
        <v>228.869</v>
      </c>
      <c r="O8" s="245"/>
      <c r="P8" s="241" t="str">
        <f>A13</f>
        <v>2001/02</v>
      </c>
      <c r="Q8" s="242">
        <f t="shared" ref="Q8:AA8" si="1">C17</f>
        <v>106.259</v>
      </c>
      <c r="R8" s="242">
        <f t="shared" si="1"/>
        <v>248.32900000000001</v>
      </c>
      <c r="S8" s="242">
        <f t="shared" si="1"/>
        <v>23.922999999999998</v>
      </c>
      <c r="T8" s="242">
        <f t="shared" si="1"/>
        <v>378.51100000000002</v>
      </c>
      <c r="U8" s="242">
        <f t="shared" si="1"/>
        <v>147.315</v>
      </c>
      <c r="V8" s="242">
        <f t="shared" si="1"/>
        <v>8.2119999999999997</v>
      </c>
      <c r="W8" s="247">
        <f t="shared" si="1"/>
        <v>104.447</v>
      </c>
      <c r="X8" s="242">
        <f t="shared" si="1"/>
        <v>259.97399999999999</v>
      </c>
      <c r="Y8" s="242">
        <f t="shared" si="1"/>
        <v>26.408000000000001</v>
      </c>
      <c r="Z8" s="242">
        <f t="shared" si="1"/>
        <v>286.38199999999995</v>
      </c>
      <c r="AA8" s="246">
        <f t="shared" si="1"/>
        <v>92.129000000000005</v>
      </c>
    </row>
    <row r="9" spans="1:27">
      <c r="A9" s="2020"/>
      <c r="B9" s="268" t="s">
        <v>717</v>
      </c>
      <c r="C9" s="269">
        <v>228.869</v>
      </c>
      <c r="D9" s="271"/>
      <c r="E9" s="270">
        <v>8.0009999999999994</v>
      </c>
      <c r="F9" s="269">
        <v>236.87</v>
      </c>
      <c r="G9" s="269">
        <v>34.619</v>
      </c>
      <c r="H9" s="270">
        <v>0.65600000000000003</v>
      </c>
      <c r="I9" s="269">
        <v>23.388999999999999</v>
      </c>
      <c r="J9" s="269">
        <v>58.664000000000001</v>
      </c>
      <c r="K9" s="270">
        <v>16.062000000000001</v>
      </c>
      <c r="L9" s="269">
        <v>74.725999999999999</v>
      </c>
      <c r="M9" s="269">
        <v>162.14400000000001</v>
      </c>
      <c r="O9" s="245"/>
      <c r="P9" s="241" t="str">
        <f>A19</f>
        <v>2002/03</v>
      </c>
      <c r="Q9" s="242">
        <f t="shared" ref="Q9:AA9" si="2">C23</f>
        <v>92.129000000000005</v>
      </c>
      <c r="R9" s="242">
        <f t="shared" si="2"/>
        <v>226.90600000000001</v>
      </c>
      <c r="S9" s="242">
        <f t="shared" si="2"/>
        <v>18.455000000000002</v>
      </c>
      <c r="T9" s="242">
        <f t="shared" si="2"/>
        <v>337.49</v>
      </c>
      <c r="U9" s="242">
        <f t="shared" si="2"/>
        <v>145.65700000000001</v>
      </c>
      <c r="V9" s="242">
        <f t="shared" si="2"/>
        <v>8.7370000000000001</v>
      </c>
      <c r="W9" s="247">
        <f t="shared" si="2"/>
        <v>83.5</v>
      </c>
      <c r="X9" s="242">
        <f t="shared" si="2"/>
        <v>237.89400000000001</v>
      </c>
      <c r="Y9" s="242">
        <f t="shared" si="2"/>
        <v>30.256</v>
      </c>
      <c r="Z9" s="242">
        <f t="shared" si="2"/>
        <v>268.14999999999998</v>
      </c>
      <c r="AA9" s="246">
        <f t="shared" si="2"/>
        <v>69.34</v>
      </c>
    </row>
    <row r="10" spans="1:27">
      <c r="A10" s="2020"/>
      <c r="B10" s="268" t="s">
        <v>718</v>
      </c>
      <c r="C10" s="269">
        <v>162.14400000000001</v>
      </c>
      <c r="D10" s="271"/>
      <c r="E10" s="270">
        <v>9.0969999999999995</v>
      </c>
      <c r="F10" s="269">
        <v>171.24100000000001</v>
      </c>
      <c r="G10" s="269">
        <v>39.997</v>
      </c>
      <c r="H10" s="270">
        <v>6.9710000000000001</v>
      </c>
      <c r="I10" s="269">
        <v>9.4179999999999993</v>
      </c>
      <c r="J10" s="269">
        <v>56.386000000000003</v>
      </c>
      <c r="K10" s="270">
        <v>8.5960000000000001</v>
      </c>
      <c r="L10" s="269">
        <v>64.981999999999999</v>
      </c>
      <c r="M10" s="269">
        <v>106.259</v>
      </c>
      <c r="O10" s="245"/>
      <c r="P10" s="241" t="str">
        <f>A25</f>
        <v>2003/04</v>
      </c>
      <c r="Q10" s="242">
        <f t="shared" ref="Q10:AA10" si="3">C29</f>
        <v>69.34</v>
      </c>
      <c r="R10" s="242">
        <f t="shared" si="3"/>
        <v>278.28300000000002</v>
      </c>
      <c r="S10" s="242">
        <f t="shared" si="3"/>
        <v>20.626999999999999</v>
      </c>
      <c r="T10" s="242">
        <f t="shared" si="3"/>
        <v>368.25</v>
      </c>
      <c r="U10" s="242">
        <f t="shared" si="3"/>
        <v>147.44499999999999</v>
      </c>
      <c r="V10" s="242">
        <f t="shared" si="3"/>
        <v>7.4369999999999994</v>
      </c>
      <c r="W10" s="247">
        <f t="shared" si="3"/>
        <v>74.27300000000001</v>
      </c>
      <c r="X10" s="242">
        <f t="shared" si="3"/>
        <v>229.15500000000003</v>
      </c>
      <c r="Y10" s="242">
        <f t="shared" si="3"/>
        <v>18.786999999999999</v>
      </c>
      <c r="Z10" s="242">
        <f t="shared" si="3"/>
        <v>247.94200000000001</v>
      </c>
      <c r="AA10" s="246">
        <f t="shared" si="3"/>
        <v>120.30800000000001</v>
      </c>
    </row>
    <row r="11" spans="1:27">
      <c r="A11" s="2020"/>
      <c r="B11" s="268" t="s">
        <v>719</v>
      </c>
      <c r="C11" s="269">
        <v>111.324</v>
      </c>
      <c r="D11" s="269">
        <v>317.80399999999997</v>
      </c>
      <c r="E11" s="270">
        <v>29.222999999999999</v>
      </c>
      <c r="F11" s="269">
        <v>458.351</v>
      </c>
      <c r="G11" s="269">
        <v>150.571</v>
      </c>
      <c r="H11" s="270">
        <v>8.2010000000000005</v>
      </c>
      <c r="I11" s="269">
        <v>135.54499999999999</v>
      </c>
      <c r="J11" s="269">
        <v>294.31700000000001</v>
      </c>
      <c r="K11" s="270">
        <v>57.775000000000006</v>
      </c>
      <c r="L11" s="269">
        <v>352.09199999999998</v>
      </c>
      <c r="M11" s="269">
        <v>106.259</v>
      </c>
      <c r="O11" s="245"/>
      <c r="P11" s="241" t="str">
        <f>A31</f>
        <v>2004/05</v>
      </c>
      <c r="Q11" s="242">
        <f t="shared" ref="Q11:AA11" si="4">C35</f>
        <v>120.30800000000001</v>
      </c>
      <c r="R11" s="242">
        <f t="shared" si="4"/>
        <v>279.74299999999999</v>
      </c>
      <c r="S11" s="242">
        <f t="shared" si="4"/>
        <v>12.122</v>
      </c>
      <c r="T11" s="242">
        <f t="shared" si="4"/>
        <v>412.173</v>
      </c>
      <c r="U11" s="242">
        <f t="shared" si="4"/>
        <v>151.40299999999996</v>
      </c>
      <c r="V11" s="242">
        <f t="shared" si="4"/>
        <v>6.4009999999999998</v>
      </c>
      <c r="W11" s="247">
        <f t="shared" si="4"/>
        <v>102.702</v>
      </c>
      <c r="X11" s="242">
        <f t="shared" si="4"/>
        <v>260.50599999999997</v>
      </c>
      <c r="Y11" s="242">
        <f t="shared" si="4"/>
        <v>23.25</v>
      </c>
      <c r="Z11" s="242">
        <f t="shared" si="4"/>
        <v>283.75599999999997</v>
      </c>
      <c r="AA11" s="246">
        <f t="shared" si="4"/>
        <v>128.417</v>
      </c>
    </row>
    <row r="12" spans="1:27">
      <c r="A12" s="2020"/>
      <c r="B12" s="268"/>
      <c r="C12" s="271"/>
      <c r="D12" s="271"/>
      <c r="E12" s="271"/>
      <c r="F12" s="271"/>
      <c r="G12" s="271"/>
      <c r="H12" s="271"/>
      <c r="I12" s="271"/>
      <c r="J12" s="271"/>
      <c r="K12" s="271"/>
      <c r="L12" s="271"/>
      <c r="M12" s="271"/>
      <c r="O12" s="245"/>
      <c r="P12" s="241" t="str">
        <f>A37</f>
        <v>2005/06</v>
      </c>
      <c r="Q12" s="242">
        <f t="shared" ref="Q12:AA12" si="5">C41</f>
        <v>128.417</v>
      </c>
      <c r="R12" s="242">
        <f t="shared" si="5"/>
        <v>211.89599999999999</v>
      </c>
      <c r="S12" s="242">
        <f t="shared" si="5"/>
        <v>5.3659999999999997</v>
      </c>
      <c r="T12" s="242">
        <f t="shared" si="5"/>
        <v>345.67899999999997</v>
      </c>
      <c r="U12" s="242">
        <f t="shared" si="5"/>
        <v>156.679</v>
      </c>
      <c r="V12" s="242">
        <f t="shared" si="5"/>
        <v>5.7200000000000006</v>
      </c>
      <c r="W12" s="247">
        <f t="shared" si="5"/>
        <v>47.536000000000001</v>
      </c>
      <c r="X12" s="242">
        <f t="shared" si="5"/>
        <v>209.935</v>
      </c>
      <c r="Y12" s="242">
        <f t="shared" si="5"/>
        <v>27.813000000000002</v>
      </c>
      <c r="Z12" s="242">
        <f t="shared" si="5"/>
        <v>237.74799999999999</v>
      </c>
      <c r="AA12" s="246">
        <f t="shared" si="5"/>
        <v>107.931</v>
      </c>
    </row>
    <row r="13" spans="1:27">
      <c r="A13" s="2019" t="s">
        <v>445</v>
      </c>
      <c r="B13" s="268" t="s">
        <v>649</v>
      </c>
      <c r="C13" s="269">
        <v>106.259</v>
      </c>
      <c r="D13" s="269">
        <v>248.32900000000001</v>
      </c>
      <c r="E13" s="270">
        <v>7.8579999999999997</v>
      </c>
      <c r="F13" s="269">
        <v>362.44600000000003</v>
      </c>
      <c r="G13" s="269">
        <v>40.518000000000001</v>
      </c>
      <c r="H13" s="271"/>
      <c r="I13" s="269">
        <v>65.822000000000003</v>
      </c>
      <c r="J13" s="269">
        <v>106.34</v>
      </c>
      <c r="K13" s="270">
        <v>10.742000000000001</v>
      </c>
      <c r="L13" s="269">
        <v>117.08199999999999</v>
      </c>
      <c r="M13" s="269">
        <v>245.364</v>
      </c>
      <c r="O13" s="245"/>
      <c r="P13" s="241" t="str">
        <f>A43</f>
        <v>2006/07</v>
      </c>
      <c r="Q13" s="242">
        <f t="shared" ref="Q13:AA13" si="6">C47</f>
        <v>107.931</v>
      </c>
      <c r="R13" s="242">
        <f t="shared" si="6"/>
        <v>180.16499999999999</v>
      </c>
      <c r="S13" s="242">
        <f t="shared" si="6"/>
        <v>12.103999999999999</v>
      </c>
      <c r="T13" s="242">
        <f t="shared" si="6"/>
        <v>300.2</v>
      </c>
      <c r="U13" s="242">
        <f t="shared" si="6"/>
        <v>155.315</v>
      </c>
      <c r="V13" s="242">
        <f t="shared" si="6"/>
        <v>6.569</v>
      </c>
      <c r="W13" s="247">
        <f t="shared" si="6"/>
        <v>49.177</v>
      </c>
      <c r="X13" s="242">
        <f t="shared" si="6"/>
        <v>211.06099999999998</v>
      </c>
      <c r="Y13" s="242">
        <f t="shared" si="6"/>
        <v>20.259</v>
      </c>
      <c r="Z13" s="242">
        <f t="shared" si="6"/>
        <v>231.32</v>
      </c>
      <c r="AA13" s="246">
        <f t="shared" si="6"/>
        <v>68.88</v>
      </c>
    </row>
    <row r="14" spans="1:27">
      <c r="A14" s="2020"/>
      <c r="B14" s="268" t="s">
        <v>650</v>
      </c>
      <c r="C14" s="269">
        <v>245.364</v>
      </c>
      <c r="D14" s="271"/>
      <c r="E14" s="270">
        <v>5.0739999999999998</v>
      </c>
      <c r="F14" s="269">
        <v>250.43800000000002</v>
      </c>
      <c r="G14" s="269">
        <v>34.173999999999999</v>
      </c>
      <c r="H14" s="270">
        <v>0.57499999999999996</v>
      </c>
      <c r="I14" s="269">
        <v>13.462999999999999</v>
      </c>
      <c r="J14" s="269">
        <v>48.212000000000003</v>
      </c>
      <c r="K14" s="270">
        <v>7.2389999999999999</v>
      </c>
      <c r="L14" s="269">
        <v>55.451000000000001</v>
      </c>
      <c r="M14" s="269">
        <v>194.98699999999999</v>
      </c>
      <c r="O14" s="222"/>
      <c r="P14" s="241" t="str">
        <f>A49</f>
        <v>2007/08</v>
      </c>
      <c r="Q14" s="242">
        <f t="shared" ref="Q14:AA14" si="7">C53</f>
        <v>68.88</v>
      </c>
      <c r="R14" s="242">
        <f t="shared" si="7"/>
        <v>210.11</v>
      </c>
      <c r="S14" s="242">
        <f t="shared" si="7"/>
        <v>29.231000000000002</v>
      </c>
      <c r="T14" s="242">
        <f t="shared" si="7"/>
        <v>308.221</v>
      </c>
      <c r="U14" s="242">
        <f t="shared" si="7"/>
        <v>161.56700000000001</v>
      </c>
      <c r="V14" s="242">
        <f t="shared" si="7"/>
        <v>7.0009999999999994</v>
      </c>
      <c r="W14" s="247">
        <f t="shared" si="7"/>
        <v>30.006</v>
      </c>
      <c r="X14" s="242">
        <f t="shared" si="7"/>
        <v>198.57399999999998</v>
      </c>
      <c r="Y14" s="242">
        <f t="shared" si="7"/>
        <v>41.423999999999999</v>
      </c>
      <c r="Z14" s="242">
        <f t="shared" si="7"/>
        <v>239.99799999999999</v>
      </c>
      <c r="AA14" s="246">
        <f t="shared" si="7"/>
        <v>68.222999999999999</v>
      </c>
    </row>
    <row r="15" spans="1:27">
      <c r="A15" s="2020"/>
      <c r="B15" s="268" t="s">
        <v>717</v>
      </c>
      <c r="C15" s="269">
        <v>194.98699999999999</v>
      </c>
      <c r="D15" s="271"/>
      <c r="E15" s="270">
        <v>5.5570000000000004</v>
      </c>
      <c r="F15" s="269">
        <v>200.54399999999998</v>
      </c>
      <c r="G15" s="269">
        <v>34.792000000000002</v>
      </c>
      <c r="H15" s="270">
        <v>0.65700000000000003</v>
      </c>
      <c r="I15" s="269">
        <v>18.167000000000002</v>
      </c>
      <c r="J15" s="269">
        <v>53.616</v>
      </c>
      <c r="K15" s="270">
        <v>5.18</v>
      </c>
      <c r="L15" s="269">
        <v>58.795999999999999</v>
      </c>
      <c r="M15" s="269">
        <v>141.74799999999999</v>
      </c>
      <c r="O15" s="222"/>
      <c r="P15" s="241" t="str">
        <f>A61</f>
        <v>2009/10</v>
      </c>
      <c r="Q15" s="242">
        <f t="shared" ref="Q15:AA15" si="8">C65</f>
        <v>88.733000000000004</v>
      </c>
      <c r="R15" s="242">
        <f t="shared" si="8"/>
        <v>227.32300000000001</v>
      </c>
      <c r="S15" s="242">
        <f t="shared" si="8"/>
        <v>16.596</v>
      </c>
      <c r="T15" s="242">
        <f t="shared" si="8"/>
        <v>332.65200000000004</v>
      </c>
      <c r="U15" s="242">
        <f t="shared" si="8"/>
        <v>158.72800000000001</v>
      </c>
      <c r="V15" s="242">
        <f t="shared" si="8"/>
        <v>4.9950000000000001</v>
      </c>
      <c r="W15" s="247">
        <f t="shared" si="8"/>
        <v>47.769000000000005</v>
      </c>
      <c r="X15" s="242">
        <f t="shared" si="8"/>
        <v>211.49200000000002</v>
      </c>
      <c r="Y15" s="242">
        <f t="shared" si="8"/>
        <v>5.6609999999999996</v>
      </c>
      <c r="Z15" s="242">
        <f t="shared" si="8"/>
        <v>217.15300000000002</v>
      </c>
      <c r="AA15" s="246">
        <f t="shared" si="8"/>
        <v>115.499</v>
      </c>
    </row>
    <row r="16" spans="1:27" ht="16" thickBot="1">
      <c r="A16" s="2020"/>
      <c r="B16" s="268" t="s">
        <v>718</v>
      </c>
      <c r="C16" s="269">
        <v>141.74799999999999</v>
      </c>
      <c r="D16" s="271"/>
      <c r="E16" s="270">
        <v>5.4340000000000002</v>
      </c>
      <c r="F16" s="269">
        <v>147.18199999999999</v>
      </c>
      <c r="G16" s="269">
        <v>37.831000000000003</v>
      </c>
      <c r="H16" s="270">
        <v>6.98</v>
      </c>
      <c r="I16" s="269">
        <v>6.9950000000000001</v>
      </c>
      <c r="J16" s="269">
        <v>51.805999999999997</v>
      </c>
      <c r="K16" s="270">
        <v>3.2469999999999999</v>
      </c>
      <c r="L16" s="269">
        <v>55.052999999999997</v>
      </c>
      <c r="M16" s="269">
        <v>92.129000000000005</v>
      </c>
      <c r="O16" s="227"/>
      <c r="P16" s="7" t="str">
        <f>A67</f>
        <v>2010/11</v>
      </c>
      <c r="Q16" s="8">
        <f t="shared" ref="Q16:AA16" si="9">C71</f>
        <v>115.499</v>
      </c>
      <c r="R16" s="8">
        <f t="shared" si="9"/>
        <v>180.268</v>
      </c>
      <c r="S16" s="8">
        <f t="shared" si="9"/>
        <v>9.4939999999999998</v>
      </c>
      <c r="T16" s="8">
        <f t="shared" si="9"/>
        <v>305.26099999999997</v>
      </c>
      <c r="U16" s="8">
        <f t="shared" si="9"/>
        <v>153.72800000000001</v>
      </c>
      <c r="V16" s="8">
        <f t="shared" si="9"/>
        <v>4.79</v>
      </c>
      <c r="W16" s="206">
        <f t="shared" si="9"/>
        <v>49.813999999999993</v>
      </c>
      <c r="X16" s="8">
        <f t="shared" si="9"/>
        <v>208.33199999999999</v>
      </c>
      <c r="Y16" s="8">
        <f t="shared" si="9"/>
        <v>7.5779999999999994</v>
      </c>
      <c r="Z16" s="8">
        <f t="shared" si="9"/>
        <v>215.91</v>
      </c>
      <c r="AA16" s="9">
        <f t="shared" si="9"/>
        <v>89.350999999999999</v>
      </c>
    </row>
    <row r="17" spans="1:27" ht="16" thickBot="1">
      <c r="A17" s="2020"/>
      <c r="B17" s="268" t="s">
        <v>719</v>
      </c>
      <c r="C17" s="269">
        <v>106.259</v>
      </c>
      <c r="D17" s="269">
        <v>248.32900000000001</v>
      </c>
      <c r="E17" s="270">
        <v>23.922999999999998</v>
      </c>
      <c r="F17" s="269">
        <v>378.51100000000002</v>
      </c>
      <c r="G17" s="269">
        <v>147.315</v>
      </c>
      <c r="H17" s="270">
        <v>8.2119999999999997</v>
      </c>
      <c r="I17" s="269">
        <v>104.447</v>
      </c>
      <c r="J17" s="269">
        <v>259.97399999999999</v>
      </c>
      <c r="K17" s="270">
        <v>26.408000000000001</v>
      </c>
      <c r="L17" s="269">
        <v>286.38199999999995</v>
      </c>
      <c r="M17" s="269">
        <v>92.129000000000005</v>
      </c>
      <c r="O17" s="227"/>
      <c r="P17" s="7" t="str">
        <f>A73</f>
        <v>2011/12</v>
      </c>
      <c r="Q17" s="8">
        <f t="shared" ref="Q17:AA17" si="10">C77</f>
        <v>89.350999999999999</v>
      </c>
      <c r="R17" s="8">
        <f t="shared" si="10"/>
        <v>155.78</v>
      </c>
      <c r="S17" s="8">
        <f t="shared" si="10"/>
        <v>16.256</v>
      </c>
      <c r="T17" s="8">
        <f t="shared" si="10"/>
        <v>261.387</v>
      </c>
      <c r="U17" s="8">
        <f t="shared" si="10"/>
        <v>148.72800000000001</v>
      </c>
      <c r="V17" s="8">
        <f t="shared" si="10"/>
        <v>6.2720000000000002</v>
      </c>
      <c r="W17" s="206">
        <f t="shared" si="10"/>
        <v>37.565000000000005</v>
      </c>
      <c r="X17" s="8">
        <f t="shared" si="10"/>
        <v>192.565</v>
      </c>
      <c r="Y17" s="8">
        <f t="shared" si="10"/>
        <v>8.8349999999999991</v>
      </c>
      <c r="Z17" s="8">
        <f t="shared" si="10"/>
        <v>201.4</v>
      </c>
      <c r="AA17" s="9">
        <f t="shared" si="10"/>
        <v>59.987000000000002</v>
      </c>
    </row>
    <row r="18" spans="1:27">
      <c r="A18" s="2020"/>
      <c r="B18" s="268"/>
      <c r="C18" s="271"/>
      <c r="D18" s="271"/>
      <c r="E18" s="271"/>
      <c r="F18" s="271"/>
      <c r="G18" s="271"/>
      <c r="H18" s="271"/>
      <c r="I18" s="271"/>
      <c r="J18" s="271"/>
      <c r="K18" s="271"/>
      <c r="L18" s="271"/>
      <c r="M18" s="271"/>
      <c r="O18" s="224"/>
      <c r="P18" s="223" t="s">
        <v>740</v>
      </c>
      <c r="Q18" s="221">
        <f t="shared" ref="Q18:V18" si="11">AVERAGE(Q7:Q17)</f>
        <v>99.833727272727302</v>
      </c>
      <c r="R18" s="221">
        <f t="shared" si="11"/>
        <v>228.78245454545456</v>
      </c>
      <c r="S18" s="221">
        <f t="shared" si="11"/>
        <v>17.581545454545452</v>
      </c>
      <c r="T18" s="221">
        <f t="shared" si="11"/>
        <v>346.19772727272726</v>
      </c>
      <c r="U18" s="221">
        <f t="shared" si="11"/>
        <v>152.4669090909091</v>
      </c>
      <c r="V18" s="221">
        <f t="shared" si="11"/>
        <v>6.7577272727272737</v>
      </c>
      <c r="W18" s="250">
        <f>AVERAGE(W7:W17)</f>
        <v>69.303090909090898</v>
      </c>
      <c r="X18" s="221">
        <f t="shared" ref="X18:AA18" si="12">AVERAGE(X7:X17)</f>
        <v>228.52772727272725</v>
      </c>
      <c r="Y18" s="221">
        <f t="shared" si="12"/>
        <v>24.36781818181818</v>
      </c>
      <c r="Z18" s="221">
        <f t="shared" si="12"/>
        <v>252.89554545454538</v>
      </c>
      <c r="AA18" s="220">
        <f t="shared" si="12"/>
        <v>93.302181818181822</v>
      </c>
    </row>
    <row r="19" spans="1:27">
      <c r="A19" s="2019" t="s">
        <v>545</v>
      </c>
      <c r="B19" s="268" t="s">
        <v>649</v>
      </c>
      <c r="C19" s="269">
        <v>92.129000000000005</v>
      </c>
      <c r="D19" s="269">
        <v>226.90600000000001</v>
      </c>
      <c r="E19" s="270">
        <v>8.9990000000000006</v>
      </c>
      <c r="F19" s="269">
        <v>328.03399999999999</v>
      </c>
      <c r="G19" s="269">
        <v>39.743000000000002</v>
      </c>
      <c r="H19" s="271"/>
      <c r="I19" s="269">
        <v>57.933</v>
      </c>
      <c r="J19" s="269">
        <v>97.676000000000002</v>
      </c>
      <c r="K19" s="270">
        <v>6.6390000000000002</v>
      </c>
      <c r="L19" s="269">
        <v>104.315</v>
      </c>
      <c r="M19" s="269">
        <v>223.71899999999999</v>
      </c>
      <c r="O19" s="222"/>
      <c r="P19" s="205" t="s">
        <v>257</v>
      </c>
      <c r="Q19" s="294">
        <f t="shared" ref="Q19:V19" si="13">STDEV(Q7:Q17)</f>
        <v>19.750831856359262</v>
      </c>
      <c r="R19" s="294">
        <f t="shared" si="13"/>
        <v>49.030924668750863</v>
      </c>
      <c r="S19" s="294">
        <f t="shared" si="13"/>
        <v>7.7372570768152267</v>
      </c>
      <c r="T19" s="294">
        <f t="shared" si="13"/>
        <v>55.810233533091029</v>
      </c>
      <c r="U19" s="294">
        <f t="shared" si="13"/>
        <v>5.1604167555449552</v>
      </c>
      <c r="V19" s="294">
        <f t="shared" si="13"/>
        <v>1.3073216200238575</v>
      </c>
      <c r="W19" s="219">
        <f>STDEV(W7:W17)</f>
        <v>33.524318792346982</v>
      </c>
      <c r="X19" s="294">
        <f t="shared" ref="X19:AA19" si="14">STDEV(X7:X17)</f>
        <v>31.570920069237498</v>
      </c>
      <c r="Y19" s="294">
        <f t="shared" si="14"/>
        <v>15.427392383796967</v>
      </c>
      <c r="Z19" s="294">
        <f t="shared" si="14"/>
        <v>42.812887296616026</v>
      </c>
      <c r="AA19" s="295">
        <f t="shared" si="14"/>
        <v>24.007142444773265</v>
      </c>
    </row>
    <row r="20" spans="1:27" ht="43" thickBot="1">
      <c r="A20" s="2020"/>
      <c r="B20" s="268" t="s">
        <v>650</v>
      </c>
      <c r="C20" s="269">
        <v>223.71899999999999</v>
      </c>
      <c r="D20" s="271"/>
      <c r="E20" s="270">
        <v>3.133</v>
      </c>
      <c r="F20" s="269">
        <v>226.852</v>
      </c>
      <c r="G20" s="269">
        <v>34.082999999999998</v>
      </c>
      <c r="H20" s="270">
        <v>0.61199999999999999</v>
      </c>
      <c r="I20" s="269">
        <v>15.582000000000001</v>
      </c>
      <c r="J20" s="269">
        <v>50.277000000000001</v>
      </c>
      <c r="K20" s="270">
        <v>6.5739999999999998</v>
      </c>
      <c r="L20" s="269">
        <v>56.850999999999999</v>
      </c>
      <c r="M20" s="269">
        <v>170.001</v>
      </c>
      <c r="O20" s="227"/>
      <c r="P20" s="228" t="s">
        <v>720</v>
      </c>
      <c r="Q20" s="252"/>
      <c r="R20" s="252"/>
      <c r="S20" s="253">
        <f>S18/R18</f>
        <v>7.6848312032828311E-2</v>
      </c>
      <c r="T20" s="254"/>
      <c r="U20" s="254"/>
      <c r="V20" s="254"/>
      <c r="W20" s="253">
        <f>W18/R18</f>
        <v>0.30292135402945308</v>
      </c>
      <c r="X20" s="254"/>
      <c r="Y20" s="253">
        <f>Y18/R18</f>
        <v>0.10651086959545132</v>
      </c>
      <c r="Z20" s="252"/>
      <c r="AA20" s="255"/>
    </row>
    <row r="21" spans="1:27">
      <c r="A21" s="2020"/>
      <c r="B21" s="268" t="s">
        <v>717</v>
      </c>
      <c r="C21" s="269">
        <v>170.001</v>
      </c>
      <c r="D21" s="271"/>
      <c r="E21" s="270">
        <v>4.6539999999999999</v>
      </c>
      <c r="F21" s="269">
        <v>174.655</v>
      </c>
      <c r="G21" s="269">
        <v>33.43</v>
      </c>
      <c r="H21" s="270">
        <v>0.69899999999999995</v>
      </c>
      <c r="I21" s="269">
        <v>9.1189999999999998</v>
      </c>
      <c r="J21" s="269">
        <v>43.247999999999998</v>
      </c>
      <c r="K21" s="270">
        <v>7.9669999999999996</v>
      </c>
      <c r="L21" s="269">
        <v>51.215000000000003</v>
      </c>
      <c r="M21" s="269">
        <v>123.44</v>
      </c>
    </row>
    <row r="22" spans="1:27">
      <c r="A22" s="2020"/>
      <c r="B22" s="268" t="s">
        <v>718</v>
      </c>
      <c r="C22" s="269">
        <v>123.44</v>
      </c>
      <c r="D22" s="271"/>
      <c r="E22" s="270">
        <v>1.669</v>
      </c>
      <c r="F22" s="269">
        <v>125.10899999999999</v>
      </c>
      <c r="G22" s="269">
        <v>38.401000000000003</v>
      </c>
      <c r="H22" s="270">
        <v>7.4260000000000002</v>
      </c>
      <c r="I22" s="269">
        <v>0.86599999999999999</v>
      </c>
      <c r="J22" s="269">
        <v>46.692999999999998</v>
      </c>
      <c r="K22" s="270">
        <v>9.0760000000000005</v>
      </c>
      <c r="L22" s="269">
        <v>55.768999999999998</v>
      </c>
      <c r="M22" s="269">
        <v>69.34</v>
      </c>
    </row>
    <row r="23" spans="1:27">
      <c r="A23" s="2020"/>
      <c r="B23" s="268" t="s">
        <v>719</v>
      </c>
      <c r="C23" s="269">
        <v>92.129000000000005</v>
      </c>
      <c r="D23" s="269">
        <v>226.90600000000001</v>
      </c>
      <c r="E23" s="270">
        <v>18.455000000000002</v>
      </c>
      <c r="F23" s="269">
        <v>337.49</v>
      </c>
      <c r="G23" s="269">
        <v>145.65700000000001</v>
      </c>
      <c r="H23" s="270">
        <v>8.7370000000000001</v>
      </c>
      <c r="I23" s="269">
        <v>83.5</v>
      </c>
      <c r="J23" s="269">
        <v>237.89400000000001</v>
      </c>
      <c r="K23" s="270">
        <v>30.256</v>
      </c>
      <c r="L23" s="269">
        <v>268.14999999999998</v>
      </c>
      <c r="M23" s="269">
        <v>69.34</v>
      </c>
    </row>
    <row r="24" spans="1:27">
      <c r="A24" s="2020"/>
      <c r="B24" s="268"/>
      <c r="C24" s="271"/>
      <c r="D24" s="271"/>
      <c r="E24" s="271"/>
      <c r="F24" s="271"/>
      <c r="G24" s="271"/>
      <c r="H24" s="271"/>
      <c r="I24" s="271"/>
      <c r="J24" s="271"/>
      <c r="K24" s="271"/>
      <c r="L24" s="271"/>
      <c r="M24" s="271"/>
    </row>
    <row r="25" spans="1:27">
      <c r="A25" s="2019" t="s">
        <v>547</v>
      </c>
      <c r="B25" s="268" t="s">
        <v>649</v>
      </c>
      <c r="C25" s="269">
        <v>69.34</v>
      </c>
      <c r="D25" s="269">
        <v>278.28300000000002</v>
      </c>
      <c r="E25" s="270">
        <v>3.1480000000000001</v>
      </c>
      <c r="F25" s="269">
        <v>350.77100000000007</v>
      </c>
      <c r="G25" s="269">
        <v>39.558999999999997</v>
      </c>
      <c r="H25" s="271"/>
      <c r="I25" s="269">
        <v>66.257000000000005</v>
      </c>
      <c r="J25" s="269">
        <v>105.816</v>
      </c>
      <c r="K25" s="270">
        <v>3.3250000000000002</v>
      </c>
      <c r="L25" s="269">
        <v>109.14100000000001</v>
      </c>
      <c r="M25" s="269">
        <v>241.63</v>
      </c>
    </row>
    <row r="26" spans="1:27">
      <c r="A26" s="2020"/>
      <c r="B26" s="268" t="s">
        <v>650</v>
      </c>
      <c r="C26" s="269">
        <v>241.63</v>
      </c>
      <c r="D26" s="271"/>
      <c r="E26" s="270">
        <v>4.0730000000000004</v>
      </c>
      <c r="F26" s="269">
        <v>245.703</v>
      </c>
      <c r="G26" s="269">
        <v>34.463999999999999</v>
      </c>
      <c r="H26" s="270">
        <v>0.52100000000000002</v>
      </c>
      <c r="I26" s="269">
        <v>4.0540000000000003</v>
      </c>
      <c r="J26" s="269">
        <v>39.039000000000001</v>
      </c>
      <c r="K26" s="270">
        <v>8.7850000000000001</v>
      </c>
      <c r="L26" s="269">
        <v>47.823999999999998</v>
      </c>
      <c r="M26" s="269">
        <v>197.87899999999999</v>
      </c>
    </row>
    <row r="27" spans="1:27">
      <c r="A27" s="2020"/>
      <c r="B27" s="268" t="s">
        <v>717</v>
      </c>
      <c r="C27" s="269">
        <v>197.87899999999999</v>
      </c>
      <c r="D27" s="271"/>
      <c r="E27" s="270">
        <v>6.407</v>
      </c>
      <c r="F27" s="269">
        <v>204.286</v>
      </c>
      <c r="G27" s="269">
        <v>34.006999999999998</v>
      </c>
      <c r="H27" s="270">
        <v>0.59499999999999997</v>
      </c>
      <c r="I27" s="269">
        <v>10.602</v>
      </c>
      <c r="J27" s="269">
        <v>45.204000000000001</v>
      </c>
      <c r="K27" s="270">
        <v>6.1959999999999997</v>
      </c>
      <c r="L27" s="269">
        <v>51.4</v>
      </c>
      <c r="M27" s="269">
        <v>152.886</v>
      </c>
    </row>
    <row r="28" spans="1:27">
      <c r="A28" s="2020"/>
      <c r="B28" s="268" t="s">
        <v>718</v>
      </c>
      <c r="C28" s="269">
        <v>152.886</v>
      </c>
      <c r="D28" s="271"/>
      <c r="E28" s="270">
        <v>6.9989999999999997</v>
      </c>
      <c r="F28" s="269">
        <v>159.88499999999999</v>
      </c>
      <c r="G28" s="269">
        <v>39.414999999999999</v>
      </c>
      <c r="H28" s="270">
        <v>6.3209999999999997</v>
      </c>
      <c r="I28" s="269">
        <v>-6.64</v>
      </c>
      <c r="J28" s="269">
        <v>39.095999999999997</v>
      </c>
      <c r="K28" s="270">
        <v>0.48099999999999998</v>
      </c>
      <c r="L28" s="269">
        <v>39.576999999999998</v>
      </c>
      <c r="M28" s="269">
        <v>120.30800000000001</v>
      </c>
    </row>
    <row r="29" spans="1:27">
      <c r="A29" s="2020"/>
      <c r="B29" s="268" t="s">
        <v>719</v>
      </c>
      <c r="C29" s="269">
        <v>69.34</v>
      </c>
      <c r="D29" s="269">
        <v>278.28300000000002</v>
      </c>
      <c r="E29" s="270">
        <v>20.626999999999999</v>
      </c>
      <c r="F29" s="269">
        <v>368.25</v>
      </c>
      <c r="G29" s="269">
        <v>147.44499999999999</v>
      </c>
      <c r="H29" s="270">
        <v>7.4369999999999994</v>
      </c>
      <c r="I29" s="269">
        <v>74.27300000000001</v>
      </c>
      <c r="J29" s="269">
        <v>229.15500000000003</v>
      </c>
      <c r="K29" s="270">
        <v>18.786999999999999</v>
      </c>
      <c r="L29" s="269">
        <v>247.94200000000001</v>
      </c>
      <c r="M29" s="269">
        <v>120.30800000000001</v>
      </c>
    </row>
    <row r="30" spans="1:27">
      <c r="A30" s="2020"/>
      <c r="B30" s="268"/>
      <c r="C30" s="271"/>
      <c r="D30" s="271"/>
      <c r="E30" s="271"/>
      <c r="F30" s="271"/>
      <c r="G30" s="271"/>
      <c r="H30" s="271"/>
      <c r="I30" s="271"/>
      <c r="J30" s="271"/>
      <c r="K30" s="271"/>
      <c r="L30" s="271"/>
      <c r="M30" s="271"/>
    </row>
    <row r="31" spans="1:27">
      <c r="A31" s="2019" t="s">
        <v>548</v>
      </c>
      <c r="B31" s="268" t="s">
        <v>649</v>
      </c>
      <c r="C31" s="269">
        <v>120.30800000000001</v>
      </c>
      <c r="D31" s="269">
        <v>279.74299999999999</v>
      </c>
      <c r="E31" s="270">
        <v>5</v>
      </c>
      <c r="F31" s="269">
        <v>405.05099999999999</v>
      </c>
      <c r="G31" s="269">
        <v>41.482999999999997</v>
      </c>
      <c r="H31" s="271"/>
      <c r="I31" s="269">
        <v>71.111000000000004</v>
      </c>
      <c r="J31" s="269">
        <v>112.59399999999999</v>
      </c>
      <c r="K31" s="270">
        <v>2.38</v>
      </c>
      <c r="L31" s="269">
        <v>114.974</v>
      </c>
      <c r="M31" s="269">
        <v>290.077</v>
      </c>
    </row>
    <row r="32" spans="1:27">
      <c r="A32" s="2020"/>
      <c r="B32" s="268" t="s">
        <v>650</v>
      </c>
      <c r="C32" s="269">
        <v>290.077</v>
      </c>
      <c r="D32" s="271"/>
      <c r="E32" s="270">
        <v>3.9590000000000001</v>
      </c>
      <c r="F32" s="269">
        <v>294.036</v>
      </c>
      <c r="G32" s="269">
        <v>34.156999999999996</v>
      </c>
      <c r="H32" s="270">
        <v>0.44800000000000001</v>
      </c>
      <c r="I32" s="269">
        <v>7.2489999999999997</v>
      </c>
      <c r="J32" s="269">
        <v>41.853999999999999</v>
      </c>
      <c r="K32" s="270">
        <v>6.2060000000000004</v>
      </c>
      <c r="L32" s="269">
        <v>48.06</v>
      </c>
      <c r="M32" s="269">
        <v>245.976</v>
      </c>
    </row>
    <row r="33" spans="1:13">
      <c r="A33" s="2020"/>
      <c r="B33" s="268" t="s">
        <v>717</v>
      </c>
      <c r="C33" s="269">
        <v>245.976</v>
      </c>
      <c r="D33" s="271"/>
      <c r="E33" s="270">
        <v>1.4730000000000001</v>
      </c>
      <c r="F33" s="269">
        <v>247.44900000000001</v>
      </c>
      <c r="G33" s="269">
        <v>34.219000000000001</v>
      </c>
      <c r="H33" s="270">
        <v>0.51200000000000001</v>
      </c>
      <c r="I33" s="269">
        <v>15.346</v>
      </c>
      <c r="J33" s="269">
        <v>50.076999999999998</v>
      </c>
      <c r="K33" s="270">
        <v>6.6909999999999998</v>
      </c>
      <c r="L33" s="269">
        <v>56.768000000000001</v>
      </c>
      <c r="M33" s="269">
        <v>190.68100000000001</v>
      </c>
    </row>
    <row r="34" spans="1:13">
      <c r="A34" s="2020"/>
      <c r="B34" s="268" t="s">
        <v>718</v>
      </c>
      <c r="C34" s="269">
        <v>190.68100000000001</v>
      </c>
      <c r="D34" s="271"/>
      <c r="E34" s="270">
        <v>1.69</v>
      </c>
      <c r="F34" s="269">
        <v>192.37100000000001</v>
      </c>
      <c r="G34" s="269">
        <v>41.543999999999997</v>
      </c>
      <c r="H34" s="270">
        <v>5.4409999999999998</v>
      </c>
      <c r="I34" s="269">
        <v>8.9960000000000004</v>
      </c>
      <c r="J34" s="269">
        <v>55.981000000000002</v>
      </c>
      <c r="K34" s="270">
        <v>7.9729999999999999</v>
      </c>
      <c r="L34" s="269">
        <v>63.954000000000001</v>
      </c>
      <c r="M34" s="269">
        <v>128.417</v>
      </c>
    </row>
    <row r="35" spans="1:13">
      <c r="A35" s="2020"/>
      <c r="B35" s="268" t="s">
        <v>719</v>
      </c>
      <c r="C35" s="269">
        <v>120.30800000000001</v>
      </c>
      <c r="D35" s="269">
        <v>279.74299999999999</v>
      </c>
      <c r="E35" s="270">
        <v>12.122</v>
      </c>
      <c r="F35" s="269">
        <v>412.173</v>
      </c>
      <c r="G35" s="269">
        <v>151.40299999999996</v>
      </c>
      <c r="H35" s="270">
        <v>6.4009999999999998</v>
      </c>
      <c r="I35" s="269">
        <v>102.702</v>
      </c>
      <c r="J35" s="269">
        <v>260.50599999999997</v>
      </c>
      <c r="K35" s="270">
        <v>23.25</v>
      </c>
      <c r="L35" s="269">
        <v>283.75599999999997</v>
      </c>
      <c r="M35" s="269">
        <v>128.417</v>
      </c>
    </row>
    <row r="36" spans="1:13">
      <c r="A36" s="2020"/>
      <c r="B36" s="268"/>
      <c r="C36" s="271"/>
      <c r="D36" s="271"/>
      <c r="E36" s="271"/>
      <c r="F36" s="271"/>
      <c r="G36" s="271"/>
      <c r="H36" s="271"/>
      <c r="I36" s="271"/>
      <c r="J36" s="271"/>
      <c r="K36" s="271"/>
      <c r="L36" s="271"/>
      <c r="M36" s="271"/>
    </row>
    <row r="37" spans="1:13">
      <c r="A37" s="2019" t="s">
        <v>434</v>
      </c>
      <c r="B37" s="268" t="s">
        <v>649</v>
      </c>
      <c r="C37" s="269">
        <v>128.417</v>
      </c>
      <c r="D37" s="269">
        <v>211.89599999999999</v>
      </c>
      <c r="E37" s="270">
        <v>1.637</v>
      </c>
      <c r="F37" s="269">
        <v>341.95</v>
      </c>
      <c r="G37" s="269">
        <v>43.329000000000001</v>
      </c>
      <c r="H37" s="271"/>
      <c r="I37" s="269">
        <v>33.994999999999997</v>
      </c>
      <c r="J37" s="269">
        <v>77.323999999999998</v>
      </c>
      <c r="K37" s="270">
        <v>9.7149999999999999</v>
      </c>
      <c r="L37" s="269">
        <v>87.039000000000001</v>
      </c>
      <c r="M37" s="269">
        <v>254.911</v>
      </c>
    </row>
    <row r="38" spans="1:13">
      <c r="A38" s="2020"/>
      <c r="B38" s="268" t="s">
        <v>650</v>
      </c>
      <c r="C38" s="269">
        <v>254.911</v>
      </c>
      <c r="D38" s="271"/>
      <c r="E38" s="270">
        <v>0.93100000000000005</v>
      </c>
      <c r="F38" s="269">
        <v>255.84200000000001</v>
      </c>
      <c r="G38" s="269">
        <v>36.106999999999999</v>
      </c>
      <c r="H38" s="270">
        <v>0.4</v>
      </c>
      <c r="I38" s="269">
        <v>-1.153</v>
      </c>
      <c r="J38" s="269">
        <v>35.353999999999999</v>
      </c>
      <c r="K38" s="270">
        <v>12.503</v>
      </c>
      <c r="L38" s="269">
        <v>47.856999999999999</v>
      </c>
      <c r="M38" s="269">
        <v>207.98500000000001</v>
      </c>
    </row>
    <row r="39" spans="1:13">
      <c r="A39" s="2020"/>
      <c r="B39" s="268" t="s">
        <v>717</v>
      </c>
      <c r="C39" s="269">
        <v>207.98500000000001</v>
      </c>
      <c r="D39" s="271"/>
      <c r="E39" s="270">
        <v>1.2</v>
      </c>
      <c r="F39" s="269">
        <v>209.185</v>
      </c>
      <c r="G39" s="269">
        <v>36.213000000000001</v>
      </c>
      <c r="H39" s="270">
        <v>0.45800000000000002</v>
      </c>
      <c r="I39" s="269">
        <v>4.78</v>
      </c>
      <c r="J39" s="269">
        <v>41.451000000000001</v>
      </c>
      <c r="K39" s="270">
        <v>0.98</v>
      </c>
      <c r="L39" s="269">
        <v>42.430999999999997</v>
      </c>
      <c r="M39" s="269">
        <v>166.75399999999999</v>
      </c>
    </row>
    <row r="40" spans="1:13">
      <c r="A40" s="2020"/>
      <c r="B40" s="268" t="s">
        <v>718</v>
      </c>
      <c r="C40" s="269">
        <v>166.75399999999999</v>
      </c>
      <c r="D40" s="271"/>
      <c r="E40" s="270">
        <v>1.5980000000000001</v>
      </c>
      <c r="F40" s="269">
        <v>168.352</v>
      </c>
      <c r="G40" s="269">
        <v>41.03</v>
      </c>
      <c r="H40" s="270">
        <v>4.8620000000000001</v>
      </c>
      <c r="I40" s="269">
        <v>9.9139999999999997</v>
      </c>
      <c r="J40" s="269">
        <v>55.805999999999997</v>
      </c>
      <c r="K40" s="270">
        <v>4.6150000000000002</v>
      </c>
      <c r="L40" s="269">
        <v>60.420999999999999</v>
      </c>
      <c r="M40" s="269">
        <v>107.931</v>
      </c>
    </row>
    <row r="41" spans="1:13">
      <c r="A41" s="2020"/>
      <c r="B41" s="268" t="s">
        <v>719</v>
      </c>
      <c r="C41" s="269">
        <v>128.417</v>
      </c>
      <c r="D41" s="269">
        <v>211.89599999999999</v>
      </c>
      <c r="E41" s="270">
        <v>5.3659999999999997</v>
      </c>
      <c r="F41" s="269">
        <v>345.67899999999997</v>
      </c>
      <c r="G41" s="269">
        <v>156.679</v>
      </c>
      <c r="H41" s="270">
        <v>5.7200000000000006</v>
      </c>
      <c r="I41" s="269">
        <v>47.536000000000001</v>
      </c>
      <c r="J41" s="269">
        <v>209.935</v>
      </c>
      <c r="K41" s="270">
        <v>27.813000000000002</v>
      </c>
      <c r="L41" s="269">
        <v>237.74799999999999</v>
      </c>
      <c r="M41" s="269">
        <v>107.931</v>
      </c>
    </row>
    <row r="42" spans="1:13">
      <c r="A42" s="2020"/>
      <c r="B42" s="268"/>
      <c r="C42" s="271"/>
      <c r="D42" s="271"/>
      <c r="E42" s="271"/>
      <c r="F42" s="271"/>
      <c r="G42" s="271"/>
      <c r="H42" s="271"/>
      <c r="I42" s="271"/>
      <c r="J42" s="271"/>
      <c r="K42" s="271"/>
      <c r="L42" s="271"/>
      <c r="M42" s="271"/>
    </row>
    <row r="43" spans="1:13">
      <c r="A43" s="2019" t="s">
        <v>730</v>
      </c>
      <c r="B43" s="268" t="s">
        <v>649</v>
      </c>
      <c r="C43" s="269">
        <v>107.931</v>
      </c>
      <c r="D43" s="269">
        <v>180.16499999999999</v>
      </c>
      <c r="E43" s="270">
        <v>1.1910000000000001</v>
      </c>
      <c r="F43" s="269">
        <v>289.28699999999998</v>
      </c>
      <c r="G43" s="269">
        <v>40.567</v>
      </c>
      <c r="H43" s="271"/>
      <c r="I43" s="269">
        <v>34.261000000000003</v>
      </c>
      <c r="J43" s="269">
        <v>74.828000000000003</v>
      </c>
      <c r="K43" s="270">
        <v>1.67</v>
      </c>
      <c r="L43" s="269">
        <v>76.498000000000005</v>
      </c>
      <c r="M43" s="269">
        <v>212.78899999999999</v>
      </c>
    </row>
    <row r="44" spans="1:13">
      <c r="A44" s="2020"/>
      <c r="B44" s="268" t="s">
        <v>650</v>
      </c>
      <c r="C44" s="269">
        <v>212.78899999999999</v>
      </c>
      <c r="D44" s="271"/>
      <c r="E44" s="270">
        <v>3.754</v>
      </c>
      <c r="F44" s="269">
        <v>216.54299999999998</v>
      </c>
      <c r="G44" s="269">
        <v>35.454000000000001</v>
      </c>
      <c r="H44" s="270">
        <v>0.46</v>
      </c>
      <c r="I44" s="269">
        <v>-0.90400000000000003</v>
      </c>
      <c r="J44" s="269">
        <v>35.01</v>
      </c>
      <c r="K44" s="270">
        <v>8.7119999999999997</v>
      </c>
      <c r="L44" s="269">
        <v>43.722000000000001</v>
      </c>
      <c r="M44" s="269">
        <v>172.821</v>
      </c>
    </row>
    <row r="45" spans="1:13">
      <c r="A45" s="2020"/>
      <c r="B45" s="268" t="s">
        <v>717</v>
      </c>
      <c r="C45" s="269">
        <v>172.821</v>
      </c>
      <c r="D45" s="271"/>
      <c r="E45" s="270">
        <v>3.0270000000000001</v>
      </c>
      <c r="F45" s="269">
        <v>175.84799999999998</v>
      </c>
      <c r="G45" s="269">
        <v>36.642000000000003</v>
      </c>
      <c r="H45" s="270">
        <v>0.52600000000000002</v>
      </c>
      <c r="I45" s="269">
        <v>13.634</v>
      </c>
      <c r="J45" s="269">
        <v>50.802</v>
      </c>
      <c r="K45" s="270">
        <v>7.98</v>
      </c>
      <c r="L45" s="269">
        <v>58.781999999999996</v>
      </c>
      <c r="M45" s="269">
        <v>117.066</v>
      </c>
    </row>
    <row r="46" spans="1:13">
      <c r="A46" s="2020"/>
      <c r="B46" s="268" t="s">
        <v>718</v>
      </c>
      <c r="C46" s="269">
        <v>117.066</v>
      </c>
      <c r="D46" s="271"/>
      <c r="E46" s="270">
        <v>4.1319999999999997</v>
      </c>
      <c r="F46" s="269">
        <v>121.19800000000001</v>
      </c>
      <c r="G46" s="269">
        <v>42.652000000000001</v>
      </c>
      <c r="H46" s="270">
        <v>5.5830000000000002</v>
      </c>
      <c r="I46" s="269">
        <v>2.1859999999999999</v>
      </c>
      <c r="J46" s="269">
        <v>50.420999999999999</v>
      </c>
      <c r="K46" s="270">
        <v>1.897</v>
      </c>
      <c r="L46" s="269">
        <v>52.317999999999998</v>
      </c>
      <c r="M46" s="269">
        <v>68.88</v>
      </c>
    </row>
    <row r="47" spans="1:13">
      <c r="A47" s="2020"/>
      <c r="B47" s="268" t="s">
        <v>719</v>
      </c>
      <c r="C47" s="269">
        <v>107.931</v>
      </c>
      <c r="D47" s="269">
        <v>180.16499999999999</v>
      </c>
      <c r="E47" s="270">
        <v>12.103999999999999</v>
      </c>
      <c r="F47" s="269">
        <v>300.2</v>
      </c>
      <c r="G47" s="269">
        <v>155.315</v>
      </c>
      <c r="H47" s="270">
        <v>6.569</v>
      </c>
      <c r="I47" s="269">
        <v>49.177</v>
      </c>
      <c r="J47" s="269">
        <v>211.06099999999998</v>
      </c>
      <c r="K47" s="270">
        <v>20.259</v>
      </c>
      <c r="L47" s="269">
        <v>231.32</v>
      </c>
      <c r="M47" s="269">
        <v>68.88</v>
      </c>
    </row>
    <row r="48" spans="1:13">
      <c r="A48" s="2020"/>
      <c r="B48" s="268"/>
      <c r="C48" s="271"/>
      <c r="D48" s="271"/>
      <c r="E48" s="271"/>
      <c r="F48" s="271"/>
      <c r="G48" s="271"/>
      <c r="H48" s="271"/>
      <c r="I48" s="271"/>
      <c r="J48" s="271"/>
      <c r="K48" s="271"/>
      <c r="L48" s="271"/>
      <c r="M48" s="271"/>
    </row>
    <row r="49" spans="1:13">
      <c r="A49" s="2019" t="s">
        <v>739</v>
      </c>
      <c r="B49" s="268" t="s">
        <v>649</v>
      </c>
      <c r="C49" s="269">
        <v>68.88</v>
      </c>
      <c r="D49" s="269">
        <v>210.11</v>
      </c>
      <c r="E49" s="270">
        <v>4.0190000000000001</v>
      </c>
      <c r="F49" s="269">
        <v>283.00900000000001</v>
      </c>
      <c r="G49" s="269">
        <v>45.085000000000001</v>
      </c>
      <c r="H49" s="271"/>
      <c r="I49" s="269">
        <v>47.542999999999999</v>
      </c>
      <c r="J49" s="269">
        <v>92.628</v>
      </c>
      <c r="K49" s="270">
        <v>1.6859999999999999</v>
      </c>
      <c r="L49" s="269">
        <v>94.313999999999993</v>
      </c>
      <c r="M49" s="269">
        <v>188.69499999999999</v>
      </c>
    </row>
    <row r="50" spans="1:13">
      <c r="A50" s="2020"/>
      <c r="B50" s="268" t="s">
        <v>650</v>
      </c>
      <c r="C50" s="269">
        <v>188.69499999999999</v>
      </c>
      <c r="D50" s="271"/>
      <c r="E50" s="270">
        <v>7.6829999999999998</v>
      </c>
      <c r="F50" s="269">
        <v>196.37799999999999</v>
      </c>
      <c r="G50" s="269">
        <v>40.781999999999996</v>
      </c>
      <c r="H50" s="270">
        <v>0.49</v>
      </c>
      <c r="I50" s="269">
        <v>-3.399</v>
      </c>
      <c r="J50" s="269">
        <v>37.872999999999998</v>
      </c>
      <c r="K50" s="270">
        <v>22.727</v>
      </c>
      <c r="L50" s="269">
        <v>60.6</v>
      </c>
      <c r="M50" s="269">
        <v>135.77799999999999</v>
      </c>
    </row>
    <row r="51" spans="1:13">
      <c r="A51" s="2020"/>
      <c r="B51" s="268" t="s">
        <v>717</v>
      </c>
      <c r="C51" s="269">
        <v>135.77799999999999</v>
      </c>
      <c r="D51" s="271"/>
      <c r="E51" s="270">
        <v>8.6609999999999996</v>
      </c>
      <c r="F51" s="269">
        <v>144.43899999999999</v>
      </c>
      <c r="G51" s="269">
        <v>40</v>
      </c>
      <c r="H51" s="270">
        <v>0.56000000000000005</v>
      </c>
      <c r="I51" s="269">
        <v>-15.711</v>
      </c>
      <c r="J51" s="269">
        <v>24.849</v>
      </c>
      <c r="K51" s="270">
        <v>9.1660000000000004</v>
      </c>
      <c r="L51" s="269">
        <v>34.015000000000001</v>
      </c>
      <c r="M51" s="269">
        <v>110.42400000000001</v>
      </c>
    </row>
    <row r="52" spans="1:13">
      <c r="A52" s="2020"/>
      <c r="B52" s="268" t="s">
        <v>718</v>
      </c>
      <c r="C52" s="269">
        <v>110.42400000000001</v>
      </c>
      <c r="D52" s="271"/>
      <c r="E52" s="270">
        <v>8.8680000000000003</v>
      </c>
      <c r="F52" s="269">
        <v>119.292</v>
      </c>
      <c r="G52" s="269">
        <v>35.700000000000003</v>
      </c>
      <c r="H52" s="270">
        <v>5.9509999999999996</v>
      </c>
      <c r="I52" s="269">
        <v>1.573</v>
      </c>
      <c r="J52" s="269">
        <v>43.223999999999997</v>
      </c>
      <c r="K52" s="270">
        <v>7.8449999999999998</v>
      </c>
      <c r="L52" s="269">
        <v>51.069000000000003</v>
      </c>
      <c r="M52" s="269">
        <v>68.222999999999999</v>
      </c>
    </row>
    <row r="53" spans="1:13">
      <c r="A53" s="2020"/>
      <c r="B53" s="268" t="s">
        <v>719</v>
      </c>
      <c r="C53" s="269">
        <v>68.88</v>
      </c>
      <c r="D53" s="269">
        <v>210.11</v>
      </c>
      <c r="E53" s="270">
        <v>29.231000000000002</v>
      </c>
      <c r="F53" s="269">
        <v>308.221</v>
      </c>
      <c r="G53" s="269">
        <v>161.56700000000001</v>
      </c>
      <c r="H53" s="270">
        <v>7.0009999999999994</v>
      </c>
      <c r="I53" s="269">
        <v>30.006</v>
      </c>
      <c r="J53" s="269">
        <v>198.57399999999998</v>
      </c>
      <c r="K53" s="270">
        <v>41.423999999999999</v>
      </c>
      <c r="L53" s="269">
        <v>239.99799999999999</v>
      </c>
      <c r="M53" s="269">
        <v>68.222999999999999</v>
      </c>
    </row>
    <row r="54" spans="1:13">
      <c r="A54" s="2020"/>
      <c r="B54" s="268"/>
      <c r="C54" s="271"/>
      <c r="D54" s="271"/>
      <c r="E54" s="271"/>
      <c r="F54" s="271"/>
      <c r="G54" s="271"/>
      <c r="H54" s="271"/>
      <c r="I54" s="271"/>
      <c r="J54" s="271"/>
      <c r="K54" s="271"/>
      <c r="L54" s="271"/>
      <c r="M54" s="271"/>
    </row>
    <row r="55" spans="1:13">
      <c r="A55" s="2019" t="s">
        <v>741</v>
      </c>
      <c r="B55" s="268" t="s">
        <v>649</v>
      </c>
      <c r="C55" s="269">
        <v>68.222999999999999</v>
      </c>
      <c r="D55" s="269">
        <v>240.19300000000001</v>
      </c>
      <c r="E55" s="270">
        <v>6.2320000000000002</v>
      </c>
      <c r="F55" s="269">
        <v>314.64800000000002</v>
      </c>
      <c r="G55" s="269">
        <v>42.5</v>
      </c>
      <c r="H55" s="271"/>
      <c r="I55" s="269">
        <v>59.386000000000003</v>
      </c>
      <c r="J55" s="269">
        <v>101.886</v>
      </c>
      <c r="K55" s="270">
        <v>3.343</v>
      </c>
      <c r="L55" s="269">
        <v>105.229</v>
      </c>
      <c r="M55" s="269">
        <v>209.41900000000001</v>
      </c>
    </row>
    <row r="56" spans="1:13">
      <c r="A56" s="2020"/>
      <c r="B56" s="268" t="s">
        <v>650</v>
      </c>
      <c r="C56" s="269">
        <v>209.41900000000001</v>
      </c>
      <c r="D56" s="271"/>
      <c r="E56" s="270">
        <v>9.3260000000000005</v>
      </c>
      <c r="F56" s="269">
        <v>218.745</v>
      </c>
      <c r="G56" s="269">
        <v>42.5</v>
      </c>
      <c r="H56" s="270">
        <v>0.41199999999999998</v>
      </c>
      <c r="I56" s="269">
        <v>-4.21</v>
      </c>
      <c r="J56" s="269">
        <v>38.701999999999998</v>
      </c>
      <c r="K56" s="270">
        <v>7.2270000000000003</v>
      </c>
      <c r="L56" s="269">
        <v>45.929000000000002</v>
      </c>
      <c r="M56" s="269">
        <v>172.816</v>
      </c>
    </row>
    <row r="57" spans="1:13">
      <c r="A57" s="2020"/>
      <c r="B57" s="268" t="s">
        <v>717</v>
      </c>
      <c r="C57" s="269">
        <v>172.816</v>
      </c>
      <c r="D57" s="271"/>
      <c r="E57" s="270">
        <v>7.5640000000000001</v>
      </c>
      <c r="F57" s="269">
        <v>180.38</v>
      </c>
      <c r="G57" s="269">
        <v>42.5</v>
      </c>
      <c r="H57" s="270">
        <v>0.47</v>
      </c>
      <c r="I57" s="269">
        <v>6.8070000000000004</v>
      </c>
      <c r="J57" s="269">
        <v>49.777000000000001</v>
      </c>
      <c r="K57" s="270">
        <v>1.502</v>
      </c>
      <c r="L57" s="269">
        <v>51.279000000000003</v>
      </c>
      <c r="M57" s="269">
        <v>129.101</v>
      </c>
    </row>
    <row r="58" spans="1:13">
      <c r="A58" s="2020"/>
      <c r="B58" s="268" t="s">
        <v>718</v>
      </c>
      <c r="C58" s="269">
        <v>129.101</v>
      </c>
      <c r="D58" s="271"/>
      <c r="E58" s="270">
        <v>5.907</v>
      </c>
      <c r="F58" s="269">
        <v>135.00800000000001</v>
      </c>
      <c r="G58" s="269">
        <v>35.5</v>
      </c>
      <c r="H58" s="270">
        <v>4.9980000000000002</v>
      </c>
      <c r="I58" s="269">
        <v>4.6390000000000002</v>
      </c>
      <c r="J58" s="269">
        <v>45.137</v>
      </c>
      <c r="K58" s="270">
        <v>1.1379999999999999</v>
      </c>
      <c r="L58" s="269">
        <v>46.274999999999999</v>
      </c>
      <c r="M58" s="269">
        <v>88.733000000000004</v>
      </c>
    </row>
    <row r="59" spans="1:13">
      <c r="A59" s="2020"/>
      <c r="B59" s="268" t="s">
        <v>719</v>
      </c>
      <c r="C59" s="269">
        <v>68.222999999999999</v>
      </c>
      <c r="D59" s="269">
        <v>240.19300000000001</v>
      </c>
      <c r="E59" s="270">
        <v>29.029</v>
      </c>
      <c r="F59" s="269">
        <v>337.44500000000005</v>
      </c>
      <c r="G59" s="269">
        <v>163</v>
      </c>
      <c r="H59" s="270">
        <v>5.88</v>
      </c>
      <c r="I59" s="269">
        <v>66.622</v>
      </c>
      <c r="J59" s="269">
        <v>235.50200000000001</v>
      </c>
      <c r="K59" s="270">
        <v>13.21</v>
      </c>
      <c r="L59" s="269">
        <v>248.71200000000002</v>
      </c>
      <c r="M59" s="269">
        <v>88.733000000000004</v>
      </c>
    </row>
    <row r="60" spans="1:13">
      <c r="A60" s="2020"/>
      <c r="B60" s="268"/>
      <c r="C60" s="271"/>
      <c r="D60" s="271"/>
      <c r="E60" s="271"/>
      <c r="F60" s="271"/>
      <c r="G60" s="271"/>
      <c r="H60" s="271"/>
      <c r="I60" s="271"/>
      <c r="J60" s="271"/>
      <c r="K60" s="271"/>
      <c r="L60" s="271"/>
      <c r="M60" s="271"/>
    </row>
    <row r="61" spans="1:13">
      <c r="A61" s="2019" t="s">
        <v>735</v>
      </c>
      <c r="B61" s="268" t="s">
        <v>649</v>
      </c>
      <c r="C61" s="269">
        <v>88.733000000000004</v>
      </c>
      <c r="D61" s="269">
        <v>227.32300000000001</v>
      </c>
      <c r="E61" s="270">
        <v>5.9189999999999996</v>
      </c>
      <c r="F61" s="269">
        <v>321.97500000000002</v>
      </c>
      <c r="G61" s="269">
        <v>42.5</v>
      </c>
      <c r="H61" s="271"/>
      <c r="I61" s="269">
        <v>38.220999999999997</v>
      </c>
      <c r="J61" s="269">
        <v>80.721000000000004</v>
      </c>
      <c r="K61" s="270">
        <v>1.79</v>
      </c>
      <c r="L61" s="269">
        <v>82.510999999999996</v>
      </c>
      <c r="M61" s="269">
        <v>239.464</v>
      </c>
    </row>
    <row r="62" spans="1:13">
      <c r="A62" s="2020"/>
      <c r="B62" s="268" t="s">
        <v>650</v>
      </c>
      <c r="C62" s="269">
        <v>239.464</v>
      </c>
      <c r="D62" s="271"/>
      <c r="E62" s="270">
        <v>4.3140000000000001</v>
      </c>
      <c r="F62" s="269">
        <v>243.77799999999999</v>
      </c>
      <c r="G62" s="269">
        <v>42.567999999999998</v>
      </c>
      <c r="H62" s="270">
        <v>0.35</v>
      </c>
      <c r="I62" s="269">
        <v>-6.6559999999999997</v>
      </c>
      <c r="J62" s="269">
        <v>36.262</v>
      </c>
      <c r="K62" s="270">
        <v>1.127</v>
      </c>
      <c r="L62" s="269">
        <v>37.389000000000003</v>
      </c>
      <c r="M62" s="269">
        <v>206.38900000000001</v>
      </c>
    </row>
    <row r="63" spans="1:13">
      <c r="A63" s="2020"/>
      <c r="B63" s="268" t="s">
        <v>717</v>
      </c>
      <c r="C63" s="269">
        <v>206.38900000000001</v>
      </c>
      <c r="D63" s="271"/>
      <c r="E63" s="270">
        <v>2.7869999999999999</v>
      </c>
      <c r="F63" s="269">
        <v>209.17600000000002</v>
      </c>
      <c r="G63" s="269">
        <v>40.514000000000003</v>
      </c>
      <c r="H63" s="270">
        <v>0.4</v>
      </c>
      <c r="I63" s="269">
        <v>9.6170000000000009</v>
      </c>
      <c r="J63" s="269">
        <v>50.530999999999999</v>
      </c>
      <c r="K63" s="270">
        <v>1.29</v>
      </c>
      <c r="L63" s="269">
        <v>51.820999999999998</v>
      </c>
      <c r="M63" s="269">
        <v>157.35499999999999</v>
      </c>
    </row>
    <row r="64" spans="1:13">
      <c r="A64" s="2020"/>
      <c r="B64" s="268" t="s">
        <v>718</v>
      </c>
      <c r="C64" s="269">
        <v>157.35499999999999</v>
      </c>
      <c r="D64" s="271"/>
      <c r="E64" s="270">
        <v>3.5760000000000001</v>
      </c>
      <c r="F64" s="269">
        <v>160.93099999999998</v>
      </c>
      <c r="G64" s="269">
        <v>33.146000000000001</v>
      </c>
      <c r="H64" s="270">
        <v>4.2450000000000001</v>
      </c>
      <c r="I64" s="269">
        <v>6.5869999999999997</v>
      </c>
      <c r="J64" s="269">
        <v>43.978000000000002</v>
      </c>
      <c r="K64" s="270">
        <v>1.454</v>
      </c>
      <c r="L64" s="269">
        <v>45.432000000000002</v>
      </c>
      <c r="M64" s="269">
        <v>115.499</v>
      </c>
    </row>
    <row r="65" spans="1:13">
      <c r="A65" s="2020"/>
      <c r="B65" s="268" t="s">
        <v>719</v>
      </c>
      <c r="C65" s="269">
        <v>88.733000000000004</v>
      </c>
      <c r="D65" s="269">
        <v>227.32300000000001</v>
      </c>
      <c r="E65" s="270">
        <v>16.596</v>
      </c>
      <c r="F65" s="269">
        <v>332.65200000000004</v>
      </c>
      <c r="G65" s="269">
        <v>158.72800000000001</v>
      </c>
      <c r="H65" s="270">
        <v>4.9950000000000001</v>
      </c>
      <c r="I65" s="269">
        <v>47.769000000000005</v>
      </c>
      <c r="J65" s="269">
        <v>211.49200000000002</v>
      </c>
      <c r="K65" s="270">
        <v>5.6609999999999996</v>
      </c>
      <c r="L65" s="269">
        <v>217.15300000000002</v>
      </c>
      <c r="M65" s="269">
        <v>115.499</v>
      </c>
    </row>
    <row r="66" spans="1:13">
      <c r="A66" s="2020"/>
      <c r="B66" s="268"/>
      <c r="C66" s="271"/>
      <c r="D66" s="271"/>
      <c r="E66" s="271"/>
      <c r="F66" s="271"/>
      <c r="G66" s="271"/>
      <c r="H66" s="271"/>
      <c r="I66" s="271"/>
      <c r="J66" s="271"/>
      <c r="K66" s="271"/>
      <c r="L66" s="271"/>
      <c r="M66" s="271"/>
    </row>
    <row r="67" spans="1:13">
      <c r="A67" s="2019" t="s">
        <v>737</v>
      </c>
      <c r="B67" s="268" t="s">
        <v>649</v>
      </c>
      <c r="C67" s="269">
        <v>115.499</v>
      </c>
      <c r="D67" s="269">
        <v>180.268</v>
      </c>
      <c r="E67" s="270">
        <v>3.4159999999999999</v>
      </c>
      <c r="F67" s="269">
        <v>299.18299999999999</v>
      </c>
      <c r="G67" s="269">
        <v>41.5</v>
      </c>
      <c r="H67" s="271"/>
      <c r="I67" s="269">
        <v>33.21</v>
      </c>
      <c r="J67" s="269">
        <v>74.709999999999994</v>
      </c>
      <c r="K67" s="270">
        <v>0.58499999999999996</v>
      </c>
      <c r="L67" s="269">
        <v>75.295000000000002</v>
      </c>
      <c r="M67" s="269">
        <v>223.88800000000001</v>
      </c>
    </row>
    <row r="68" spans="1:13">
      <c r="A68" s="2020"/>
      <c r="B68" s="268" t="s">
        <v>650</v>
      </c>
      <c r="C68" s="269">
        <v>223.88800000000001</v>
      </c>
      <c r="D68" s="271"/>
      <c r="E68" s="270">
        <v>2.8730000000000002</v>
      </c>
      <c r="F68" s="269">
        <v>226.761</v>
      </c>
      <c r="G68" s="269">
        <v>40</v>
      </c>
      <c r="H68" s="270">
        <v>0.33500000000000002</v>
      </c>
      <c r="I68" s="269">
        <v>1.534</v>
      </c>
      <c r="J68" s="269">
        <v>41.869</v>
      </c>
      <c r="K68" s="270">
        <v>4.5119999999999996</v>
      </c>
      <c r="L68" s="269">
        <v>46.381</v>
      </c>
      <c r="M68" s="269">
        <v>180.38</v>
      </c>
    </row>
    <row r="69" spans="1:13">
      <c r="A69" s="2020"/>
      <c r="B69" s="268" t="s">
        <v>717</v>
      </c>
      <c r="C69" s="269">
        <v>180.38</v>
      </c>
      <c r="D69" s="271"/>
      <c r="E69" s="270">
        <v>1.6140000000000001</v>
      </c>
      <c r="F69" s="269">
        <v>181.994</v>
      </c>
      <c r="G69" s="269">
        <v>35</v>
      </c>
      <c r="H69" s="270">
        <v>0.38300000000000001</v>
      </c>
      <c r="I69" s="269">
        <v>7.1479999999999997</v>
      </c>
      <c r="J69" s="269">
        <v>42.530999999999999</v>
      </c>
      <c r="K69" s="270">
        <v>1.339</v>
      </c>
      <c r="L69" s="269">
        <v>43.87</v>
      </c>
      <c r="M69" s="269">
        <v>138.124</v>
      </c>
    </row>
    <row r="70" spans="1:13">
      <c r="A70" s="2020"/>
      <c r="B70" s="268" t="s">
        <v>718</v>
      </c>
      <c r="C70" s="269">
        <v>138.124</v>
      </c>
      <c r="D70" s="271"/>
      <c r="E70" s="270">
        <v>1.591</v>
      </c>
      <c r="F70" s="269">
        <v>139.715</v>
      </c>
      <c r="G70" s="269">
        <v>37.228000000000002</v>
      </c>
      <c r="H70" s="270">
        <v>4.0720000000000001</v>
      </c>
      <c r="I70" s="269">
        <v>7.9219999999999997</v>
      </c>
      <c r="J70" s="269">
        <v>49.222000000000001</v>
      </c>
      <c r="K70" s="270">
        <v>1.1419999999999999</v>
      </c>
      <c r="L70" s="269">
        <v>50.363999999999997</v>
      </c>
      <c r="M70" s="269">
        <v>89.350999999999999</v>
      </c>
    </row>
    <row r="71" spans="1:13">
      <c r="A71" s="2020"/>
      <c r="B71" s="268" t="s">
        <v>719</v>
      </c>
      <c r="C71" s="269">
        <v>115.499</v>
      </c>
      <c r="D71" s="269">
        <v>180.268</v>
      </c>
      <c r="E71" s="270">
        <v>9.4939999999999998</v>
      </c>
      <c r="F71" s="269">
        <v>305.26099999999997</v>
      </c>
      <c r="G71" s="269">
        <v>153.72800000000001</v>
      </c>
      <c r="H71" s="270">
        <v>4.79</v>
      </c>
      <c r="I71" s="269">
        <v>49.813999999999993</v>
      </c>
      <c r="J71" s="269">
        <v>208.33199999999999</v>
      </c>
      <c r="K71" s="270">
        <v>7.5779999999999994</v>
      </c>
      <c r="L71" s="269">
        <v>215.91</v>
      </c>
      <c r="M71" s="269">
        <v>89.350999999999999</v>
      </c>
    </row>
    <row r="72" spans="1:13">
      <c r="A72" s="2020"/>
      <c r="B72" s="268"/>
      <c r="C72" s="271"/>
      <c r="D72" s="271"/>
      <c r="E72" s="271"/>
      <c r="F72" s="271"/>
      <c r="G72" s="271"/>
      <c r="H72" s="271"/>
      <c r="I72" s="271"/>
      <c r="J72" s="271"/>
      <c r="K72" s="271"/>
      <c r="L72" s="271"/>
      <c r="M72" s="271"/>
    </row>
    <row r="73" spans="1:13">
      <c r="A73" s="2019" t="s">
        <v>738</v>
      </c>
      <c r="B73" s="268" t="s">
        <v>649</v>
      </c>
      <c r="C73" s="269">
        <v>89.350999999999999</v>
      </c>
      <c r="D73" s="269">
        <v>155.78</v>
      </c>
      <c r="E73" s="270">
        <v>0.94099999999999995</v>
      </c>
      <c r="F73" s="269">
        <v>246.072</v>
      </c>
      <c r="G73" s="269">
        <v>41.4</v>
      </c>
      <c r="H73" s="271"/>
      <c r="I73" s="269">
        <v>26.123000000000001</v>
      </c>
      <c r="J73" s="269">
        <v>67.522999999999996</v>
      </c>
      <c r="K73" s="270">
        <v>3.492</v>
      </c>
      <c r="L73" s="269">
        <v>71.015000000000001</v>
      </c>
      <c r="M73" s="269">
        <v>175.05699999999999</v>
      </c>
    </row>
    <row r="74" spans="1:13">
      <c r="A74" s="2020"/>
      <c r="B74" s="268" t="s">
        <v>650</v>
      </c>
      <c r="C74" s="269">
        <v>175.05699999999999</v>
      </c>
      <c r="D74" s="271"/>
      <c r="E74" s="270">
        <v>3.51</v>
      </c>
      <c r="F74" s="269">
        <v>178.56699999999998</v>
      </c>
      <c r="G74" s="269">
        <v>38.1</v>
      </c>
      <c r="H74" s="270">
        <v>0.439</v>
      </c>
      <c r="I74" s="269">
        <v>-2.1240000000000001</v>
      </c>
      <c r="J74" s="269">
        <v>36.414999999999999</v>
      </c>
      <c r="K74" s="270">
        <v>3.2109999999999999</v>
      </c>
      <c r="L74" s="269">
        <v>39.625999999999998</v>
      </c>
      <c r="M74" s="269">
        <v>138.941</v>
      </c>
    </row>
    <row r="75" spans="1:13">
      <c r="A75" s="2020"/>
      <c r="B75" s="268" t="s">
        <v>717</v>
      </c>
      <c r="C75" s="269">
        <v>138.941</v>
      </c>
      <c r="D75" s="271"/>
      <c r="E75" s="270">
        <v>6.54</v>
      </c>
      <c r="F75" s="269">
        <v>145.48099999999999</v>
      </c>
      <c r="G75" s="269">
        <v>37.799999999999997</v>
      </c>
      <c r="H75" s="270">
        <v>0.502</v>
      </c>
      <c r="I75" s="269">
        <v>12.441000000000001</v>
      </c>
      <c r="J75" s="269">
        <v>50.743000000000002</v>
      </c>
      <c r="K75" s="270">
        <v>1.01</v>
      </c>
      <c r="L75" s="269">
        <v>51.753</v>
      </c>
      <c r="M75" s="269">
        <v>93.727999999999994</v>
      </c>
    </row>
    <row r="76" spans="1:13">
      <c r="A76" s="2020"/>
      <c r="B76" s="268" t="s">
        <v>718</v>
      </c>
      <c r="C76" s="269">
        <v>93.727999999999994</v>
      </c>
      <c r="D76" s="271"/>
      <c r="E76" s="270">
        <v>5.2649999999999997</v>
      </c>
      <c r="F76" s="269">
        <v>98.992999999999995</v>
      </c>
      <c r="G76" s="269">
        <v>31.428000000000001</v>
      </c>
      <c r="H76" s="270">
        <v>5.3310000000000004</v>
      </c>
      <c r="I76" s="269">
        <v>1.125</v>
      </c>
      <c r="J76" s="269">
        <v>37.884</v>
      </c>
      <c r="K76" s="270">
        <v>1.1220000000000001</v>
      </c>
      <c r="L76" s="269">
        <v>39.006</v>
      </c>
      <c r="M76" s="269">
        <v>59.987000000000002</v>
      </c>
    </row>
    <row r="77" spans="1:13">
      <c r="A77" s="2020"/>
      <c r="B77" s="268" t="s">
        <v>719</v>
      </c>
      <c r="C77" s="269">
        <v>89.350999999999999</v>
      </c>
      <c r="D77" s="269">
        <v>155.78</v>
      </c>
      <c r="E77" s="270">
        <v>16.256</v>
      </c>
      <c r="F77" s="269">
        <v>261.387</v>
      </c>
      <c r="G77" s="269">
        <v>148.72800000000001</v>
      </c>
      <c r="H77" s="270">
        <v>6.2720000000000002</v>
      </c>
      <c r="I77" s="269">
        <v>37.565000000000005</v>
      </c>
      <c r="J77" s="269">
        <v>192.565</v>
      </c>
      <c r="K77" s="270">
        <v>8.8349999999999991</v>
      </c>
      <c r="L77" s="269">
        <v>201.4</v>
      </c>
      <c r="M77" s="269">
        <v>59.987000000000002</v>
      </c>
    </row>
    <row r="78" spans="1:13">
      <c r="A78" s="2020"/>
      <c r="B78" s="268"/>
      <c r="C78" s="271"/>
      <c r="D78" s="271"/>
      <c r="E78" s="271"/>
      <c r="F78" s="271"/>
      <c r="G78" s="271"/>
      <c r="H78" s="271"/>
      <c r="I78" s="271"/>
      <c r="J78" s="271"/>
      <c r="K78" s="271"/>
      <c r="L78" s="271"/>
      <c r="M78" s="271"/>
    </row>
    <row r="79" spans="1:13">
      <c r="A79" s="2019" t="s">
        <v>742</v>
      </c>
      <c r="B79" s="268" t="s">
        <v>649</v>
      </c>
      <c r="C79" s="269">
        <v>59.987000000000002</v>
      </c>
      <c r="D79" s="269">
        <v>220.28399999999999</v>
      </c>
      <c r="E79" s="270">
        <v>4.7</v>
      </c>
      <c r="F79" s="269">
        <v>284.971</v>
      </c>
      <c r="G79" s="269">
        <v>39.799999999999997</v>
      </c>
      <c r="H79" s="271"/>
      <c r="I79" s="269">
        <v>46.78</v>
      </c>
      <c r="J79" s="269">
        <v>86.58</v>
      </c>
      <c r="K79" s="270">
        <v>1.5</v>
      </c>
      <c r="L79" s="269">
        <v>88.08</v>
      </c>
      <c r="M79" s="269">
        <v>196.89099999999999</v>
      </c>
    </row>
    <row r="80" spans="1:13">
      <c r="A80" s="2020"/>
      <c r="B80" s="268" t="s">
        <v>719</v>
      </c>
      <c r="C80" s="269">
        <v>59.987000000000002</v>
      </c>
      <c r="D80" s="269">
        <v>220.28399999999999</v>
      </c>
      <c r="E80" s="270">
        <v>20</v>
      </c>
      <c r="F80" s="269">
        <v>300.27100000000002</v>
      </c>
      <c r="G80" s="269">
        <v>148.69999999999999</v>
      </c>
      <c r="H80" s="270">
        <v>6.3000000000000007</v>
      </c>
      <c r="I80" s="269">
        <v>55</v>
      </c>
      <c r="J80" s="269">
        <v>210</v>
      </c>
      <c r="K80" s="270">
        <v>9.9999999999999982</v>
      </c>
      <c r="L80" s="269">
        <v>219.99999999999997</v>
      </c>
      <c r="M80" s="269">
        <v>80.271000000000001</v>
      </c>
    </row>
    <row r="81" spans="1:13">
      <c r="A81" s="2021"/>
      <c r="B81" s="272"/>
      <c r="C81" s="273"/>
      <c r="D81" s="273"/>
      <c r="E81" s="273"/>
      <c r="F81" s="273"/>
      <c r="G81" s="273"/>
      <c r="H81" s="273"/>
      <c r="I81" s="273"/>
      <c r="J81" s="273"/>
      <c r="K81" s="273"/>
      <c r="L81" s="273"/>
      <c r="M81" s="273"/>
    </row>
    <row r="82" spans="1:13">
      <c r="A82" s="2038" t="s">
        <v>318</v>
      </c>
      <c r="B82" s="2020"/>
      <c r="C82" s="2020"/>
      <c r="D82" s="2020"/>
      <c r="E82" s="2020"/>
      <c r="F82" s="2020"/>
      <c r="G82" s="2020"/>
      <c r="H82" s="2020"/>
      <c r="I82" s="2020"/>
      <c r="J82" s="2020"/>
      <c r="K82" s="2020"/>
      <c r="L82" s="2020"/>
      <c r="M82" s="2020"/>
    </row>
    <row r="83" spans="1:13">
      <c r="A83" s="2046" t="s">
        <v>507</v>
      </c>
      <c r="B83" s="2020"/>
      <c r="C83" s="2020"/>
      <c r="D83" s="2020"/>
      <c r="E83" s="2020"/>
      <c r="F83" s="2020"/>
      <c r="G83" s="2020"/>
      <c r="H83" s="2020"/>
      <c r="I83" s="2020"/>
      <c r="J83" s="2020"/>
      <c r="K83" s="2020"/>
      <c r="L83" s="2020"/>
      <c r="M83" s="2020"/>
    </row>
  </sheetData>
  <mergeCells count="29">
    <mergeCell ref="O3:AA3"/>
    <mergeCell ref="O4:P6"/>
    <mergeCell ref="Q4:T4"/>
    <mergeCell ref="U4:Z4"/>
    <mergeCell ref="U5:X5"/>
    <mergeCell ref="Y5:Z5"/>
    <mergeCell ref="Q5:T5"/>
    <mergeCell ref="A73:A78"/>
    <mergeCell ref="A79:A81"/>
    <mergeCell ref="A82:M82"/>
    <mergeCell ref="A83:M83"/>
    <mergeCell ref="A37:A42"/>
    <mergeCell ref="A43:A48"/>
    <mergeCell ref="A49:A54"/>
    <mergeCell ref="A55:A60"/>
    <mergeCell ref="A61:A66"/>
    <mergeCell ref="A67:A72"/>
    <mergeCell ref="A7:A12"/>
    <mergeCell ref="A13:A18"/>
    <mergeCell ref="A19:A24"/>
    <mergeCell ref="A25:A30"/>
    <mergeCell ref="A31:A36"/>
    <mergeCell ref="A3:M3"/>
    <mergeCell ref="A4:B6"/>
    <mergeCell ref="C4:F4"/>
    <mergeCell ref="G4:L4"/>
    <mergeCell ref="C5:F5"/>
    <mergeCell ref="G5:J5"/>
    <mergeCell ref="K5:L5"/>
  </mergeCells>
  <phoneticPr fontId="107" type="noConversion"/>
  <hyperlinks>
    <hyperlink ref="A2" r:id="rId1" xr:uid="{00000000-0004-0000-0F00-000000000000}"/>
  </hyperlinks>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AA82"/>
  <sheetViews>
    <sheetView topLeftCell="K1" workbookViewId="0">
      <selection activeCell="R22" sqref="R22"/>
    </sheetView>
  </sheetViews>
  <sheetFormatPr baseColWidth="10" defaultColWidth="8.83203125" defaultRowHeight="15"/>
  <cols>
    <col min="16" max="16" width="10.83203125" customWidth="1"/>
  </cols>
  <sheetData>
    <row r="1" spans="1:27" s="274" customFormat="1">
      <c r="A1" s="249" t="s">
        <v>508</v>
      </c>
    </row>
    <row r="2" spans="1:27" s="274" customFormat="1">
      <c r="A2" s="248" t="s">
        <v>501</v>
      </c>
    </row>
    <row r="3" spans="1:27" ht="15" customHeight="1" thickBot="1">
      <c r="A3" s="2038" t="s">
        <v>716</v>
      </c>
      <c r="B3" s="2020"/>
      <c r="C3" s="2020"/>
      <c r="D3" s="2020"/>
      <c r="E3" s="2020"/>
      <c r="F3" s="2020"/>
      <c r="G3" s="2020"/>
      <c r="H3" s="2020"/>
      <c r="I3" s="2020"/>
      <c r="J3" s="2020"/>
      <c r="K3" s="2020"/>
      <c r="L3" s="2020"/>
      <c r="M3" s="2020"/>
      <c r="O3" s="2024" t="s">
        <v>598</v>
      </c>
      <c r="P3" s="2024"/>
      <c r="Q3" s="2024"/>
      <c r="R3" s="2024"/>
      <c r="S3" s="2024"/>
      <c r="T3" s="2024"/>
      <c r="U3" s="2024"/>
      <c r="V3" s="2024"/>
      <c r="W3" s="2024"/>
      <c r="X3" s="2024"/>
      <c r="Y3" s="2024"/>
      <c r="Z3" s="2024"/>
      <c r="AA3" s="2024"/>
    </row>
    <row r="4" spans="1:27" ht="15" customHeight="1">
      <c r="A4" s="2045" t="s">
        <v>599</v>
      </c>
      <c r="B4" s="2040"/>
      <c r="C4" s="2041" t="s">
        <v>600</v>
      </c>
      <c r="D4" s="2040"/>
      <c r="E4" s="2040"/>
      <c r="F4" s="2042"/>
      <c r="G4" s="2041" t="s">
        <v>601</v>
      </c>
      <c r="H4" s="2040"/>
      <c r="I4" s="2040"/>
      <c r="J4" s="2040"/>
      <c r="K4" s="2040"/>
      <c r="L4" s="2042"/>
      <c r="M4" s="275"/>
      <c r="O4" s="2025" t="s">
        <v>602</v>
      </c>
      <c r="P4" s="2026"/>
      <c r="Q4" s="2029" t="s">
        <v>600</v>
      </c>
      <c r="R4" s="2030"/>
      <c r="S4" s="2030"/>
      <c r="T4" s="2031"/>
      <c r="U4" s="2029" t="s">
        <v>601</v>
      </c>
      <c r="V4" s="2030"/>
      <c r="W4" s="2030"/>
      <c r="X4" s="2030"/>
      <c r="Y4" s="2030"/>
      <c r="Z4" s="2031"/>
      <c r="AA4" s="243"/>
    </row>
    <row r="5" spans="1:27" ht="14.5" customHeight="1">
      <c r="A5" s="2020"/>
      <c r="B5" s="2020"/>
      <c r="C5" s="2043"/>
      <c r="D5" s="2020"/>
      <c r="E5" s="2020"/>
      <c r="F5" s="2044"/>
      <c r="G5" s="2041" t="s">
        <v>673</v>
      </c>
      <c r="H5" s="2040"/>
      <c r="I5" s="2040"/>
      <c r="J5" s="2042"/>
      <c r="K5" s="2043"/>
      <c r="L5" s="2044"/>
      <c r="M5" s="276"/>
      <c r="O5" s="2027"/>
      <c r="P5" s="2028"/>
      <c r="Q5" s="2032"/>
      <c r="R5" s="2033"/>
      <c r="S5" s="2033"/>
      <c r="T5" s="2034"/>
      <c r="U5" s="2035" t="s">
        <v>673</v>
      </c>
      <c r="V5" s="2036"/>
      <c r="W5" s="2036"/>
      <c r="X5" s="2037"/>
      <c r="Y5" s="2032"/>
      <c r="Z5" s="2034"/>
      <c r="AA5" s="244"/>
    </row>
    <row r="6" spans="1:27" ht="38" thickBot="1">
      <c r="A6" s="2021"/>
      <c r="B6" s="2021"/>
      <c r="C6" s="277" t="s">
        <v>674</v>
      </c>
      <c r="D6" s="277" t="s">
        <v>675</v>
      </c>
      <c r="E6" s="277" t="s">
        <v>486</v>
      </c>
      <c r="F6" s="277" t="s">
        <v>487</v>
      </c>
      <c r="G6" s="277" t="s">
        <v>488</v>
      </c>
      <c r="H6" s="277" t="s">
        <v>489</v>
      </c>
      <c r="I6" s="277" t="s">
        <v>490</v>
      </c>
      <c r="J6" s="277" t="s">
        <v>365</v>
      </c>
      <c r="K6" s="277" t="s">
        <v>366</v>
      </c>
      <c r="L6" s="277" t="s">
        <v>367</v>
      </c>
      <c r="M6" s="278" t="s">
        <v>368</v>
      </c>
      <c r="O6" s="2027"/>
      <c r="P6" s="2028"/>
      <c r="Q6" s="158" t="s">
        <v>674</v>
      </c>
      <c r="R6" s="158" t="s">
        <v>675</v>
      </c>
      <c r="S6" s="158" t="s">
        <v>486</v>
      </c>
      <c r="T6" s="158" t="s">
        <v>487</v>
      </c>
      <c r="U6" s="158" t="s">
        <v>488</v>
      </c>
      <c r="V6" s="158" t="s">
        <v>489</v>
      </c>
      <c r="W6" s="207" t="s">
        <v>490</v>
      </c>
      <c r="X6" s="158" t="s">
        <v>365</v>
      </c>
      <c r="Y6" s="158" t="s">
        <v>366</v>
      </c>
      <c r="Z6" s="158" t="s">
        <v>367</v>
      </c>
      <c r="AA6" s="159" t="s">
        <v>368</v>
      </c>
    </row>
    <row r="7" spans="1:27">
      <c r="A7" s="2019" t="s">
        <v>543</v>
      </c>
      <c r="B7" s="280" t="s">
        <v>731</v>
      </c>
      <c r="C7" s="281">
        <v>65.375</v>
      </c>
      <c r="D7" s="281">
        <v>470.52600000000001</v>
      </c>
      <c r="E7" s="283"/>
      <c r="F7" s="281">
        <v>535.90100000000007</v>
      </c>
      <c r="G7" s="281">
        <v>16.899999999999999</v>
      </c>
      <c r="H7" s="283"/>
      <c r="I7" s="281">
        <v>194.30699999999999</v>
      </c>
      <c r="J7" s="281">
        <v>211.20699999999999</v>
      </c>
      <c r="K7" s="281">
        <v>62.713000000000001</v>
      </c>
      <c r="L7" s="281">
        <v>273.92</v>
      </c>
      <c r="M7" s="281">
        <v>261.98099999999999</v>
      </c>
      <c r="O7" s="286"/>
      <c r="P7" s="296" t="str">
        <f>A7</f>
        <v>2000/01</v>
      </c>
      <c r="Q7" s="297">
        <f>C11</f>
        <v>65.375</v>
      </c>
      <c r="R7" s="297">
        <f t="shared" ref="R7:AA7" si="0">D11</f>
        <v>470.52600000000001</v>
      </c>
      <c r="S7" s="297">
        <f t="shared" si="0"/>
        <v>2E-3</v>
      </c>
      <c r="T7" s="297">
        <f t="shared" si="0"/>
        <v>535.90300000000002</v>
      </c>
      <c r="U7" s="297">
        <f t="shared" si="0"/>
        <v>33.799999999999997</v>
      </c>
      <c r="V7" s="297">
        <f t="shared" si="0"/>
        <v>1.2730000000000001</v>
      </c>
      <c r="W7" s="298">
        <f t="shared" si="0"/>
        <v>222.49700000000001</v>
      </c>
      <c r="X7" s="297">
        <f t="shared" si="0"/>
        <v>257.57</v>
      </c>
      <c r="Y7" s="297">
        <f t="shared" si="0"/>
        <v>236.58199999999999</v>
      </c>
      <c r="Z7" s="297">
        <f t="shared" si="0"/>
        <v>494.15200000000004</v>
      </c>
      <c r="AA7" s="299">
        <f t="shared" si="0"/>
        <v>41.750999999999998</v>
      </c>
    </row>
    <row r="8" spans="1:27">
      <c r="A8" s="2020"/>
      <c r="B8" s="280" t="s">
        <v>732</v>
      </c>
      <c r="C8" s="281">
        <v>261.98099999999999</v>
      </c>
      <c r="D8" s="283"/>
      <c r="E8" s="283"/>
      <c r="F8" s="281">
        <v>261.98099999999999</v>
      </c>
      <c r="G8" s="281">
        <v>10.9</v>
      </c>
      <c r="H8" s="283"/>
      <c r="I8" s="281">
        <v>15.12</v>
      </c>
      <c r="J8" s="281">
        <v>26.02</v>
      </c>
      <c r="K8" s="281">
        <v>68.834000000000003</v>
      </c>
      <c r="L8" s="281">
        <v>94.853999999999999</v>
      </c>
      <c r="M8" s="281">
        <v>167.12700000000001</v>
      </c>
      <c r="O8" s="245"/>
      <c r="P8" s="241" t="str">
        <f>A13</f>
        <v>2001/02</v>
      </c>
      <c r="Q8" s="242">
        <f t="shared" ref="Q8:AA8" si="1">C17</f>
        <v>41.750999999999998</v>
      </c>
      <c r="R8" s="242">
        <f t="shared" si="1"/>
        <v>514.04</v>
      </c>
      <c r="S8" s="242">
        <f t="shared" si="1"/>
        <v>0</v>
      </c>
      <c r="T8" s="242">
        <f t="shared" si="1"/>
        <v>555.79099999999994</v>
      </c>
      <c r="U8" s="242">
        <f t="shared" si="1"/>
        <v>21.799999999999997</v>
      </c>
      <c r="V8" s="242">
        <f t="shared" si="1"/>
        <v>1.1919999999999999</v>
      </c>
      <c r="W8" s="247">
        <f t="shared" si="1"/>
        <v>230.011</v>
      </c>
      <c r="X8" s="242">
        <f t="shared" si="1"/>
        <v>253.00299999999999</v>
      </c>
      <c r="Y8" s="242">
        <f t="shared" si="1"/>
        <v>241.81500000000003</v>
      </c>
      <c r="Z8" s="242">
        <f t="shared" si="1"/>
        <v>494.81799999999998</v>
      </c>
      <c r="AA8" s="246">
        <f t="shared" si="1"/>
        <v>60.972999999999999</v>
      </c>
    </row>
    <row r="9" spans="1:27">
      <c r="A9" s="2020"/>
      <c r="B9" s="280" t="s">
        <v>733</v>
      </c>
      <c r="C9" s="281">
        <v>167.12700000000001</v>
      </c>
      <c r="D9" s="283"/>
      <c r="E9" s="282">
        <v>2E-3</v>
      </c>
      <c r="F9" s="281">
        <v>167.12900000000002</v>
      </c>
      <c r="G9" s="281">
        <v>3</v>
      </c>
      <c r="H9" s="282">
        <v>0.89500000000000002</v>
      </c>
      <c r="I9" s="281">
        <v>23.472000000000001</v>
      </c>
      <c r="J9" s="281">
        <v>27.367000000000001</v>
      </c>
      <c r="K9" s="281">
        <v>63.350999999999999</v>
      </c>
      <c r="L9" s="281">
        <v>90.718000000000004</v>
      </c>
      <c r="M9" s="281">
        <v>76.411000000000001</v>
      </c>
      <c r="O9" s="245"/>
      <c r="P9" s="241" t="str">
        <f>A19</f>
        <v>2002/03</v>
      </c>
      <c r="Q9" s="242">
        <f t="shared" ref="Q9:AA9" si="2">C23</f>
        <v>60.972999999999999</v>
      </c>
      <c r="R9" s="242">
        <f t="shared" si="2"/>
        <v>360.71300000000002</v>
      </c>
      <c r="S9" s="242">
        <f t="shared" si="2"/>
        <v>2.1999999999999999E-2</v>
      </c>
      <c r="T9" s="242">
        <f t="shared" si="2"/>
        <v>421.70800000000003</v>
      </c>
      <c r="U9" s="242">
        <f t="shared" si="2"/>
        <v>22.8</v>
      </c>
      <c r="V9" s="242">
        <f t="shared" si="2"/>
        <v>1.1760000000000002</v>
      </c>
      <c r="W9" s="247">
        <f t="shared" si="2"/>
        <v>170.404</v>
      </c>
      <c r="X9" s="242">
        <f t="shared" si="2"/>
        <v>194.38</v>
      </c>
      <c r="Y9" s="242">
        <f t="shared" si="2"/>
        <v>184.298</v>
      </c>
      <c r="Z9" s="242">
        <f t="shared" si="2"/>
        <v>378.678</v>
      </c>
      <c r="AA9" s="246">
        <f t="shared" si="2"/>
        <v>43.03</v>
      </c>
    </row>
    <row r="10" spans="1:27">
      <c r="A10" s="2020"/>
      <c r="B10" s="280" t="s">
        <v>734</v>
      </c>
      <c r="C10" s="281">
        <v>76.411000000000001</v>
      </c>
      <c r="D10" s="283"/>
      <c r="E10" s="283"/>
      <c r="F10" s="281">
        <v>76.411000000000001</v>
      </c>
      <c r="G10" s="281">
        <v>3</v>
      </c>
      <c r="H10" s="282">
        <v>0.378</v>
      </c>
      <c r="I10" s="281">
        <v>-10.401999999999999</v>
      </c>
      <c r="J10" s="281">
        <v>-7.024</v>
      </c>
      <c r="K10" s="281">
        <v>41.683999999999997</v>
      </c>
      <c r="L10" s="281">
        <v>34.659999999999997</v>
      </c>
      <c r="M10" s="281">
        <v>41.750999999999998</v>
      </c>
      <c r="O10" s="245"/>
      <c r="P10" s="241" t="str">
        <f>A25</f>
        <v>2003/04</v>
      </c>
      <c r="Q10" s="242">
        <f t="shared" ref="Q10:AA10" si="3">C29</f>
        <v>43.03</v>
      </c>
      <c r="R10" s="242">
        <f t="shared" si="3"/>
        <v>411.21899999999999</v>
      </c>
      <c r="S10" s="242">
        <f t="shared" si="3"/>
        <v>1E-3</v>
      </c>
      <c r="T10" s="242">
        <f t="shared" si="3"/>
        <v>454.25</v>
      </c>
      <c r="U10" s="242">
        <f t="shared" si="3"/>
        <v>39</v>
      </c>
      <c r="V10" s="242">
        <f t="shared" si="3"/>
        <v>0.91500000000000004</v>
      </c>
      <c r="W10" s="247">
        <f t="shared" si="3"/>
        <v>182.01299999999998</v>
      </c>
      <c r="X10" s="242">
        <f t="shared" si="3"/>
        <v>221.92799999999997</v>
      </c>
      <c r="Y10" s="242">
        <f t="shared" si="3"/>
        <v>198.773</v>
      </c>
      <c r="Z10" s="242">
        <f t="shared" si="3"/>
        <v>420.70100000000002</v>
      </c>
      <c r="AA10" s="246">
        <f t="shared" si="3"/>
        <v>33.548999999999999</v>
      </c>
    </row>
    <row r="11" spans="1:27">
      <c r="A11" s="2020"/>
      <c r="B11" s="280" t="s">
        <v>736</v>
      </c>
      <c r="C11" s="281">
        <v>65.375</v>
      </c>
      <c r="D11" s="281">
        <v>470.52600000000001</v>
      </c>
      <c r="E11" s="282">
        <v>2E-3</v>
      </c>
      <c r="F11" s="281">
        <v>535.90300000000002</v>
      </c>
      <c r="G11" s="281">
        <v>33.799999999999997</v>
      </c>
      <c r="H11" s="282">
        <v>1.2730000000000001</v>
      </c>
      <c r="I11" s="281">
        <v>222.49700000000001</v>
      </c>
      <c r="J11" s="281">
        <v>257.57</v>
      </c>
      <c r="K11" s="281">
        <v>236.58199999999999</v>
      </c>
      <c r="L11" s="281">
        <v>494.15200000000004</v>
      </c>
      <c r="M11" s="281">
        <v>41.750999999999998</v>
      </c>
      <c r="O11" s="245"/>
      <c r="P11" s="241" t="str">
        <f>A31</f>
        <v>2004/05</v>
      </c>
      <c r="Q11" s="242">
        <f t="shared" ref="Q11:AA11" si="4">C35</f>
        <v>33.548999999999999</v>
      </c>
      <c r="R11" s="242">
        <f t="shared" si="4"/>
        <v>453.60599999999999</v>
      </c>
      <c r="S11" s="242">
        <f t="shared" si="4"/>
        <v>2.5000000000000001E-2</v>
      </c>
      <c r="T11" s="242">
        <f t="shared" si="4"/>
        <v>487.17999999999995</v>
      </c>
      <c r="U11" s="242">
        <f t="shared" si="4"/>
        <v>54.1</v>
      </c>
      <c r="V11" s="242">
        <f t="shared" si="4"/>
        <v>0.80099999999999993</v>
      </c>
      <c r="W11" s="247">
        <f t="shared" si="4"/>
        <v>191.29499999999999</v>
      </c>
      <c r="X11" s="242">
        <f t="shared" si="4"/>
        <v>246.196</v>
      </c>
      <c r="Y11" s="242">
        <f t="shared" si="4"/>
        <v>184.04300000000001</v>
      </c>
      <c r="Z11" s="242">
        <f t="shared" si="4"/>
        <v>430.23900000000003</v>
      </c>
      <c r="AA11" s="246">
        <f t="shared" si="4"/>
        <v>56.941000000000003</v>
      </c>
    </row>
    <row r="12" spans="1:27">
      <c r="A12" s="2020"/>
      <c r="B12" s="279"/>
      <c r="C12" s="283"/>
      <c r="D12" s="283"/>
      <c r="E12" s="283"/>
      <c r="F12" s="283"/>
      <c r="G12" s="283"/>
      <c r="H12" s="283"/>
      <c r="I12" s="283"/>
      <c r="J12" s="283"/>
      <c r="K12" s="283"/>
      <c r="L12" s="283"/>
      <c r="M12" s="283"/>
      <c r="O12" s="245"/>
      <c r="P12" s="241" t="str">
        <f>A37</f>
        <v>2005/06</v>
      </c>
      <c r="Q12" s="242">
        <f t="shared" ref="Q12:AA12" si="5">C41</f>
        <v>56.941000000000003</v>
      </c>
      <c r="R12" s="242">
        <f t="shared" si="5"/>
        <v>392.73899999999998</v>
      </c>
      <c r="S12" s="242">
        <f t="shared" si="5"/>
        <v>2E-3</v>
      </c>
      <c r="T12" s="242">
        <f t="shared" si="5"/>
        <v>449.68199999999996</v>
      </c>
      <c r="U12" s="242">
        <f t="shared" si="5"/>
        <v>49.218000000000004</v>
      </c>
      <c r="V12" s="242">
        <f t="shared" si="5"/>
        <v>0.80600000000000005</v>
      </c>
      <c r="W12" s="247">
        <f t="shared" si="5"/>
        <v>139.68</v>
      </c>
      <c r="X12" s="242">
        <f t="shared" si="5"/>
        <v>189.70400000000001</v>
      </c>
      <c r="Y12" s="242">
        <f t="shared" si="5"/>
        <v>194.315</v>
      </c>
      <c r="Z12" s="242">
        <f t="shared" si="5"/>
        <v>384.01900000000001</v>
      </c>
      <c r="AA12" s="246">
        <f t="shared" si="5"/>
        <v>65.662999999999997</v>
      </c>
    </row>
    <row r="13" spans="1:27">
      <c r="A13" s="2019" t="s">
        <v>445</v>
      </c>
      <c r="B13" s="280" t="s">
        <v>731</v>
      </c>
      <c r="C13" s="281">
        <v>41.750999999999998</v>
      </c>
      <c r="D13" s="281">
        <v>514.04</v>
      </c>
      <c r="E13" s="283"/>
      <c r="F13" s="281">
        <v>555.79099999999994</v>
      </c>
      <c r="G13" s="281">
        <v>5.8</v>
      </c>
      <c r="H13" s="283"/>
      <c r="I13" s="281">
        <v>172.63300000000001</v>
      </c>
      <c r="J13" s="281">
        <v>178.43299999999999</v>
      </c>
      <c r="K13" s="281">
        <v>63.481000000000002</v>
      </c>
      <c r="L13" s="281">
        <v>241.91399999999999</v>
      </c>
      <c r="M13" s="281">
        <v>313.87700000000001</v>
      </c>
      <c r="O13" s="245"/>
      <c r="P13" s="241" t="str">
        <f>A43</f>
        <v>2006/07</v>
      </c>
      <c r="Q13" s="242">
        <f t="shared" ref="Q13:AA13" si="6">C47</f>
        <v>65.662999999999997</v>
      </c>
      <c r="R13" s="242">
        <f t="shared" si="6"/>
        <v>276.82400000000001</v>
      </c>
      <c r="S13" s="242">
        <f t="shared" si="6"/>
        <v>7.5999999999999998E-2</v>
      </c>
      <c r="T13" s="242">
        <f t="shared" si="6"/>
        <v>342.56300000000005</v>
      </c>
      <c r="U13" s="242">
        <f t="shared" si="6"/>
        <v>44.012999999999998</v>
      </c>
      <c r="V13" s="242">
        <f t="shared" si="6"/>
        <v>0.98699999999999999</v>
      </c>
      <c r="W13" s="247">
        <f t="shared" si="6"/>
        <v>112.92099999999999</v>
      </c>
      <c r="X13" s="242">
        <f t="shared" si="6"/>
        <v>157.92100000000002</v>
      </c>
      <c r="Y13" s="242">
        <f t="shared" si="6"/>
        <v>152.589</v>
      </c>
      <c r="Z13" s="242">
        <f t="shared" si="6"/>
        <v>310.51</v>
      </c>
      <c r="AA13" s="246">
        <f t="shared" si="6"/>
        <v>32.052999999999997</v>
      </c>
    </row>
    <row r="14" spans="1:27">
      <c r="A14" s="2020"/>
      <c r="B14" s="280" t="s">
        <v>732</v>
      </c>
      <c r="C14" s="281">
        <v>313.87700000000001</v>
      </c>
      <c r="D14" s="283"/>
      <c r="E14" s="283"/>
      <c r="F14" s="281">
        <v>313.87700000000001</v>
      </c>
      <c r="G14" s="281">
        <v>5.6</v>
      </c>
      <c r="H14" s="283"/>
      <c r="I14" s="281">
        <v>35.893000000000001</v>
      </c>
      <c r="J14" s="281">
        <v>41.493000000000002</v>
      </c>
      <c r="K14" s="281">
        <v>78.277000000000001</v>
      </c>
      <c r="L14" s="281">
        <v>119.77</v>
      </c>
      <c r="M14" s="281">
        <v>194.107</v>
      </c>
      <c r="O14" s="222"/>
      <c r="P14" s="241" t="str">
        <f>A49</f>
        <v>2007/08</v>
      </c>
      <c r="Q14" s="242">
        <f t="shared" ref="Q14:AA14" si="7">C53</f>
        <v>32.052999999999997</v>
      </c>
      <c r="R14" s="242">
        <f t="shared" si="7"/>
        <v>497.44499999999999</v>
      </c>
      <c r="S14" s="242">
        <f t="shared" si="7"/>
        <v>3.9E-2</v>
      </c>
      <c r="T14" s="242">
        <f t="shared" si="7"/>
        <v>529.53700000000003</v>
      </c>
      <c r="U14" s="242">
        <f t="shared" si="7"/>
        <v>34.1</v>
      </c>
      <c r="V14" s="242">
        <f t="shared" si="7"/>
        <v>1.0549999999999999</v>
      </c>
      <c r="W14" s="247">
        <f t="shared" si="7"/>
        <v>164.892</v>
      </c>
      <c r="X14" s="242">
        <f t="shared" si="7"/>
        <v>200.04699999999997</v>
      </c>
      <c r="Y14" s="242">
        <f t="shared" si="7"/>
        <v>276.74</v>
      </c>
      <c r="Z14" s="242">
        <f t="shared" si="7"/>
        <v>476.78699999999998</v>
      </c>
      <c r="AA14" s="246">
        <f t="shared" si="7"/>
        <v>52.75</v>
      </c>
    </row>
    <row r="15" spans="1:27">
      <c r="A15" s="2020"/>
      <c r="B15" s="280" t="s">
        <v>733</v>
      </c>
      <c r="C15" s="281">
        <v>194.107</v>
      </c>
      <c r="D15" s="283"/>
      <c r="E15" s="283"/>
      <c r="F15" s="281">
        <v>194.107</v>
      </c>
      <c r="G15" s="281">
        <v>5.7</v>
      </c>
      <c r="H15" s="282">
        <v>0.70799999999999996</v>
      </c>
      <c r="I15" s="281">
        <v>29.291</v>
      </c>
      <c r="J15" s="281">
        <v>35.698999999999998</v>
      </c>
      <c r="K15" s="281">
        <v>52.93</v>
      </c>
      <c r="L15" s="281">
        <v>88.629000000000005</v>
      </c>
      <c r="M15" s="281">
        <v>105.47799999999999</v>
      </c>
      <c r="O15" s="222"/>
      <c r="P15" s="241" t="str">
        <f>A61</f>
        <v>2009/10</v>
      </c>
      <c r="Q15" s="242">
        <f t="shared" ref="Q15:AA15" si="8">C65</f>
        <v>54.712000000000003</v>
      </c>
      <c r="R15" s="242">
        <f t="shared" si="8"/>
        <v>382.983</v>
      </c>
      <c r="S15" s="242">
        <f t="shared" si="8"/>
        <v>5.0000000000000001E-3</v>
      </c>
      <c r="T15" s="242">
        <f t="shared" si="8"/>
        <v>437.7</v>
      </c>
      <c r="U15" s="242">
        <f t="shared" si="8"/>
        <v>89.257000000000005</v>
      </c>
      <c r="V15" s="242">
        <f t="shared" si="8"/>
        <v>0.74299999999999999</v>
      </c>
      <c r="W15" s="247">
        <f t="shared" si="8"/>
        <v>140.66799999999998</v>
      </c>
      <c r="X15" s="242">
        <f t="shared" si="8"/>
        <v>230.66799999999998</v>
      </c>
      <c r="Y15" s="242">
        <f t="shared" si="8"/>
        <v>165.79199999999997</v>
      </c>
      <c r="Z15" s="242">
        <f t="shared" si="8"/>
        <v>396.46</v>
      </c>
      <c r="AA15" s="246">
        <f t="shared" si="8"/>
        <v>41.24</v>
      </c>
    </row>
    <row r="16" spans="1:27">
      <c r="A16" s="2020"/>
      <c r="B16" s="280" t="s">
        <v>734</v>
      </c>
      <c r="C16" s="281">
        <v>105.47799999999999</v>
      </c>
      <c r="D16" s="283"/>
      <c r="E16" s="283"/>
      <c r="F16" s="281">
        <v>105.47799999999999</v>
      </c>
      <c r="G16" s="281">
        <v>4.7</v>
      </c>
      <c r="H16" s="282">
        <v>0.48399999999999999</v>
      </c>
      <c r="I16" s="281">
        <v>-7.806</v>
      </c>
      <c r="J16" s="281">
        <v>-2.6219999999999999</v>
      </c>
      <c r="K16" s="281">
        <v>47.127000000000002</v>
      </c>
      <c r="L16" s="281">
        <v>44.505000000000003</v>
      </c>
      <c r="M16" s="281">
        <v>60.972999999999999</v>
      </c>
      <c r="O16" s="222"/>
      <c r="P16" s="241" t="str">
        <f>A67</f>
        <v>2010/11</v>
      </c>
      <c r="Q16" s="242">
        <f t="shared" ref="Q16:AA16" si="9">C71</f>
        <v>41.24</v>
      </c>
      <c r="R16" s="242">
        <f t="shared" si="9"/>
        <v>345.625</v>
      </c>
      <c r="S16" s="242">
        <f t="shared" si="9"/>
        <v>0.03</v>
      </c>
      <c r="T16" s="242">
        <f t="shared" si="9"/>
        <v>386.89499999999998</v>
      </c>
      <c r="U16" s="242">
        <f t="shared" si="9"/>
        <v>84.35</v>
      </c>
      <c r="V16" s="242">
        <f t="shared" si="9"/>
        <v>0.65</v>
      </c>
      <c r="W16" s="247">
        <f t="shared" si="9"/>
        <v>122.74300000000001</v>
      </c>
      <c r="X16" s="242">
        <f t="shared" si="9"/>
        <v>207.74299999999999</v>
      </c>
      <c r="Y16" s="242">
        <f t="shared" si="9"/>
        <v>151.702</v>
      </c>
      <c r="Z16" s="242">
        <f t="shared" si="9"/>
        <v>359.44499999999999</v>
      </c>
      <c r="AA16" s="246">
        <f t="shared" si="9"/>
        <v>27.45</v>
      </c>
    </row>
    <row r="17" spans="1:27" ht="16" thickBot="1">
      <c r="A17" s="2020"/>
      <c r="B17" s="280" t="s">
        <v>736</v>
      </c>
      <c r="C17" s="281">
        <v>41.750999999999998</v>
      </c>
      <c r="D17" s="281">
        <v>514.04</v>
      </c>
      <c r="E17" s="283"/>
      <c r="F17" s="281">
        <v>555.79099999999994</v>
      </c>
      <c r="G17" s="281">
        <v>21.799999999999997</v>
      </c>
      <c r="H17" s="282">
        <v>1.1919999999999999</v>
      </c>
      <c r="I17" s="281">
        <v>230.011</v>
      </c>
      <c r="J17" s="281">
        <v>253.00299999999999</v>
      </c>
      <c r="K17" s="281">
        <v>241.81500000000003</v>
      </c>
      <c r="L17" s="281">
        <v>494.81799999999998</v>
      </c>
      <c r="M17" s="281">
        <v>60.972999999999999</v>
      </c>
      <c r="O17" s="227"/>
      <c r="P17" s="7" t="str">
        <f>A73</f>
        <v>2011/12</v>
      </c>
      <c r="Q17" s="8">
        <f t="shared" ref="Q17:AA17" si="10">C77</f>
        <v>27.45</v>
      </c>
      <c r="R17" s="8">
        <f t="shared" si="10"/>
        <v>214.44300000000001</v>
      </c>
      <c r="S17" s="8">
        <f t="shared" si="10"/>
        <v>0.10500000000000001</v>
      </c>
      <c r="T17" s="8">
        <f t="shared" si="10"/>
        <v>241.99799999999999</v>
      </c>
      <c r="U17" s="8">
        <f t="shared" si="10"/>
        <v>84.3</v>
      </c>
      <c r="V17" s="8">
        <f t="shared" si="10"/>
        <v>0.7</v>
      </c>
      <c r="W17" s="206">
        <f t="shared" si="10"/>
        <v>70.558999999999997</v>
      </c>
      <c r="X17" s="8">
        <f t="shared" si="10"/>
        <v>155.559</v>
      </c>
      <c r="Y17" s="8">
        <f t="shared" si="10"/>
        <v>63.5</v>
      </c>
      <c r="Z17" s="8">
        <f t="shared" si="10"/>
        <v>219.05900000000003</v>
      </c>
      <c r="AA17" s="9">
        <f t="shared" si="10"/>
        <v>22.939</v>
      </c>
    </row>
    <row r="18" spans="1:27">
      <c r="A18" s="2020"/>
      <c r="B18" s="279"/>
      <c r="C18" s="283"/>
      <c r="D18" s="283"/>
      <c r="E18" s="283"/>
      <c r="F18" s="283"/>
      <c r="G18" s="283"/>
      <c r="H18" s="283"/>
      <c r="I18" s="283"/>
      <c r="J18" s="283"/>
      <c r="K18" s="283"/>
      <c r="L18" s="283"/>
      <c r="M18" s="283"/>
      <c r="O18" s="222"/>
      <c r="P18" s="210" t="s">
        <v>740</v>
      </c>
      <c r="Q18" s="300">
        <f t="shared" ref="Q18:V18" si="11">AVERAGE(Q7:Q17)</f>
        <v>47.521545454545461</v>
      </c>
      <c r="R18" s="300">
        <f t="shared" si="11"/>
        <v>392.74209090909102</v>
      </c>
      <c r="S18" s="300">
        <f t="shared" si="11"/>
        <v>2.7909090909090915E-2</v>
      </c>
      <c r="T18" s="300">
        <f t="shared" si="11"/>
        <v>440.29154545454531</v>
      </c>
      <c r="U18" s="300">
        <f t="shared" si="11"/>
        <v>50.612545454545447</v>
      </c>
      <c r="V18" s="300">
        <f t="shared" si="11"/>
        <v>0.93618181818181823</v>
      </c>
      <c r="W18" s="225">
        <f>AVERAGE(W7:W17)</f>
        <v>158.88027272727271</v>
      </c>
      <c r="X18" s="300">
        <f t="shared" ref="X18:AA18" si="12">AVERAGE(X7:X17)</f>
        <v>210.429</v>
      </c>
      <c r="Y18" s="300">
        <f t="shared" si="12"/>
        <v>186.37718181818181</v>
      </c>
      <c r="Z18" s="300">
        <f t="shared" si="12"/>
        <v>396.80618181818187</v>
      </c>
      <c r="AA18" s="301">
        <f t="shared" si="12"/>
        <v>43.485363636363637</v>
      </c>
    </row>
    <row r="19" spans="1:27">
      <c r="A19" s="2019" t="s">
        <v>545</v>
      </c>
      <c r="B19" s="280" t="s">
        <v>731</v>
      </c>
      <c r="C19" s="281">
        <v>60.972999999999999</v>
      </c>
      <c r="D19" s="281">
        <v>360.71300000000002</v>
      </c>
      <c r="E19" s="283"/>
      <c r="F19" s="281">
        <v>421.68600000000004</v>
      </c>
      <c r="G19" s="281">
        <v>5</v>
      </c>
      <c r="H19" s="283"/>
      <c r="I19" s="281">
        <v>133.94800000000001</v>
      </c>
      <c r="J19" s="281">
        <v>138.94800000000001</v>
      </c>
      <c r="K19" s="281">
        <v>50.886000000000003</v>
      </c>
      <c r="L19" s="281">
        <v>189.834</v>
      </c>
      <c r="M19" s="281">
        <v>231.852</v>
      </c>
      <c r="O19" s="222"/>
      <c r="P19" s="205" t="s">
        <v>257</v>
      </c>
      <c r="Q19" s="294">
        <f t="shared" ref="Q19:V19" si="13">STDEV(Q7:Q17)</f>
        <v>13.782359931184747</v>
      </c>
      <c r="R19" s="294">
        <f t="shared" si="13"/>
        <v>91.837205118028379</v>
      </c>
      <c r="S19" s="294">
        <f t="shared" si="13"/>
        <v>3.4346628787857894E-2</v>
      </c>
      <c r="T19" s="294">
        <f t="shared" si="13"/>
        <v>92.196760115921805</v>
      </c>
      <c r="U19" s="294">
        <f t="shared" si="13"/>
        <v>24.734576832295474</v>
      </c>
      <c r="V19" s="294">
        <f t="shared" si="13"/>
        <v>0.21535404253545726</v>
      </c>
      <c r="W19" s="219">
        <f>STDEV(W7:W17)</f>
        <v>47.729011008171831</v>
      </c>
      <c r="X19" s="294">
        <f t="shared" ref="X19:AA19" si="14">STDEV(X7:X17)</f>
        <v>35.250312449678908</v>
      </c>
      <c r="Y19" s="294">
        <f t="shared" si="14"/>
        <v>56.437852561588869</v>
      </c>
      <c r="Z19" s="294">
        <f t="shared" si="14"/>
        <v>82.521139200592799</v>
      </c>
      <c r="AA19" s="295">
        <f t="shared" si="14"/>
        <v>14.07666812333605</v>
      </c>
    </row>
    <row r="20" spans="1:27" ht="29" thickBot="1">
      <c r="A20" s="2020"/>
      <c r="B20" s="280" t="s">
        <v>732</v>
      </c>
      <c r="C20" s="281">
        <v>231.852</v>
      </c>
      <c r="D20" s="283"/>
      <c r="E20" s="283"/>
      <c r="F20" s="281">
        <v>231.852</v>
      </c>
      <c r="G20" s="281">
        <v>5.3</v>
      </c>
      <c r="H20" s="283"/>
      <c r="I20" s="281">
        <v>18.106000000000002</v>
      </c>
      <c r="J20" s="281">
        <v>23.405999999999999</v>
      </c>
      <c r="K20" s="281">
        <v>45.523000000000003</v>
      </c>
      <c r="L20" s="281">
        <v>68.929000000000002</v>
      </c>
      <c r="M20" s="281">
        <v>162.923</v>
      </c>
      <c r="O20" s="227"/>
      <c r="P20" s="228" t="s">
        <v>720</v>
      </c>
      <c r="Q20" s="252"/>
      <c r="R20" s="252"/>
      <c r="S20" s="253">
        <f>S18/R18</f>
        <v>7.1062133535239295E-5</v>
      </c>
      <c r="T20" s="254"/>
      <c r="U20" s="254"/>
      <c r="V20" s="254"/>
      <c r="W20" s="253">
        <f>W18/R18</f>
        <v>0.40454098606927547</v>
      </c>
      <c r="X20" s="254"/>
      <c r="Y20" s="253">
        <f>Y18/R18</f>
        <v>0.47455362216657088</v>
      </c>
      <c r="Z20" s="252"/>
      <c r="AA20" s="255"/>
    </row>
    <row r="21" spans="1:27">
      <c r="A21" s="2020"/>
      <c r="B21" s="280" t="s">
        <v>733</v>
      </c>
      <c r="C21" s="281">
        <v>162.923</v>
      </c>
      <c r="D21" s="283"/>
      <c r="E21" s="282">
        <v>2.1999999999999999E-2</v>
      </c>
      <c r="F21" s="281">
        <v>162.94499999999999</v>
      </c>
      <c r="G21" s="281">
        <v>7.3</v>
      </c>
      <c r="H21" s="282">
        <v>0.67</v>
      </c>
      <c r="I21" s="281">
        <v>32.832000000000001</v>
      </c>
      <c r="J21" s="281">
        <v>40.802</v>
      </c>
      <c r="K21" s="281">
        <v>40.249000000000002</v>
      </c>
      <c r="L21" s="281">
        <v>81.051000000000002</v>
      </c>
      <c r="M21" s="281">
        <v>81.894000000000005</v>
      </c>
      <c r="P21" s="288" t="s">
        <v>331</v>
      </c>
      <c r="W21">
        <f>W18/X18</f>
        <v>0.75503030821451755</v>
      </c>
    </row>
    <row r="22" spans="1:27">
      <c r="A22" s="2020"/>
      <c r="B22" s="280" t="s">
        <v>734</v>
      </c>
      <c r="C22" s="281">
        <v>81.894000000000005</v>
      </c>
      <c r="D22" s="283"/>
      <c r="E22" s="283"/>
      <c r="F22" s="281">
        <v>81.894000000000005</v>
      </c>
      <c r="G22" s="281">
        <v>5.2</v>
      </c>
      <c r="H22" s="282">
        <v>0.50600000000000001</v>
      </c>
      <c r="I22" s="281">
        <v>-14.481999999999999</v>
      </c>
      <c r="J22" s="281">
        <v>-8.7759999999999998</v>
      </c>
      <c r="K22" s="281">
        <v>47.64</v>
      </c>
      <c r="L22" s="281">
        <v>38.863999999999997</v>
      </c>
      <c r="M22" s="281">
        <v>43.03</v>
      </c>
      <c r="P22" s="288" t="s">
        <v>332</v>
      </c>
      <c r="W22" s="481">
        <f>AVERAGE(W7:W12)</f>
        <v>189.31666666666663</v>
      </c>
      <c r="X22" s="481">
        <f>AVERAGE(X7:X12)</f>
        <v>227.13016666666667</v>
      </c>
    </row>
    <row r="23" spans="1:27">
      <c r="A23" s="2020"/>
      <c r="B23" s="280" t="s">
        <v>736</v>
      </c>
      <c r="C23" s="281">
        <v>60.972999999999999</v>
      </c>
      <c r="D23" s="281">
        <v>360.71300000000002</v>
      </c>
      <c r="E23" s="282">
        <v>2.1999999999999999E-2</v>
      </c>
      <c r="F23" s="281">
        <v>421.70800000000003</v>
      </c>
      <c r="G23" s="281">
        <v>22.8</v>
      </c>
      <c r="H23" s="282">
        <v>1.1760000000000002</v>
      </c>
      <c r="I23" s="281">
        <v>170.404</v>
      </c>
      <c r="J23" s="281">
        <v>194.38</v>
      </c>
      <c r="K23" s="281">
        <v>184.298</v>
      </c>
      <c r="L23" s="281">
        <v>378.678</v>
      </c>
      <c r="M23" s="281">
        <v>43.03</v>
      </c>
      <c r="P23" s="288" t="s">
        <v>331</v>
      </c>
      <c r="W23">
        <f>W22/X22</f>
        <v>0.83351617024305436</v>
      </c>
    </row>
    <row r="24" spans="1:27">
      <c r="A24" s="2020"/>
      <c r="B24" s="279"/>
      <c r="C24" s="283"/>
      <c r="D24" s="283"/>
      <c r="E24" s="283"/>
      <c r="F24" s="283"/>
      <c r="G24" s="283"/>
      <c r="H24" s="283"/>
      <c r="I24" s="283"/>
      <c r="J24" s="283"/>
      <c r="K24" s="283"/>
      <c r="L24" s="283"/>
      <c r="M24" s="283"/>
    </row>
    <row r="25" spans="1:27">
      <c r="A25" s="2019" t="s">
        <v>547</v>
      </c>
      <c r="B25" s="280" t="s">
        <v>731</v>
      </c>
      <c r="C25" s="281">
        <v>43.03</v>
      </c>
      <c r="D25" s="281">
        <v>411.21899999999999</v>
      </c>
      <c r="E25" s="282">
        <v>1E-3</v>
      </c>
      <c r="F25" s="281">
        <v>454.25</v>
      </c>
      <c r="G25" s="281">
        <v>9</v>
      </c>
      <c r="H25" s="283"/>
      <c r="I25" s="281">
        <v>148.53899999999999</v>
      </c>
      <c r="J25" s="281">
        <v>157.53899999999999</v>
      </c>
      <c r="K25" s="281">
        <v>60.774999999999999</v>
      </c>
      <c r="L25" s="281">
        <v>218.31399999999999</v>
      </c>
      <c r="M25" s="281">
        <v>235.93600000000001</v>
      </c>
    </row>
    <row r="26" spans="1:27">
      <c r="A26" s="2020"/>
      <c r="B26" s="280" t="s">
        <v>732</v>
      </c>
      <c r="C26" s="281">
        <v>235.93600000000001</v>
      </c>
      <c r="D26" s="283"/>
      <c r="E26" s="283"/>
      <c r="F26" s="281">
        <v>235.93600000000001</v>
      </c>
      <c r="G26" s="281">
        <v>10</v>
      </c>
      <c r="H26" s="283"/>
      <c r="I26" s="281">
        <v>11.38</v>
      </c>
      <c r="J26" s="281">
        <v>21.38</v>
      </c>
      <c r="K26" s="281">
        <v>55.904000000000003</v>
      </c>
      <c r="L26" s="281">
        <v>77.284000000000006</v>
      </c>
      <c r="M26" s="281">
        <v>158.65199999999999</v>
      </c>
    </row>
    <row r="27" spans="1:27">
      <c r="A27" s="2020"/>
      <c r="B27" s="280" t="s">
        <v>733</v>
      </c>
      <c r="C27" s="281">
        <v>158.65199999999999</v>
      </c>
      <c r="D27" s="283"/>
      <c r="E27" s="283"/>
      <c r="F27" s="281">
        <v>158.65199999999999</v>
      </c>
      <c r="G27" s="281">
        <v>10</v>
      </c>
      <c r="H27" s="282">
        <v>0.54100000000000004</v>
      </c>
      <c r="I27" s="281">
        <v>21.012</v>
      </c>
      <c r="J27" s="281">
        <v>31.553000000000001</v>
      </c>
      <c r="K27" s="281">
        <v>46.505000000000003</v>
      </c>
      <c r="L27" s="281">
        <v>78.058000000000007</v>
      </c>
      <c r="M27" s="281">
        <v>80.593999999999994</v>
      </c>
    </row>
    <row r="28" spans="1:27">
      <c r="A28" s="2020"/>
      <c r="B28" s="280" t="s">
        <v>734</v>
      </c>
      <c r="C28" s="281">
        <v>80.593999999999994</v>
      </c>
      <c r="D28" s="283"/>
      <c r="E28" s="283"/>
      <c r="F28" s="281">
        <v>80.593999999999994</v>
      </c>
      <c r="G28" s="281">
        <v>10</v>
      </c>
      <c r="H28" s="282">
        <v>0.374</v>
      </c>
      <c r="I28" s="281">
        <v>1.0820000000000001</v>
      </c>
      <c r="J28" s="281">
        <v>11.456</v>
      </c>
      <c r="K28" s="281">
        <v>35.588999999999999</v>
      </c>
      <c r="L28" s="281">
        <v>47.045000000000002</v>
      </c>
      <c r="M28" s="281">
        <v>33.548999999999999</v>
      </c>
    </row>
    <row r="29" spans="1:27">
      <c r="A29" s="2020"/>
      <c r="B29" s="280" t="s">
        <v>736</v>
      </c>
      <c r="C29" s="281">
        <v>43.03</v>
      </c>
      <c r="D29" s="281">
        <v>411.21899999999999</v>
      </c>
      <c r="E29" s="282">
        <v>1E-3</v>
      </c>
      <c r="F29" s="281">
        <v>454.25</v>
      </c>
      <c r="G29" s="281">
        <v>39</v>
      </c>
      <c r="H29" s="282">
        <v>0.91500000000000004</v>
      </c>
      <c r="I29" s="281">
        <v>182.01299999999998</v>
      </c>
      <c r="J29" s="281">
        <v>221.92799999999997</v>
      </c>
      <c r="K29" s="281">
        <v>198.773</v>
      </c>
      <c r="L29" s="281">
        <v>420.70100000000002</v>
      </c>
      <c r="M29" s="281">
        <v>33.548999999999999</v>
      </c>
    </row>
    <row r="30" spans="1:27">
      <c r="A30" s="2020"/>
      <c r="B30" s="279"/>
      <c r="C30" s="283"/>
      <c r="D30" s="283"/>
      <c r="E30" s="283"/>
      <c r="F30" s="283"/>
      <c r="G30" s="283"/>
      <c r="H30" s="283"/>
      <c r="I30" s="283"/>
      <c r="J30" s="283"/>
      <c r="K30" s="283"/>
      <c r="L30" s="283"/>
      <c r="M30" s="283"/>
    </row>
    <row r="31" spans="1:27">
      <c r="A31" s="2019" t="s">
        <v>548</v>
      </c>
      <c r="B31" s="280" t="s">
        <v>731</v>
      </c>
      <c r="C31" s="281">
        <v>33.548999999999999</v>
      </c>
      <c r="D31" s="281">
        <v>453.60599999999999</v>
      </c>
      <c r="E31" s="283"/>
      <c r="F31" s="281">
        <v>487.15499999999997</v>
      </c>
      <c r="G31" s="281">
        <v>13.574999999999999</v>
      </c>
      <c r="H31" s="283"/>
      <c r="I31" s="281">
        <v>147.43</v>
      </c>
      <c r="J31" s="281">
        <v>161.005</v>
      </c>
      <c r="K31" s="281">
        <v>43.945</v>
      </c>
      <c r="L31" s="281">
        <v>204.95</v>
      </c>
      <c r="M31" s="281">
        <v>282.20499999999998</v>
      </c>
    </row>
    <row r="32" spans="1:27">
      <c r="A32" s="2020"/>
      <c r="B32" s="280" t="s">
        <v>732</v>
      </c>
      <c r="C32" s="281">
        <v>282.20499999999998</v>
      </c>
      <c r="D32" s="283"/>
      <c r="E32" s="282">
        <v>1E-3</v>
      </c>
      <c r="F32" s="281">
        <v>282.20599999999996</v>
      </c>
      <c r="G32" s="281">
        <v>13.442</v>
      </c>
      <c r="H32" s="283"/>
      <c r="I32" s="281">
        <v>9.9580000000000002</v>
      </c>
      <c r="J32" s="281">
        <v>23.4</v>
      </c>
      <c r="K32" s="281">
        <v>55.283999999999999</v>
      </c>
      <c r="L32" s="281">
        <v>78.683999999999997</v>
      </c>
      <c r="M32" s="281">
        <v>203.52199999999999</v>
      </c>
    </row>
    <row r="33" spans="1:13">
      <c r="A33" s="2020"/>
      <c r="B33" s="280" t="s">
        <v>733</v>
      </c>
      <c r="C33" s="281">
        <v>203.52199999999999</v>
      </c>
      <c r="D33" s="283"/>
      <c r="E33" s="282">
        <v>2.1999999999999999E-2</v>
      </c>
      <c r="F33" s="281">
        <v>203.54399999999998</v>
      </c>
      <c r="G33" s="281">
        <v>13.726000000000001</v>
      </c>
      <c r="H33" s="282">
        <v>0.496</v>
      </c>
      <c r="I33" s="281">
        <v>24.934000000000001</v>
      </c>
      <c r="J33" s="281">
        <v>39.155999999999999</v>
      </c>
      <c r="K33" s="281">
        <v>51.218000000000004</v>
      </c>
      <c r="L33" s="281">
        <v>90.373999999999995</v>
      </c>
      <c r="M33" s="281">
        <v>113.17</v>
      </c>
    </row>
    <row r="34" spans="1:13">
      <c r="A34" s="2020"/>
      <c r="B34" s="280" t="s">
        <v>734</v>
      </c>
      <c r="C34" s="281">
        <v>113.17</v>
      </c>
      <c r="D34" s="283"/>
      <c r="E34" s="282">
        <v>2E-3</v>
      </c>
      <c r="F34" s="281">
        <v>113.172</v>
      </c>
      <c r="G34" s="281">
        <v>13.356999999999999</v>
      </c>
      <c r="H34" s="282">
        <v>0.30499999999999999</v>
      </c>
      <c r="I34" s="281">
        <v>8.9730000000000008</v>
      </c>
      <c r="J34" s="281">
        <v>22.635000000000002</v>
      </c>
      <c r="K34" s="281">
        <v>33.595999999999997</v>
      </c>
      <c r="L34" s="281">
        <v>56.231000000000002</v>
      </c>
      <c r="M34" s="281">
        <v>56.941000000000003</v>
      </c>
    </row>
    <row r="35" spans="1:13">
      <c r="A35" s="2020"/>
      <c r="B35" s="280" t="s">
        <v>736</v>
      </c>
      <c r="C35" s="281">
        <v>33.548999999999999</v>
      </c>
      <c r="D35" s="281">
        <v>453.60599999999999</v>
      </c>
      <c r="E35" s="282">
        <v>2.5000000000000001E-2</v>
      </c>
      <c r="F35" s="281">
        <v>487.17999999999995</v>
      </c>
      <c r="G35" s="281">
        <v>54.1</v>
      </c>
      <c r="H35" s="282">
        <v>0.80099999999999993</v>
      </c>
      <c r="I35" s="281">
        <v>191.29499999999999</v>
      </c>
      <c r="J35" s="281">
        <v>246.196</v>
      </c>
      <c r="K35" s="281">
        <v>184.04300000000001</v>
      </c>
      <c r="L35" s="281">
        <v>430.23900000000003</v>
      </c>
      <c r="M35" s="281">
        <v>56.941000000000003</v>
      </c>
    </row>
    <row r="36" spans="1:13">
      <c r="A36" s="2020"/>
      <c r="B36" s="279"/>
      <c r="C36" s="283"/>
      <c r="D36" s="283"/>
      <c r="E36" s="283"/>
      <c r="F36" s="283"/>
      <c r="G36" s="283"/>
      <c r="H36" s="283"/>
      <c r="I36" s="283"/>
      <c r="J36" s="283"/>
      <c r="K36" s="283"/>
      <c r="L36" s="283"/>
      <c r="M36" s="283"/>
    </row>
    <row r="37" spans="1:13">
      <c r="A37" s="2019" t="s">
        <v>434</v>
      </c>
      <c r="B37" s="280" t="s">
        <v>731</v>
      </c>
      <c r="C37" s="281">
        <v>56.941000000000003</v>
      </c>
      <c r="D37" s="281">
        <v>392.73899999999998</v>
      </c>
      <c r="E37" s="283"/>
      <c r="F37" s="281">
        <v>449.67999999999995</v>
      </c>
      <c r="G37" s="281">
        <v>12.28</v>
      </c>
      <c r="H37" s="283"/>
      <c r="I37" s="281">
        <v>107.03</v>
      </c>
      <c r="J37" s="281">
        <v>119.31</v>
      </c>
      <c r="K37" s="281">
        <v>39.994</v>
      </c>
      <c r="L37" s="281">
        <v>159.304</v>
      </c>
      <c r="M37" s="281">
        <v>290.37599999999998</v>
      </c>
    </row>
    <row r="38" spans="1:13">
      <c r="A38" s="2020"/>
      <c r="B38" s="280" t="s">
        <v>732</v>
      </c>
      <c r="C38" s="281">
        <v>290.37599999999998</v>
      </c>
      <c r="D38" s="283"/>
      <c r="E38" s="282">
        <v>1E-3</v>
      </c>
      <c r="F38" s="281">
        <v>290.37699999999995</v>
      </c>
      <c r="G38" s="281">
        <v>15.51</v>
      </c>
      <c r="H38" s="283"/>
      <c r="I38" s="281">
        <v>24.38</v>
      </c>
      <c r="J38" s="281">
        <v>39.89</v>
      </c>
      <c r="K38" s="281">
        <v>57.350999999999999</v>
      </c>
      <c r="L38" s="281">
        <v>97.241</v>
      </c>
      <c r="M38" s="281">
        <v>193.136</v>
      </c>
    </row>
    <row r="39" spans="1:13">
      <c r="A39" s="2020"/>
      <c r="B39" s="280" t="s">
        <v>733</v>
      </c>
      <c r="C39" s="281">
        <v>193.136</v>
      </c>
      <c r="D39" s="283"/>
      <c r="E39" s="282">
        <v>1E-3</v>
      </c>
      <c r="F39" s="281">
        <v>193.137</v>
      </c>
      <c r="G39" s="281">
        <v>11.282</v>
      </c>
      <c r="H39" s="282">
        <v>0.53500000000000003</v>
      </c>
      <c r="I39" s="281">
        <v>3.6840000000000002</v>
      </c>
      <c r="J39" s="281">
        <v>15.500999999999999</v>
      </c>
      <c r="K39" s="281">
        <v>62.773000000000003</v>
      </c>
      <c r="L39" s="281">
        <v>78.274000000000001</v>
      </c>
      <c r="M39" s="281">
        <v>114.863</v>
      </c>
    </row>
    <row r="40" spans="1:13">
      <c r="A40" s="2020"/>
      <c r="B40" s="280" t="s">
        <v>734</v>
      </c>
      <c r="C40" s="281">
        <v>114.863</v>
      </c>
      <c r="D40" s="283"/>
      <c r="E40" s="283"/>
      <c r="F40" s="281">
        <v>114.863</v>
      </c>
      <c r="G40" s="281">
        <v>10.146000000000001</v>
      </c>
      <c r="H40" s="282">
        <v>0.27100000000000002</v>
      </c>
      <c r="I40" s="281">
        <v>4.5860000000000003</v>
      </c>
      <c r="J40" s="281">
        <v>15.003</v>
      </c>
      <c r="K40" s="281">
        <v>34.197000000000003</v>
      </c>
      <c r="L40" s="281">
        <v>49.2</v>
      </c>
      <c r="M40" s="281">
        <v>65.662999999999997</v>
      </c>
    </row>
    <row r="41" spans="1:13">
      <c r="A41" s="2020"/>
      <c r="B41" s="280" t="s">
        <v>736</v>
      </c>
      <c r="C41" s="281">
        <v>56.941000000000003</v>
      </c>
      <c r="D41" s="281">
        <v>392.73899999999998</v>
      </c>
      <c r="E41" s="282">
        <v>2E-3</v>
      </c>
      <c r="F41" s="281">
        <v>449.68199999999996</v>
      </c>
      <c r="G41" s="281">
        <v>49.218000000000004</v>
      </c>
      <c r="H41" s="282">
        <v>0.80600000000000005</v>
      </c>
      <c r="I41" s="281">
        <v>139.68</v>
      </c>
      <c r="J41" s="281">
        <v>189.70400000000001</v>
      </c>
      <c r="K41" s="281">
        <v>194.315</v>
      </c>
      <c r="L41" s="281">
        <v>384.01900000000001</v>
      </c>
      <c r="M41" s="281">
        <v>65.662999999999997</v>
      </c>
    </row>
    <row r="42" spans="1:13">
      <c r="A42" s="2020"/>
      <c r="B42" s="279"/>
      <c r="C42" s="283"/>
      <c r="D42" s="283"/>
      <c r="E42" s="283"/>
      <c r="F42" s="283"/>
      <c r="G42" s="283"/>
      <c r="H42" s="283"/>
      <c r="I42" s="283"/>
      <c r="J42" s="283"/>
      <c r="K42" s="283"/>
      <c r="L42" s="283"/>
      <c r="M42" s="283"/>
    </row>
    <row r="43" spans="1:13">
      <c r="A43" s="2019" t="s">
        <v>730</v>
      </c>
      <c r="B43" s="280" t="s">
        <v>731</v>
      </c>
      <c r="C43" s="281">
        <v>65.662999999999997</v>
      </c>
      <c r="D43" s="281">
        <v>276.82400000000001</v>
      </c>
      <c r="E43" s="283"/>
      <c r="F43" s="281">
        <v>342.48700000000002</v>
      </c>
      <c r="G43" s="281">
        <v>13.223000000000001</v>
      </c>
      <c r="H43" s="283"/>
      <c r="I43" s="281">
        <v>80.652000000000001</v>
      </c>
      <c r="J43" s="281">
        <v>93.875</v>
      </c>
      <c r="K43" s="281">
        <v>36.417999999999999</v>
      </c>
      <c r="L43" s="281">
        <v>130.29300000000001</v>
      </c>
      <c r="M43" s="281">
        <v>212.19399999999999</v>
      </c>
    </row>
    <row r="44" spans="1:13">
      <c r="A44" s="2020"/>
      <c r="B44" s="280" t="s">
        <v>732</v>
      </c>
      <c r="C44" s="281">
        <v>212.19399999999999</v>
      </c>
      <c r="D44" s="283"/>
      <c r="E44" s="282">
        <v>3.5999999999999997E-2</v>
      </c>
      <c r="F44" s="281">
        <v>212.23</v>
      </c>
      <c r="G44" s="281">
        <v>13.225</v>
      </c>
      <c r="H44" s="283"/>
      <c r="I44" s="281">
        <v>13.919</v>
      </c>
      <c r="J44" s="281">
        <v>27.143999999999998</v>
      </c>
      <c r="K44" s="281">
        <v>42.863999999999997</v>
      </c>
      <c r="L44" s="281">
        <v>70.007999999999996</v>
      </c>
      <c r="M44" s="281">
        <v>142.22200000000001</v>
      </c>
    </row>
    <row r="45" spans="1:13">
      <c r="A45" s="2020"/>
      <c r="B45" s="280" t="s">
        <v>733</v>
      </c>
      <c r="C45" s="281">
        <v>142.22200000000001</v>
      </c>
      <c r="D45" s="283"/>
      <c r="E45" s="283"/>
      <c r="F45" s="281">
        <v>142.22200000000001</v>
      </c>
      <c r="G45" s="281">
        <v>13.224</v>
      </c>
      <c r="H45" s="282">
        <v>0.61199999999999999</v>
      </c>
      <c r="I45" s="281">
        <v>18.286000000000001</v>
      </c>
      <c r="J45" s="281">
        <v>32.122</v>
      </c>
      <c r="K45" s="281">
        <v>35.229999999999997</v>
      </c>
      <c r="L45" s="281">
        <v>67.352000000000004</v>
      </c>
      <c r="M45" s="281">
        <v>74.87</v>
      </c>
    </row>
    <row r="46" spans="1:13">
      <c r="A46" s="2020"/>
      <c r="B46" s="280" t="s">
        <v>734</v>
      </c>
      <c r="C46" s="281">
        <v>74.87</v>
      </c>
      <c r="D46" s="283"/>
      <c r="E46" s="282">
        <v>0.04</v>
      </c>
      <c r="F46" s="281">
        <v>74.910000000000011</v>
      </c>
      <c r="G46" s="281">
        <v>4.3410000000000002</v>
      </c>
      <c r="H46" s="282">
        <v>0.375</v>
      </c>
      <c r="I46" s="281">
        <v>6.4000000000000001E-2</v>
      </c>
      <c r="J46" s="281">
        <v>4.78</v>
      </c>
      <c r="K46" s="281">
        <v>38.076999999999998</v>
      </c>
      <c r="L46" s="281">
        <v>42.856999999999999</v>
      </c>
      <c r="M46" s="281">
        <v>32.052999999999997</v>
      </c>
    </row>
    <row r="47" spans="1:13">
      <c r="A47" s="2020"/>
      <c r="B47" s="280" t="s">
        <v>736</v>
      </c>
      <c r="C47" s="281">
        <v>65.662999999999997</v>
      </c>
      <c r="D47" s="281">
        <v>276.82400000000001</v>
      </c>
      <c r="E47" s="282">
        <v>7.5999999999999998E-2</v>
      </c>
      <c r="F47" s="281">
        <v>342.56300000000005</v>
      </c>
      <c r="G47" s="281">
        <v>44.012999999999998</v>
      </c>
      <c r="H47" s="282">
        <v>0.98699999999999999</v>
      </c>
      <c r="I47" s="281">
        <v>112.92099999999999</v>
      </c>
      <c r="J47" s="281">
        <v>157.92100000000002</v>
      </c>
      <c r="K47" s="281">
        <v>152.589</v>
      </c>
      <c r="L47" s="281">
        <v>310.51</v>
      </c>
      <c r="M47" s="281">
        <v>32.052999999999997</v>
      </c>
    </row>
    <row r="48" spans="1:13">
      <c r="A48" s="2020"/>
      <c r="B48" s="279"/>
      <c r="C48" s="283"/>
      <c r="D48" s="283"/>
      <c r="E48" s="283"/>
      <c r="F48" s="283"/>
      <c r="G48" s="283"/>
      <c r="H48" s="283"/>
      <c r="I48" s="283"/>
      <c r="J48" s="283"/>
      <c r="K48" s="283"/>
      <c r="L48" s="283"/>
      <c r="M48" s="283"/>
    </row>
    <row r="49" spans="1:13">
      <c r="A49" s="2019" t="s">
        <v>739</v>
      </c>
      <c r="B49" s="280" t="s">
        <v>731</v>
      </c>
      <c r="C49" s="281">
        <v>32.052999999999997</v>
      </c>
      <c r="D49" s="281">
        <v>497.44499999999999</v>
      </c>
      <c r="E49" s="282">
        <v>2.3E-2</v>
      </c>
      <c r="F49" s="281">
        <v>529.52100000000007</v>
      </c>
      <c r="G49" s="281">
        <v>8.5</v>
      </c>
      <c r="H49" s="283"/>
      <c r="I49" s="281">
        <v>136.06899999999999</v>
      </c>
      <c r="J49" s="281">
        <v>144.56899999999999</v>
      </c>
      <c r="K49" s="281">
        <v>93.701999999999998</v>
      </c>
      <c r="L49" s="281">
        <v>238.27099999999999</v>
      </c>
      <c r="M49" s="281">
        <v>291.25</v>
      </c>
    </row>
    <row r="50" spans="1:13">
      <c r="A50" s="2020"/>
      <c r="B50" s="280" t="s">
        <v>732</v>
      </c>
      <c r="C50" s="281">
        <v>291.25</v>
      </c>
      <c r="D50" s="283"/>
      <c r="E50" s="282">
        <v>1E-3</v>
      </c>
      <c r="F50" s="281">
        <v>291.25099999999998</v>
      </c>
      <c r="G50" s="281">
        <v>8.5</v>
      </c>
      <c r="H50" s="283"/>
      <c r="I50" s="281">
        <v>5.8559999999999999</v>
      </c>
      <c r="J50" s="281">
        <v>14.356</v>
      </c>
      <c r="K50" s="281">
        <v>90.986999999999995</v>
      </c>
      <c r="L50" s="281">
        <v>105.343</v>
      </c>
      <c r="M50" s="281">
        <v>185.90799999999999</v>
      </c>
    </row>
    <row r="51" spans="1:13">
      <c r="A51" s="2020"/>
      <c r="B51" s="280" t="s">
        <v>733</v>
      </c>
      <c r="C51" s="281">
        <v>185.90799999999999</v>
      </c>
      <c r="D51" s="283"/>
      <c r="E51" s="282">
        <v>6.0000000000000001E-3</v>
      </c>
      <c r="F51" s="281">
        <v>185.91399999999999</v>
      </c>
      <c r="G51" s="281">
        <v>8.6999999999999993</v>
      </c>
      <c r="H51" s="282">
        <v>0.59799999999999998</v>
      </c>
      <c r="I51" s="281">
        <v>17.878</v>
      </c>
      <c r="J51" s="281">
        <v>27.175999999999998</v>
      </c>
      <c r="K51" s="281">
        <v>57.719000000000001</v>
      </c>
      <c r="L51" s="281">
        <v>84.894999999999996</v>
      </c>
      <c r="M51" s="281">
        <v>101.01900000000001</v>
      </c>
    </row>
    <row r="52" spans="1:13">
      <c r="A52" s="2020"/>
      <c r="B52" s="280" t="s">
        <v>734</v>
      </c>
      <c r="C52" s="281">
        <v>101.01900000000001</v>
      </c>
      <c r="D52" s="283"/>
      <c r="E52" s="282">
        <v>8.9999999999999993E-3</v>
      </c>
      <c r="F52" s="281">
        <v>101.02800000000001</v>
      </c>
      <c r="G52" s="281">
        <v>8.4</v>
      </c>
      <c r="H52" s="282">
        <v>0.45700000000000002</v>
      </c>
      <c r="I52" s="281">
        <v>5.0890000000000004</v>
      </c>
      <c r="J52" s="281">
        <v>13.946</v>
      </c>
      <c r="K52" s="281">
        <v>34.332000000000001</v>
      </c>
      <c r="L52" s="281">
        <v>48.277999999999999</v>
      </c>
      <c r="M52" s="281">
        <v>52.75</v>
      </c>
    </row>
    <row r="53" spans="1:13">
      <c r="A53" s="2020"/>
      <c r="B53" s="280" t="s">
        <v>736</v>
      </c>
      <c r="C53" s="281">
        <v>32.052999999999997</v>
      </c>
      <c r="D53" s="281">
        <v>497.44499999999999</v>
      </c>
      <c r="E53" s="282">
        <v>3.9E-2</v>
      </c>
      <c r="F53" s="281">
        <v>529.53700000000003</v>
      </c>
      <c r="G53" s="281">
        <v>34.1</v>
      </c>
      <c r="H53" s="282">
        <v>1.0549999999999999</v>
      </c>
      <c r="I53" s="281">
        <v>164.892</v>
      </c>
      <c r="J53" s="281">
        <v>200.04699999999997</v>
      </c>
      <c r="K53" s="281">
        <v>276.74</v>
      </c>
      <c r="L53" s="281">
        <v>476.78699999999998</v>
      </c>
      <c r="M53" s="281">
        <v>52.75</v>
      </c>
    </row>
    <row r="54" spans="1:13">
      <c r="A54" s="2020"/>
      <c r="B54" s="279"/>
      <c r="C54" s="283"/>
      <c r="D54" s="283"/>
      <c r="E54" s="283"/>
      <c r="F54" s="283"/>
      <c r="G54" s="283"/>
      <c r="H54" s="283"/>
      <c r="I54" s="283"/>
      <c r="J54" s="283"/>
      <c r="K54" s="283"/>
      <c r="L54" s="283"/>
      <c r="M54" s="283"/>
    </row>
    <row r="55" spans="1:13">
      <c r="A55" s="2019" t="s">
        <v>741</v>
      </c>
      <c r="B55" s="280" t="s">
        <v>731</v>
      </c>
      <c r="C55" s="281">
        <v>52.75</v>
      </c>
      <c r="D55" s="281">
        <v>472.34199999999998</v>
      </c>
      <c r="E55" s="282">
        <v>0.112</v>
      </c>
      <c r="F55" s="281">
        <v>525.20399999999995</v>
      </c>
      <c r="G55" s="281">
        <v>27.318999999999999</v>
      </c>
      <c r="H55" s="283"/>
      <c r="I55" s="281">
        <v>156.03700000000001</v>
      </c>
      <c r="J55" s="281">
        <v>183.35599999999999</v>
      </c>
      <c r="K55" s="281">
        <v>44.158000000000001</v>
      </c>
      <c r="L55" s="281">
        <v>227.51400000000001</v>
      </c>
      <c r="M55" s="281">
        <v>297.69</v>
      </c>
    </row>
    <row r="56" spans="1:13">
      <c r="A56" s="2020"/>
      <c r="B56" s="280" t="s">
        <v>732</v>
      </c>
      <c r="C56" s="281">
        <v>297.69</v>
      </c>
      <c r="D56" s="283"/>
      <c r="E56" s="282">
        <v>0.02</v>
      </c>
      <c r="F56" s="281">
        <v>297.70999999999998</v>
      </c>
      <c r="G56" s="281">
        <v>27.318000000000001</v>
      </c>
      <c r="H56" s="283"/>
      <c r="I56" s="281">
        <v>32.366999999999997</v>
      </c>
      <c r="J56" s="281">
        <v>59.685000000000002</v>
      </c>
      <c r="K56" s="281">
        <v>32.174999999999997</v>
      </c>
      <c r="L56" s="281">
        <v>91.86</v>
      </c>
      <c r="M56" s="281">
        <v>205.85</v>
      </c>
    </row>
    <row r="57" spans="1:13">
      <c r="A57" s="2020"/>
      <c r="B57" s="280" t="s">
        <v>733</v>
      </c>
      <c r="C57" s="281">
        <v>205.85</v>
      </c>
      <c r="D57" s="283"/>
      <c r="E57" s="283"/>
      <c r="F57" s="281">
        <v>205.85</v>
      </c>
      <c r="G57" s="281">
        <v>27.834</v>
      </c>
      <c r="H57" s="282">
        <v>0.46300000000000002</v>
      </c>
      <c r="I57" s="281">
        <v>40.103999999999999</v>
      </c>
      <c r="J57" s="281">
        <v>68.400999999999996</v>
      </c>
      <c r="K57" s="281">
        <v>35.234000000000002</v>
      </c>
      <c r="L57" s="281">
        <v>103.63500000000001</v>
      </c>
      <c r="M57" s="281">
        <v>102.215</v>
      </c>
    </row>
    <row r="58" spans="1:13">
      <c r="A58" s="2020"/>
      <c r="B58" s="280" t="s">
        <v>734</v>
      </c>
      <c r="C58" s="281">
        <v>102.215</v>
      </c>
      <c r="D58" s="283"/>
      <c r="E58" s="283"/>
      <c r="F58" s="281">
        <v>102.215</v>
      </c>
      <c r="G58" s="281">
        <v>11.675000000000001</v>
      </c>
      <c r="H58" s="282">
        <v>0.34799999999999998</v>
      </c>
      <c r="I58" s="281">
        <v>4.0590000000000002</v>
      </c>
      <c r="J58" s="281">
        <v>16.082000000000001</v>
      </c>
      <c r="K58" s="281">
        <v>31.420999999999999</v>
      </c>
      <c r="L58" s="281">
        <v>47.503</v>
      </c>
      <c r="M58" s="281">
        <v>54.712000000000003</v>
      </c>
    </row>
    <row r="59" spans="1:13">
      <c r="A59" s="2020"/>
      <c r="B59" s="280" t="s">
        <v>736</v>
      </c>
      <c r="C59" s="281">
        <v>52.75</v>
      </c>
      <c r="D59" s="281">
        <v>472.34199999999998</v>
      </c>
      <c r="E59" s="282">
        <v>0.13200000000000001</v>
      </c>
      <c r="F59" s="281">
        <v>525.22399999999993</v>
      </c>
      <c r="G59" s="281">
        <v>94.146000000000001</v>
      </c>
      <c r="H59" s="282">
        <v>0.81099999999999994</v>
      </c>
      <c r="I59" s="281">
        <v>232.56699999999998</v>
      </c>
      <c r="J59" s="281">
        <v>327.524</v>
      </c>
      <c r="K59" s="281">
        <v>142.988</v>
      </c>
      <c r="L59" s="281">
        <v>470.512</v>
      </c>
      <c r="M59" s="281">
        <v>54.712000000000003</v>
      </c>
    </row>
    <row r="60" spans="1:13">
      <c r="A60" s="2020"/>
      <c r="B60" s="279"/>
      <c r="C60" s="283"/>
      <c r="D60" s="283"/>
      <c r="E60" s="283"/>
      <c r="F60" s="283"/>
      <c r="G60" s="283"/>
      <c r="H60" s="283"/>
      <c r="I60" s="283"/>
      <c r="J60" s="283"/>
      <c r="K60" s="283"/>
      <c r="L60" s="283"/>
      <c r="M60" s="283"/>
    </row>
    <row r="61" spans="1:13">
      <c r="A61" s="2019" t="s">
        <v>735</v>
      </c>
      <c r="B61" s="280" t="s">
        <v>731</v>
      </c>
      <c r="C61" s="281">
        <v>54.712000000000003</v>
      </c>
      <c r="D61" s="281">
        <v>382.983</v>
      </c>
      <c r="E61" s="283"/>
      <c r="F61" s="281">
        <v>437.69499999999999</v>
      </c>
      <c r="G61" s="281">
        <v>25</v>
      </c>
      <c r="H61" s="283"/>
      <c r="I61" s="281">
        <v>115.70699999999999</v>
      </c>
      <c r="J61" s="281">
        <v>140.70699999999999</v>
      </c>
      <c r="K61" s="281">
        <v>46.228999999999999</v>
      </c>
      <c r="L61" s="281">
        <v>186.93600000000001</v>
      </c>
      <c r="M61" s="281">
        <v>250.75899999999999</v>
      </c>
    </row>
    <row r="62" spans="1:13">
      <c r="A62" s="2020"/>
      <c r="B62" s="280" t="s">
        <v>732</v>
      </c>
      <c r="C62" s="281">
        <v>250.75899999999999</v>
      </c>
      <c r="D62" s="283"/>
      <c r="E62" s="282">
        <v>5.0000000000000001E-3</v>
      </c>
      <c r="F62" s="281">
        <v>250.76399999999998</v>
      </c>
      <c r="G62" s="281">
        <v>25</v>
      </c>
      <c r="H62" s="283"/>
      <c r="I62" s="281">
        <v>7.0439999999999996</v>
      </c>
      <c r="J62" s="281">
        <v>32.043999999999997</v>
      </c>
      <c r="K62" s="281">
        <v>43.167000000000002</v>
      </c>
      <c r="L62" s="281">
        <v>75.210999999999999</v>
      </c>
      <c r="M62" s="281">
        <v>175.553</v>
      </c>
    </row>
    <row r="63" spans="1:13">
      <c r="A63" s="2020"/>
      <c r="B63" s="280" t="s">
        <v>733</v>
      </c>
      <c r="C63" s="281">
        <v>175.553</v>
      </c>
      <c r="D63" s="283"/>
      <c r="E63" s="283"/>
      <c r="F63" s="281">
        <v>175.553</v>
      </c>
      <c r="G63" s="281">
        <v>25.207999999999998</v>
      </c>
      <c r="H63" s="282">
        <v>0.39200000000000002</v>
      </c>
      <c r="I63" s="281">
        <v>15.15</v>
      </c>
      <c r="J63" s="281">
        <v>40.75</v>
      </c>
      <c r="K63" s="281">
        <v>46.941000000000003</v>
      </c>
      <c r="L63" s="281">
        <v>87.691000000000003</v>
      </c>
      <c r="M63" s="281">
        <v>87.861999999999995</v>
      </c>
    </row>
    <row r="64" spans="1:13">
      <c r="A64" s="2020"/>
      <c r="B64" s="280" t="s">
        <v>734</v>
      </c>
      <c r="C64" s="281">
        <v>87.861999999999995</v>
      </c>
      <c r="D64" s="283"/>
      <c r="E64" s="283"/>
      <c r="F64" s="281">
        <v>87.861999999999995</v>
      </c>
      <c r="G64" s="281">
        <v>14.048999999999999</v>
      </c>
      <c r="H64" s="282">
        <v>0.35099999999999998</v>
      </c>
      <c r="I64" s="281">
        <v>2.7669999999999999</v>
      </c>
      <c r="J64" s="281">
        <v>17.167000000000002</v>
      </c>
      <c r="K64" s="281">
        <v>29.454999999999998</v>
      </c>
      <c r="L64" s="281">
        <v>46.622</v>
      </c>
      <c r="M64" s="281">
        <v>41.24</v>
      </c>
    </row>
    <row r="65" spans="1:13">
      <c r="A65" s="2020"/>
      <c r="B65" s="280" t="s">
        <v>736</v>
      </c>
      <c r="C65" s="281">
        <v>54.712000000000003</v>
      </c>
      <c r="D65" s="281">
        <v>382.983</v>
      </c>
      <c r="E65" s="282">
        <v>5.0000000000000001E-3</v>
      </c>
      <c r="F65" s="281">
        <v>437.7</v>
      </c>
      <c r="G65" s="281">
        <v>89.257000000000005</v>
      </c>
      <c r="H65" s="282">
        <v>0.74299999999999999</v>
      </c>
      <c r="I65" s="281">
        <v>140.66799999999998</v>
      </c>
      <c r="J65" s="281">
        <v>230.66799999999998</v>
      </c>
      <c r="K65" s="281">
        <v>165.79199999999997</v>
      </c>
      <c r="L65" s="281">
        <v>396.46</v>
      </c>
      <c r="M65" s="281">
        <v>41.24</v>
      </c>
    </row>
    <row r="66" spans="1:13">
      <c r="A66" s="2020"/>
      <c r="B66" s="279"/>
      <c r="C66" s="283"/>
      <c r="D66" s="283"/>
      <c r="E66" s="283"/>
      <c r="F66" s="283"/>
      <c r="G66" s="283"/>
      <c r="H66" s="283"/>
      <c r="I66" s="283"/>
      <c r="J66" s="283"/>
      <c r="K66" s="283"/>
      <c r="L66" s="283"/>
      <c r="M66" s="283"/>
    </row>
    <row r="67" spans="1:13">
      <c r="A67" s="2019" t="s">
        <v>737</v>
      </c>
      <c r="B67" s="280" t="s">
        <v>731</v>
      </c>
      <c r="C67" s="281">
        <v>41.24</v>
      </c>
      <c r="D67" s="281">
        <v>345.625</v>
      </c>
      <c r="E67" s="282">
        <v>8.0000000000000002E-3</v>
      </c>
      <c r="F67" s="281">
        <v>386.87299999999999</v>
      </c>
      <c r="G67" s="281">
        <v>23.597999999999999</v>
      </c>
      <c r="H67" s="283"/>
      <c r="I67" s="281">
        <v>89.692999999999998</v>
      </c>
      <c r="J67" s="281">
        <v>113.291</v>
      </c>
      <c r="K67" s="281">
        <v>35.914000000000001</v>
      </c>
      <c r="L67" s="281">
        <v>149.20500000000001</v>
      </c>
      <c r="M67" s="281">
        <v>237.66800000000001</v>
      </c>
    </row>
    <row r="68" spans="1:13">
      <c r="A68" s="2020"/>
      <c r="B68" s="280" t="s">
        <v>732</v>
      </c>
      <c r="C68" s="281">
        <v>237.66800000000001</v>
      </c>
      <c r="D68" s="283"/>
      <c r="E68" s="282">
        <v>0.02</v>
      </c>
      <c r="F68" s="281">
        <v>237.68800000000002</v>
      </c>
      <c r="G68" s="281">
        <v>24.852</v>
      </c>
      <c r="H68" s="283"/>
      <c r="I68" s="281">
        <v>16.206</v>
      </c>
      <c r="J68" s="281">
        <v>41.058</v>
      </c>
      <c r="K68" s="281">
        <v>25.582999999999998</v>
      </c>
      <c r="L68" s="281">
        <v>66.641000000000005</v>
      </c>
      <c r="M68" s="281">
        <v>171.047</v>
      </c>
    </row>
    <row r="69" spans="1:13">
      <c r="A69" s="2020"/>
      <c r="B69" s="280" t="s">
        <v>733</v>
      </c>
      <c r="C69" s="281">
        <v>171.047</v>
      </c>
      <c r="D69" s="283"/>
      <c r="E69" s="282">
        <v>2E-3</v>
      </c>
      <c r="F69" s="281">
        <v>171.04900000000001</v>
      </c>
      <c r="G69" s="281">
        <v>26.475999999999999</v>
      </c>
      <c r="H69" s="282">
        <v>0.315</v>
      </c>
      <c r="I69" s="281">
        <v>12.9</v>
      </c>
      <c r="J69" s="281">
        <v>39.691000000000003</v>
      </c>
      <c r="K69" s="281">
        <v>51.323999999999998</v>
      </c>
      <c r="L69" s="281">
        <v>91.015000000000001</v>
      </c>
      <c r="M69" s="281">
        <v>80.034000000000006</v>
      </c>
    </row>
    <row r="70" spans="1:13">
      <c r="A70" s="2020"/>
      <c r="B70" s="280" t="s">
        <v>734</v>
      </c>
      <c r="C70" s="281">
        <v>80.034000000000006</v>
      </c>
      <c r="D70" s="283"/>
      <c r="E70" s="283"/>
      <c r="F70" s="281">
        <v>80.034000000000006</v>
      </c>
      <c r="G70" s="281">
        <v>9.4239999999999995</v>
      </c>
      <c r="H70" s="282">
        <v>0.33500000000000002</v>
      </c>
      <c r="I70" s="281">
        <v>3.944</v>
      </c>
      <c r="J70" s="281">
        <v>13.702999999999999</v>
      </c>
      <c r="K70" s="281">
        <v>38.881</v>
      </c>
      <c r="L70" s="281">
        <v>52.584000000000003</v>
      </c>
      <c r="M70" s="281">
        <v>27.45</v>
      </c>
    </row>
    <row r="71" spans="1:13">
      <c r="A71" s="2020"/>
      <c r="B71" s="280" t="s">
        <v>736</v>
      </c>
      <c r="C71" s="281">
        <v>41.24</v>
      </c>
      <c r="D71" s="281">
        <v>345.625</v>
      </c>
      <c r="E71" s="282">
        <v>0.03</v>
      </c>
      <c r="F71" s="281">
        <v>386.89499999999998</v>
      </c>
      <c r="G71" s="281">
        <v>84.35</v>
      </c>
      <c r="H71" s="282">
        <v>0.65</v>
      </c>
      <c r="I71" s="281">
        <v>122.74300000000001</v>
      </c>
      <c r="J71" s="281">
        <v>207.74299999999999</v>
      </c>
      <c r="K71" s="281">
        <v>151.702</v>
      </c>
      <c r="L71" s="281">
        <v>359.44499999999999</v>
      </c>
      <c r="M71" s="281">
        <v>27.45</v>
      </c>
    </row>
    <row r="72" spans="1:13">
      <c r="A72" s="2020"/>
      <c r="B72" s="279"/>
      <c r="C72" s="283"/>
      <c r="D72" s="283"/>
      <c r="E72" s="283"/>
      <c r="F72" s="283"/>
      <c r="G72" s="283"/>
      <c r="H72" s="283"/>
      <c r="I72" s="283"/>
      <c r="J72" s="283"/>
      <c r="K72" s="283"/>
      <c r="L72" s="283"/>
      <c r="M72" s="283"/>
    </row>
    <row r="73" spans="1:13">
      <c r="A73" s="2019" t="s">
        <v>738</v>
      </c>
      <c r="B73" s="280" t="s">
        <v>731</v>
      </c>
      <c r="C73" s="281">
        <v>27.45</v>
      </c>
      <c r="D73" s="281">
        <v>214.44300000000001</v>
      </c>
      <c r="E73" s="282">
        <v>1E-3</v>
      </c>
      <c r="F73" s="281">
        <v>241.89400000000001</v>
      </c>
      <c r="G73" s="281">
        <v>24.5</v>
      </c>
      <c r="H73" s="283"/>
      <c r="I73" s="281">
        <v>44.31</v>
      </c>
      <c r="J73" s="281">
        <v>68.81</v>
      </c>
      <c r="K73" s="281">
        <v>22.132999999999999</v>
      </c>
      <c r="L73" s="281">
        <v>90.942999999999998</v>
      </c>
      <c r="M73" s="281">
        <v>150.95099999999999</v>
      </c>
    </row>
    <row r="74" spans="1:13">
      <c r="A74" s="2020"/>
      <c r="B74" s="280" t="s">
        <v>732</v>
      </c>
      <c r="C74" s="281">
        <v>150.95099999999999</v>
      </c>
      <c r="D74" s="283"/>
      <c r="E74" s="282">
        <v>4.7E-2</v>
      </c>
      <c r="F74" s="281">
        <v>150.99799999999999</v>
      </c>
      <c r="G74" s="281">
        <v>25.512</v>
      </c>
      <c r="H74" s="283"/>
      <c r="I74" s="281">
        <v>5.6959999999999997</v>
      </c>
      <c r="J74" s="281">
        <v>31.207999999999998</v>
      </c>
      <c r="K74" s="281">
        <v>11.724</v>
      </c>
      <c r="L74" s="281">
        <v>42.932000000000002</v>
      </c>
      <c r="M74" s="281">
        <v>108.066</v>
      </c>
    </row>
    <row r="75" spans="1:13">
      <c r="A75" s="2020"/>
      <c r="B75" s="280" t="s">
        <v>733</v>
      </c>
      <c r="C75" s="281">
        <v>108.066</v>
      </c>
      <c r="D75" s="283"/>
      <c r="E75" s="282">
        <v>5.1999999999999998E-2</v>
      </c>
      <c r="F75" s="281">
        <v>108.11800000000001</v>
      </c>
      <c r="G75" s="281">
        <v>26.100999999999999</v>
      </c>
      <c r="H75" s="282">
        <v>0.41299999999999998</v>
      </c>
      <c r="I75" s="281">
        <v>15.349</v>
      </c>
      <c r="J75" s="281">
        <v>41.863</v>
      </c>
      <c r="K75" s="281">
        <v>7.73</v>
      </c>
      <c r="L75" s="281">
        <v>49.593000000000004</v>
      </c>
      <c r="M75" s="281">
        <v>58.524999999999999</v>
      </c>
    </row>
    <row r="76" spans="1:13">
      <c r="A76" s="2020"/>
      <c r="B76" s="280" t="s">
        <v>734</v>
      </c>
      <c r="C76" s="281">
        <v>58.524999999999999</v>
      </c>
      <c r="D76" s="283"/>
      <c r="E76" s="282">
        <v>5.0000000000000001E-3</v>
      </c>
      <c r="F76" s="281">
        <v>58.53</v>
      </c>
      <c r="G76" s="281">
        <v>8.1869999999999994</v>
      </c>
      <c r="H76" s="282">
        <v>0.28699999999999998</v>
      </c>
      <c r="I76" s="281">
        <v>5.2039999999999997</v>
      </c>
      <c r="J76" s="281">
        <v>13.678000000000001</v>
      </c>
      <c r="K76" s="281">
        <v>21.913</v>
      </c>
      <c r="L76" s="281">
        <v>35.591000000000001</v>
      </c>
      <c r="M76" s="281">
        <v>22.939</v>
      </c>
    </row>
    <row r="77" spans="1:13">
      <c r="A77" s="2020"/>
      <c r="B77" s="280" t="s">
        <v>736</v>
      </c>
      <c r="C77" s="281">
        <v>27.45</v>
      </c>
      <c r="D77" s="281">
        <v>214.44300000000001</v>
      </c>
      <c r="E77" s="282">
        <v>0.10500000000000001</v>
      </c>
      <c r="F77" s="281">
        <v>241.99799999999999</v>
      </c>
      <c r="G77" s="281">
        <v>84.3</v>
      </c>
      <c r="H77" s="282">
        <v>0.7</v>
      </c>
      <c r="I77" s="281">
        <v>70.558999999999997</v>
      </c>
      <c r="J77" s="281">
        <v>155.559</v>
      </c>
      <c r="K77" s="281">
        <v>63.5</v>
      </c>
      <c r="L77" s="281">
        <v>219.05900000000003</v>
      </c>
      <c r="M77" s="281">
        <v>22.939</v>
      </c>
    </row>
    <row r="78" spans="1:13">
      <c r="A78" s="2020"/>
      <c r="B78" s="279"/>
      <c r="C78" s="283"/>
      <c r="D78" s="283"/>
      <c r="E78" s="283"/>
      <c r="F78" s="283"/>
      <c r="G78" s="283"/>
      <c r="H78" s="283"/>
      <c r="I78" s="283"/>
      <c r="J78" s="283"/>
      <c r="K78" s="283"/>
      <c r="L78" s="283"/>
      <c r="M78" s="283"/>
    </row>
    <row r="79" spans="1:13">
      <c r="A79" s="2019" t="s">
        <v>742</v>
      </c>
      <c r="B79" s="280" t="s">
        <v>736</v>
      </c>
      <c r="C79" s="281">
        <v>22.939</v>
      </c>
      <c r="D79" s="281">
        <v>251.977</v>
      </c>
      <c r="E79" s="283"/>
      <c r="F79" s="281">
        <v>274.916</v>
      </c>
      <c r="G79" s="281">
        <v>79.3</v>
      </c>
      <c r="H79" s="282">
        <v>0.7</v>
      </c>
      <c r="I79" s="281">
        <v>70.000000000000014</v>
      </c>
      <c r="J79" s="281">
        <v>150</v>
      </c>
      <c r="K79" s="281">
        <v>100</v>
      </c>
      <c r="L79" s="281">
        <v>250</v>
      </c>
      <c r="M79" s="281">
        <v>24.916</v>
      </c>
    </row>
    <row r="80" spans="1:13">
      <c r="A80" s="2021"/>
      <c r="B80" s="284"/>
      <c r="C80" s="285"/>
      <c r="D80" s="285"/>
      <c r="E80" s="285"/>
      <c r="F80" s="285"/>
      <c r="G80" s="285"/>
      <c r="H80" s="285"/>
      <c r="I80" s="285"/>
      <c r="J80" s="285"/>
      <c r="K80" s="285"/>
      <c r="L80" s="285"/>
      <c r="M80" s="285"/>
    </row>
    <row r="81" spans="1:13">
      <c r="A81" s="2038" t="s">
        <v>629</v>
      </c>
      <c r="B81" s="2020"/>
      <c r="C81" s="2020"/>
      <c r="D81" s="2020"/>
      <c r="E81" s="2020"/>
      <c r="F81" s="2020"/>
      <c r="G81" s="2020"/>
      <c r="H81" s="2020"/>
      <c r="I81" s="2020"/>
      <c r="J81" s="2020"/>
      <c r="K81" s="2020"/>
      <c r="L81" s="2020"/>
      <c r="M81" s="2020"/>
    </row>
    <row r="82" spans="1:13">
      <c r="A82" s="2046" t="s">
        <v>507</v>
      </c>
      <c r="B82" s="2020"/>
      <c r="C82" s="2020"/>
      <c r="D82" s="2020"/>
      <c r="E82" s="2020"/>
      <c r="F82" s="2020"/>
      <c r="G82" s="2020"/>
      <c r="H82" s="2020"/>
      <c r="I82" s="2020"/>
      <c r="J82" s="2020"/>
      <c r="K82" s="2020"/>
      <c r="L82" s="2020"/>
      <c r="M82" s="2020"/>
    </row>
  </sheetData>
  <mergeCells count="29">
    <mergeCell ref="O3:AA3"/>
    <mergeCell ref="O4:P6"/>
    <mergeCell ref="Q4:T4"/>
    <mergeCell ref="U4:Z4"/>
    <mergeCell ref="Q5:T5"/>
    <mergeCell ref="U5:X5"/>
    <mergeCell ref="Y5:Z5"/>
    <mergeCell ref="A73:A78"/>
    <mergeCell ref="A79:A80"/>
    <mergeCell ref="A81:M81"/>
    <mergeCell ref="A82:M82"/>
    <mergeCell ref="A37:A42"/>
    <mergeCell ref="A43:A48"/>
    <mergeCell ref="A49:A54"/>
    <mergeCell ref="A55:A60"/>
    <mergeCell ref="A61:A66"/>
    <mergeCell ref="A67:A72"/>
    <mergeCell ref="A7:A12"/>
    <mergeCell ref="A13:A18"/>
    <mergeCell ref="A19:A24"/>
    <mergeCell ref="A25:A30"/>
    <mergeCell ref="A31:A36"/>
    <mergeCell ref="A3:M3"/>
    <mergeCell ref="A4:B6"/>
    <mergeCell ref="C4:F4"/>
    <mergeCell ref="G4:L4"/>
    <mergeCell ref="C5:F5"/>
    <mergeCell ref="G5:J5"/>
    <mergeCell ref="K5:L5"/>
  </mergeCells>
  <phoneticPr fontId="107" type="noConversion"/>
  <hyperlinks>
    <hyperlink ref="A2" r:id="rId1" xr:uid="{00000000-0004-0000-1000-000000000000}"/>
  </hyperlinks>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V50"/>
  <sheetViews>
    <sheetView topLeftCell="A2" workbookViewId="0">
      <selection activeCell="F24" sqref="F24"/>
    </sheetView>
  </sheetViews>
  <sheetFormatPr baseColWidth="10" defaultColWidth="8.83203125" defaultRowHeight="15"/>
  <cols>
    <col min="5" max="5" width="10" customWidth="1"/>
    <col min="16" max="16" width="12.1640625" customWidth="1"/>
    <col min="17" max="17" width="13.1640625" customWidth="1"/>
    <col min="20" max="20" width="13" customWidth="1"/>
    <col min="21" max="21" width="12.6640625" customWidth="1"/>
    <col min="22" max="22" width="15.5" customWidth="1"/>
  </cols>
  <sheetData>
    <row r="1" spans="1:22" s="288" customFormat="1">
      <c r="A1" s="288" t="s">
        <v>377</v>
      </c>
    </row>
    <row r="2" spans="1:22" s="288" customFormat="1">
      <c r="A2" s="248" t="s">
        <v>376</v>
      </c>
    </row>
    <row r="3" spans="1:22">
      <c r="A3" s="37" t="s">
        <v>678</v>
      </c>
      <c r="B3" s="54"/>
      <c r="C3" s="54"/>
      <c r="D3" s="54"/>
      <c r="E3" s="54"/>
      <c r="F3" s="54"/>
      <c r="G3" s="54"/>
      <c r="H3" s="54"/>
      <c r="I3" s="54"/>
      <c r="J3" s="54"/>
      <c r="K3" s="54"/>
      <c r="L3" s="55"/>
      <c r="M3" s="55"/>
      <c r="O3" s="89" t="s">
        <v>690</v>
      </c>
      <c r="P3" s="72"/>
      <c r="Q3" s="72"/>
      <c r="R3" s="72"/>
      <c r="S3" s="72"/>
      <c r="T3" s="72"/>
      <c r="U3" s="72"/>
      <c r="V3" s="72"/>
    </row>
    <row r="4" spans="1:22">
      <c r="A4" s="55" t="s">
        <v>679</v>
      </c>
      <c r="B4" s="53" t="s">
        <v>600</v>
      </c>
      <c r="C4" s="53"/>
      <c r="D4" s="53"/>
      <c r="E4" s="55"/>
      <c r="F4" s="53" t="s">
        <v>601</v>
      </c>
      <c r="G4" s="53"/>
      <c r="H4" s="53"/>
      <c r="I4" s="53"/>
      <c r="J4" s="55"/>
      <c r="K4" s="33" t="s">
        <v>680</v>
      </c>
      <c r="L4" s="1205"/>
      <c r="M4" s="1206"/>
      <c r="O4" s="56" t="s">
        <v>691</v>
      </c>
      <c r="P4" s="73" t="s">
        <v>692</v>
      </c>
      <c r="Q4" s="73" t="s">
        <v>693</v>
      </c>
      <c r="R4" s="91" t="s">
        <v>608</v>
      </c>
      <c r="S4" s="73" t="s">
        <v>608</v>
      </c>
      <c r="T4" s="73" t="s">
        <v>675</v>
      </c>
      <c r="U4" s="73" t="s">
        <v>694</v>
      </c>
      <c r="V4" s="73" t="s">
        <v>695</v>
      </c>
    </row>
    <row r="5" spans="1:22">
      <c r="A5" s="55" t="s">
        <v>681</v>
      </c>
      <c r="B5" s="52" t="s">
        <v>587</v>
      </c>
      <c r="C5" s="55"/>
      <c r="D5" s="55"/>
      <c r="E5" s="55"/>
      <c r="F5" s="55"/>
      <c r="G5" s="55"/>
      <c r="H5" s="52" t="s">
        <v>588</v>
      </c>
      <c r="I5" s="55"/>
      <c r="J5" s="52" t="s">
        <v>589</v>
      </c>
      <c r="K5" s="52" t="s">
        <v>590</v>
      </c>
      <c r="L5" s="1207"/>
      <c r="M5" s="1208"/>
      <c r="O5" s="72"/>
      <c r="P5" s="74"/>
      <c r="Q5" s="74"/>
      <c r="R5" s="92" t="s">
        <v>696</v>
      </c>
      <c r="S5" s="74" t="s">
        <v>697</v>
      </c>
      <c r="T5" s="74"/>
      <c r="U5" s="74"/>
      <c r="V5" s="74" t="s">
        <v>698</v>
      </c>
    </row>
    <row r="6" spans="1:22">
      <c r="A6" s="55" t="s">
        <v>573</v>
      </c>
      <c r="B6" s="51" t="s">
        <v>574</v>
      </c>
      <c r="C6" s="51" t="s">
        <v>675</v>
      </c>
      <c r="D6" s="51" t="s">
        <v>575</v>
      </c>
      <c r="E6" s="55"/>
      <c r="F6" s="52" t="s">
        <v>576</v>
      </c>
      <c r="G6" s="52" t="s">
        <v>366</v>
      </c>
      <c r="H6" s="52" t="s">
        <v>671</v>
      </c>
      <c r="I6" s="52" t="s">
        <v>672</v>
      </c>
      <c r="J6" s="52" t="s">
        <v>574</v>
      </c>
      <c r="K6" s="52" t="s">
        <v>560</v>
      </c>
      <c r="L6" s="1207"/>
      <c r="M6" s="1208"/>
      <c r="O6" s="56"/>
      <c r="P6" s="75" t="s">
        <v>721</v>
      </c>
      <c r="Q6" s="75"/>
      <c r="R6" s="75"/>
      <c r="S6" s="73" t="s">
        <v>722</v>
      </c>
      <c r="T6" s="73" t="s">
        <v>540</v>
      </c>
      <c r="U6" s="76">
        <v>1000</v>
      </c>
      <c r="V6" s="73" t="s">
        <v>564</v>
      </c>
    </row>
    <row r="7" spans="1:22" ht="37">
      <c r="A7" s="54"/>
      <c r="B7" s="54"/>
      <c r="C7" s="54"/>
      <c r="D7" s="54"/>
      <c r="E7" s="54"/>
      <c r="F7" s="33"/>
      <c r="G7" s="33"/>
      <c r="H7" s="33" t="s">
        <v>561</v>
      </c>
      <c r="I7" s="33"/>
      <c r="J7" s="54"/>
      <c r="K7" s="33" t="s">
        <v>562</v>
      </c>
      <c r="L7" s="1209" t="s">
        <v>762</v>
      </c>
      <c r="M7" s="1210" t="s">
        <v>763</v>
      </c>
      <c r="O7" s="56"/>
      <c r="P7" s="56"/>
      <c r="Q7" s="56"/>
      <c r="R7" s="56"/>
      <c r="S7" s="56"/>
      <c r="T7" s="56"/>
      <c r="U7" s="56"/>
      <c r="V7" s="56"/>
    </row>
    <row r="8" spans="1:22">
      <c r="A8" s="55"/>
      <c r="B8" s="50" t="s">
        <v>563</v>
      </c>
      <c r="C8" s="49"/>
      <c r="D8" s="49"/>
      <c r="E8" s="49"/>
      <c r="F8" s="49"/>
      <c r="G8" s="49"/>
      <c r="H8" s="49"/>
      <c r="I8" s="49"/>
      <c r="J8" s="49"/>
      <c r="K8" s="52" t="s">
        <v>564</v>
      </c>
      <c r="L8" s="55"/>
      <c r="M8" s="55"/>
      <c r="O8" s="56"/>
      <c r="P8" s="77"/>
      <c r="Q8" s="77"/>
      <c r="R8" s="77"/>
      <c r="S8" s="78"/>
      <c r="T8" s="77"/>
      <c r="U8" s="77"/>
      <c r="V8" s="79"/>
    </row>
    <row r="9" spans="1:22">
      <c r="A9" s="55"/>
      <c r="B9" s="55"/>
      <c r="C9" s="55"/>
      <c r="D9" s="55"/>
      <c r="E9" s="55"/>
      <c r="F9" s="55"/>
      <c r="G9" s="55"/>
      <c r="H9" s="55"/>
      <c r="I9" s="55"/>
      <c r="J9" s="55"/>
      <c r="K9" s="55"/>
      <c r="L9" s="55"/>
      <c r="M9" s="55"/>
      <c r="O9" s="56"/>
      <c r="P9" s="77"/>
      <c r="Q9" s="77"/>
      <c r="R9" s="77"/>
      <c r="S9" s="78"/>
      <c r="T9" s="77"/>
      <c r="U9" s="77"/>
      <c r="V9" s="79"/>
    </row>
    <row r="10" spans="1:22">
      <c r="A10" s="46" t="s">
        <v>566</v>
      </c>
      <c r="B10" s="48">
        <v>290.16199999999998</v>
      </c>
      <c r="C10" s="48">
        <v>2757.81</v>
      </c>
      <c r="D10" s="45">
        <v>3051.54</v>
      </c>
      <c r="E10" s="45"/>
      <c r="F10" s="45">
        <v>1639.67</v>
      </c>
      <c r="G10" s="45">
        <v>995.87118845340001</v>
      </c>
      <c r="H10" s="48">
        <v>168.25181154660004</v>
      </c>
      <c r="I10" s="48">
        <v>2803.7930000000001</v>
      </c>
      <c r="J10" s="45">
        <v>247.74700000000001</v>
      </c>
      <c r="K10" s="47">
        <v>4.54</v>
      </c>
      <c r="L10" s="36">
        <f>F10/D10</f>
        <v>0.5373254160194525</v>
      </c>
      <c r="M10" s="36">
        <f>H10/D10</f>
        <v>5.5136688867457102E-2</v>
      </c>
      <c r="O10" s="81">
        <v>2000</v>
      </c>
      <c r="P10" s="82">
        <v>74266</v>
      </c>
      <c r="Q10" s="82">
        <v>72408</v>
      </c>
      <c r="R10" s="93">
        <v>37.134220235370158</v>
      </c>
      <c r="S10" s="80">
        <v>38.087089824328807</v>
      </c>
      <c r="T10" s="82">
        <v>2757810</v>
      </c>
      <c r="U10" s="82">
        <v>12466572</v>
      </c>
      <c r="V10" s="83">
        <v>5.26</v>
      </c>
    </row>
    <row r="11" spans="1:22">
      <c r="A11" s="44">
        <v>2001</v>
      </c>
      <c r="B11" s="48">
        <v>247.74700000000001</v>
      </c>
      <c r="C11" s="48">
        <v>2890.6819999999998</v>
      </c>
      <c r="D11" s="48">
        <v>3140.7489999999998</v>
      </c>
      <c r="E11" s="48"/>
      <c r="F11" s="48">
        <v>1699.7333999999998</v>
      </c>
      <c r="G11" s="48">
        <v>1063.6510000000001</v>
      </c>
      <c r="H11" s="48">
        <v>169.30359999999973</v>
      </c>
      <c r="I11" s="48">
        <v>2932.6879999999996</v>
      </c>
      <c r="J11" s="48">
        <v>208.06100000000001</v>
      </c>
      <c r="K11" s="47">
        <v>4.38</v>
      </c>
      <c r="L11" s="36">
        <f t="shared" ref="L11:L20" si="0">F11/D11</f>
        <v>0.54118727730232496</v>
      </c>
      <c r="M11" s="36">
        <f t="shared" ref="M11:M20" si="1">H11/D11</f>
        <v>5.3905485602319621E-2</v>
      </c>
      <c r="O11" s="81">
        <v>2001</v>
      </c>
      <c r="P11" s="82">
        <v>74075</v>
      </c>
      <c r="Q11" s="82">
        <v>72975</v>
      </c>
      <c r="R11" s="93">
        <v>39.023719203509955</v>
      </c>
      <c r="S11" s="80">
        <v>39.61194929770469</v>
      </c>
      <c r="T11" s="82">
        <v>2890682</v>
      </c>
      <c r="U11" s="82">
        <v>12605717</v>
      </c>
      <c r="V11" s="83">
        <v>5.26</v>
      </c>
    </row>
    <row r="12" spans="1:22">
      <c r="A12" s="44">
        <v>2002</v>
      </c>
      <c r="B12" s="48">
        <v>208.06100000000001</v>
      </c>
      <c r="C12" s="48">
        <v>2756.1469999999999</v>
      </c>
      <c r="D12" s="48">
        <v>2968.8690000000001</v>
      </c>
      <c r="E12" s="48"/>
      <c r="F12" s="48">
        <v>1614.787</v>
      </c>
      <c r="G12" s="48">
        <v>1044.3720000000001</v>
      </c>
      <c r="H12" s="48">
        <v>131.38099999999986</v>
      </c>
      <c r="I12" s="48">
        <v>2790.54</v>
      </c>
      <c r="J12" s="48">
        <v>178.32900000000001</v>
      </c>
      <c r="K12" s="47">
        <v>5.53</v>
      </c>
      <c r="L12" s="36">
        <f t="shared" si="0"/>
        <v>0.54390645057090758</v>
      </c>
      <c r="M12" s="36">
        <f t="shared" si="1"/>
        <v>4.4252878789869089E-2</v>
      </c>
      <c r="O12" s="81">
        <v>2002</v>
      </c>
      <c r="P12" s="82">
        <v>73963</v>
      </c>
      <c r="Q12" s="82">
        <v>72497</v>
      </c>
      <c r="R12" s="93">
        <v>37.263861660560011</v>
      </c>
      <c r="S12" s="80">
        <v>38.017393823192684</v>
      </c>
      <c r="T12" s="82">
        <v>2756147</v>
      </c>
      <c r="U12" s="82">
        <v>15252691</v>
      </c>
      <c r="V12" s="83">
        <v>5</v>
      </c>
    </row>
    <row r="13" spans="1:22">
      <c r="A13" s="44">
        <v>2003</v>
      </c>
      <c r="B13" s="48">
        <v>178.32900000000001</v>
      </c>
      <c r="C13" s="48">
        <v>2453.8449999999998</v>
      </c>
      <c r="D13" s="48">
        <v>2637.7359999999999</v>
      </c>
      <c r="E13" s="48"/>
      <c r="F13" s="48">
        <v>1529.6990000000001</v>
      </c>
      <c r="G13" s="48">
        <v>886.55100000000004</v>
      </c>
      <c r="H13" s="48">
        <v>109.07199999999955</v>
      </c>
      <c r="I13" s="48">
        <v>2525.3219999999997</v>
      </c>
      <c r="J13" s="48">
        <v>112.414</v>
      </c>
      <c r="K13" s="47">
        <v>7.34</v>
      </c>
      <c r="L13" s="36">
        <f t="shared" si="0"/>
        <v>0.57992877225014183</v>
      </c>
      <c r="M13" s="36">
        <f t="shared" si="1"/>
        <v>4.1350612798248025E-2</v>
      </c>
      <c r="O13" s="81">
        <v>2003</v>
      </c>
      <c r="P13" s="82">
        <v>73404</v>
      </c>
      <c r="Q13" s="82">
        <v>72476</v>
      </c>
      <c r="R13" s="93">
        <v>33.429309029480685</v>
      </c>
      <c r="S13" s="80">
        <v>33.857345880015451</v>
      </c>
      <c r="T13" s="82">
        <v>2453845</v>
      </c>
      <c r="U13" s="82">
        <v>18015097</v>
      </c>
      <c r="V13" s="83">
        <v>5</v>
      </c>
    </row>
    <row r="14" spans="1:22">
      <c r="A14" s="44">
        <v>2004</v>
      </c>
      <c r="B14" s="48">
        <v>112.414</v>
      </c>
      <c r="C14" s="48">
        <v>3123.79</v>
      </c>
      <c r="D14" s="48">
        <v>3241.7820000000002</v>
      </c>
      <c r="E14" s="48"/>
      <c r="F14" s="48">
        <v>1696.0812333333333</v>
      </c>
      <c r="G14" s="48">
        <v>1097.1562998144</v>
      </c>
      <c r="H14" s="48">
        <v>192.80646685226702</v>
      </c>
      <c r="I14" s="48">
        <v>2986.0440000000003</v>
      </c>
      <c r="J14" s="48">
        <v>255.738</v>
      </c>
      <c r="K14" s="47">
        <v>5.74</v>
      </c>
      <c r="L14" s="36">
        <f t="shared" si="0"/>
        <v>0.52319410538195754</v>
      </c>
      <c r="M14" s="36">
        <f t="shared" si="1"/>
        <v>5.947545728005986E-2</v>
      </c>
      <c r="O14" s="81">
        <v>2004</v>
      </c>
      <c r="P14" s="82">
        <v>75208</v>
      </c>
      <c r="Q14" s="82">
        <v>73958</v>
      </c>
      <c r="R14" s="93">
        <v>41.535341984895226</v>
      </c>
      <c r="S14" s="80">
        <v>42.237350928905592</v>
      </c>
      <c r="T14" s="82">
        <v>3123790</v>
      </c>
      <c r="U14" s="82">
        <v>17895510</v>
      </c>
      <c r="V14" s="83">
        <v>5</v>
      </c>
    </row>
    <row r="15" spans="1:22">
      <c r="A15" s="44">
        <v>2005</v>
      </c>
      <c r="B15" s="48">
        <v>255.738</v>
      </c>
      <c r="C15" s="48">
        <v>3068.3420000000001</v>
      </c>
      <c r="D15" s="48">
        <v>3327.4519999999998</v>
      </c>
      <c r="E15" s="48"/>
      <c r="F15" s="48">
        <v>1738.8517333333334</v>
      </c>
      <c r="G15" s="48">
        <v>939.87875005290005</v>
      </c>
      <c r="H15" s="48">
        <v>199.39551661376629</v>
      </c>
      <c r="I15" s="48">
        <v>2878.1259999999997</v>
      </c>
      <c r="J15" s="48">
        <v>449.32600000000002</v>
      </c>
      <c r="K15" s="47">
        <v>5.66</v>
      </c>
      <c r="L15" s="36">
        <f t="shared" si="0"/>
        <v>0.52257755583952337</v>
      </c>
      <c r="M15" s="36">
        <f t="shared" si="1"/>
        <v>5.9924385570029652E-2</v>
      </c>
      <c r="O15" s="81">
        <v>2005</v>
      </c>
      <c r="P15" s="82">
        <v>72032</v>
      </c>
      <c r="Q15" s="82">
        <v>71251</v>
      </c>
      <c r="R15" s="93">
        <v>42.596929142603287</v>
      </c>
      <c r="S15" s="80">
        <v>43.06384471796887</v>
      </c>
      <c r="T15" s="82">
        <v>3068342</v>
      </c>
      <c r="U15" s="82">
        <v>17297137</v>
      </c>
      <c r="V15" s="83">
        <v>5</v>
      </c>
    </row>
    <row r="16" spans="1:22">
      <c r="A16" s="44">
        <v>2006</v>
      </c>
      <c r="B16" s="48">
        <v>449.32600000000002</v>
      </c>
      <c r="C16" s="48">
        <v>3196.7260000000001</v>
      </c>
      <c r="D16" s="48">
        <v>3655.0860000000002</v>
      </c>
      <c r="E16" s="48"/>
      <c r="F16" s="48">
        <v>1807.7056423333331</v>
      </c>
      <c r="G16" s="48">
        <v>1116.4958686412999</v>
      </c>
      <c r="H16" s="48">
        <v>157.07448902536726</v>
      </c>
      <c r="I16" s="48">
        <v>3081.2760000000003</v>
      </c>
      <c r="J16" s="48">
        <v>573.80999999999995</v>
      </c>
      <c r="K16" s="47">
        <v>6.43</v>
      </c>
      <c r="L16" s="36">
        <f t="shared" si="0"/>
        <v>0.49457267006394184</v>
      </c>
      <c r="M16" s="36">
        <f t="shared" si="1"/>
        <v>4.2974225237208438E-2</v>
      </c>
      <c r="O16" s="81">
        <v>2006</v>
      </c>
      <c r="P16" s="82">
        <v>75522</v>
      </c>
      <c r="Q16" s="82">
        <v>74602</v>
      </c>
      <c r="R16" s="93">
        <v>42.328407616323723</v>
      </c>
      <c r="S16" s="80">
        <v>42.850406155330958</v>
      </c>
      <c r="T16" s="82">
        <v>3196726</v>
      </c>
      <c r="U16" s="82">
        <v>20468267</v>
      </c>
      <c r="V16" s="83">
        <v>5</v>
      </c>
    </row>
    <row r="17" spans="1:22">
      <c r="A17" s="44">
        <v>2007</v>
      </c>
      <c r="B17" s="48">
        <v>573.80999999999995</v>
      </c>
      <c r="C17" s="48">
        <v>2677.1170000000002</v>
      </c>
      <c r="D17" s="48">
        <v>3260.7980000000002</v>
      </c>
      <c r="E17" s="48"/>
      <c r="F17" s="48">
        <v>1803.4073393333331</v>
      </c>
      <c r="G17" s="48">
        <v>1158.8290570290001</v>
      </c>
      <c r="H17" s="48">
        <v>93.527603637666971</v>
      </c>
      <c r="I17" s="48">
        <v>3055.7640000000001</v>
      </c>
      <c r="J17" s="48">
        <v>205.03399999999999</v>
      </c>
      <c r="K17" s="47">
        <v>10.1</v>
      </c>
      <c r="L17" s="36">
        <f t="shared" si="0"/>
        <v>0.55305705515439252</v>
      </c>
      <c r="M17" s="36">
        <f t="shared" si="1"/>
        <v>2.8682427932569563E-2</v>
      </c>
      <c r="O17" s="81">
        <v>2007</v>
      </c>
      <c r="P17" s="82">
        <v>64741</v>
      </c>
      <c r="Q17" s="82">
        <v>64146</v>
      </c>
      <c r="R17" s="93">
        <v>41.35118394834803</v>
      </c>
      <c r="S17" s="80">
        <v>41.734745736289092</v>
      </c>
      <c r="T17" s="82">
        <v>2677117</v>
      </c>
      <c r="U17" s="82">
        <v>26974406</v>
      </c>
      <c r="V17" s="83">
        <v>5</v>
      </c>
    </row>
    <row r="18" spans="1:22">
      <c r="A18" s="44">
        <v>2008</v>
      </c>
      <c r="B18" s="48">
        <v>205.03399999999999</v>
      </c>
      <c r="C18" s="48">
        <v>2967.0070000000001</v>
      </c>
      <c r="D18" s="48">
        <v>3185.3040000000001</v>
      </c>
      <c r="E18" s="48"/>
      <c r="F18" s="48">
        <v>1661.9220666666665</v>
      </c>
      <c r="G18" s="48">
        <v>1279.2935714286002</v>
      </c>
      <c r="H18" s="48">
        <v>105.89036190473348</v>
      </c>
      <c r="I18" s="48">
        <v>3047.1060000000002</v>
      </c>
      <c r="J18" s="48">
        <v>138.19800000000001</v>
      </c>
      <c r="K18" s="47">
        <v>9.9700000000000006</v>
      </c>
      <c r="L18" s="36">
        <f t="shared" si="0"/>
        <v>0.52174676786475216</v>
      </c>
      <c r="M18" s="36">
        <f t="shared" si="1"/>
        <v>3.3243408448529084E-2</v>
      </c>
      <c r="O18" s="81">
        <v>2008</v>
      </c>
      <c r="P18" s="82">
        <v>75718</v>
      </c>
      <c r="Q18" s="82">
        <v>74681</v>
      </c>
      <c r="R18" s="93">
        <v>39.184962624475027</v>
      </c>
      <c r="S18" s="80">
        <v>39.729074329481392</v>
      </c>
      <c r="T18" s="82">
        <v>2967007</v>
      </c>
      <c r="U18" s="82">
        <v>29458225</v>
      </c>
      <c r="V18" s="83">
        <v>5</v>
      </c>
    </row>
    <row r="19" spans="1:22">
      <c r="A19" s="44">
        <v>2009</v>
      </c>
      <c r="B19" s="48">
        <v>138.19800000000001</v>
      </c>
      <c r="C19" s="48">
        <v>3359.011</v>
      </c>
      <c r="D19" s="48">
        <v>3511.9069999999997</v>
      </c>
      <c r="E19" s="48"/>
      <c r="F19" s="48">
        <v>1751.53</v>
      </c>
      <c r="G19" s="48">
        <v>1501.0653168966001</v>
      </c>
      <c r="H19" s="48">
        <v>108.42668310339991</v>
      </c>
      <c r="I19" s="48">
        <v>3361.0219999999999</v>
      </c>
      <c r="J19" s="48">
        <v>150.88499999999999</v>
      </c>
      <c r="K19" s="47">
        <v>9.59</v>
      </c>
      <c r="L19" s="36">
        <f t="shared" si="0"/>
        <v>0.49874042792135442</v>
      </c>
      <c r="M19" s="36">
        <f t="shared" si="1"/>
        <v>3.0874018902949288E-2</v>
      </c>
      <c r="O19" s="81">
        <v>2009</v>
      </c>
      <c r="P19" s="82">
        <v>77451</v>
      </c>
      <c r="Q19" s="82">
        <v>76372</v>
      </c>
      <c r="R19" s="93">
        <v>43.369498134304273</v>
      </c>
      <c r="S19" s="80">
        <v>43.982231707955798</v>
      </c>
      <c r="T19" s="82">
        <v>3359011</v>
      </c>
      <c r="U19" s="82">
        <v>32145207</v>
      </c>
      <c r="V19" s="83">
        <v>5</v>
      </c>
    </row>
    <row r="20" spans="1:22">
      <c r="A20" s="43" t="s">
        <v>567</v>
      </c>
      <c r="B20" s="42">
        <v>150.88499999999999</v>
      </c>
      <c r="C20" s="42">
        <v>3329.3409999999999</v>
      </c>
      <c r="D20" s="42">
        <v>3495.2259999999997</v>
      </c>
      <c r="E20" s="42"/>
      <c r="F20" s="42">
        <v>1655</v>
      </c>
      <c r="G20" s="42">
        <v>1590</v>
      </c>
      <c r="H20" s="42">
        <v>110.22599999999966</v>
      </c>
      <c r="I20" s="42">
        <v>3355.2259999999997</v>
      </c>
      <c r="J20" s="42">
        <v>140</v>
      </c>
      <c r="K20" s="41" t="s">
        <v>568</v>
      </c>
      <c r="L20" s="1211">
        <f t="shared" si="0"/>
        <v>0.47350300095043929</v>
      </c>
      <c r="M20" s="1211">
        <f t="shared" si="1"/>
        <v>3.1536158176896048E-2</v>
      </c>
      <c r="O20" s="84" t="s">
        <v>567</v>
      </c>
      <c r="P20" s="85">
        <v>77404</v>
      </c>
      <c r="Q20" s="85">
        <v>76616</v>
      </c>
      <c r="R20" s="93">
        <v>43.012518732882022</v>
      </c>
      <c r="S20" s="86">
        <v>43.454904980682883</v>
      </c>
      <c r="T20" s="85">
        <v>3329341</v>
      </c>
      <c r="U20" s="85">
        <v>38620355.600000001</v>
      </c>
      <c r="V20" s="87">
        <v>5</v>
      </c>
    </row>
    <row r="21" spans="1:22">
      <c r="A21" s="288" t="s">
        <v>740</v>
      </c>
      <c r="B21" s="48">
        <f t="shared" ref="B21:C21" si="2">AVERAGE(B10:B20)</f>
        <v>255.42763636363634</v>
      </c>
      <c r="C21" s="48">
        <f t="shared" si="2"/>
        <v>2961.8016363636361</v>
      </c>
      <c r="D21" s="48">
        <f>AVERAGE(D10:D20)</f>
        <v>3225.1317272727274</v>
      </c>
      <c r="E21" s="48"/>
      <c r="F21" s="48">
        <f>AVERAGE(F10:F20)</f>
        <v>1690.7624922727271</v>
      </c>
      <c r="G21" s="48">
        <v>1096.0149138469274</v>
      </c>
      <c r="H21" s="48">
        <f>AVERAGE(H10:H20)</f>
        <v>140.48686660761817</v>
      </c>
      <c r="I21" s="48">
        <v>2925.2663636363641</v>
      </c>
      <c r="J21" s="55"/>
      <c r="K21" s="55"/>
      <c r="L21" s="1212">
        <f>AVERAGE(L10:L20)</f>
        <v>0.52633995448356252</v>
      </c>
      <c r="M21" s="1212">
        <f>AVERAGE(M10:M20)</f>
        <v>4.3759613418739622E-2</v>
      </c>
      <c r="O21" s="90" t="s">
        <v>740</v>
      </c>
      <c r="P21" s="82"/>
      <c r="Q21" s="82"/>
      <c r="R21" s="93">
        <f>AVERAGE(R10:R20)</f>
        <v>40.020904755704755</v>
      </c>
      <c r="S21" s="93">
        <f>AVERAGE(S10:S20)</f>
        <v>40.602394307441479</v>
      </c>
      <c r="T21" s="82"/>
      <c r="U21" s="82"/>
      <c r="V21" s="83"/>
    </row>
    <row r="22" spans="1:22">
      <c r="A22" s="288" t="s">
        <v>257</v>
      </c>
      <c r="B22" s="55"/>
      <c r="C22" s="55"/>
      <c r="D22" s="748">
        <f>STDEV(D10:D20)</f>
        <v>283.12815274256667</v>
      </c>
      <c r="E22" s="748"/>
      <c r="F22" s="748">
        <f t="shared" ref="F22:I22" si="3">STDEV(F10:F20)</f>
        <v>83.014146955202335</v>
      </c>
      <c r="G22" s="748">
        <f t="shared" si="3"/>
        <v>222.13357933399041</v>
      </c>
      <c r="H22" s="748">
        <f t="shared" si="3"/>
        <v>38.078198099186643</v>
      </c>
      <c r="I22" s="748">
        <f t="shared" si="3"/>
        <v>243.44980227176947</v>
      </c>
      <c r="J22" s="55"/>
      <c r="K22" s="55"/>
      <c r="L22" s="48"/>
      <c r="M22" s="48"/>
      <c r="O22" s="90" t="s">
        <v>257</v>
      </c>
      <c r="P22" s="82"/>
      <c r="Q22" s="82"/>
      <c r="R22" s="82">
        <f>STDEV(R10:R20)</f>
        <v>3.1187018515323399</v>
      </c>
      <c r="S22" s="80"/>
      <c r="T22" s="82"/>
      <c r="U22" s="82"/>
      <c r="V22" s="83"/>
    </row>
    <row r="23" spans="1:22">
      <c r="A23" s="718" t="s">
        <v>617</v>
      </c>
      <c r="B23" s="56"/>
      <c r="C23" s="56"/>
      <c r="D23" s="749"/>
      <c r="E23" s="73"/>
      <c r="F23" s="750">
        <f>F21/$C21</f>
        <v>0.5708560868879009</v>
      </c>
      <c r="G23" s="750">
        <f t="shared" ref="G23:H23" si="4">G21/$C21</f>
        <v>0.37005007370870524</v>
      </c>
      <c r="H23" s="750">
        <f t="shared" si="4"/>
        <v>4.7432908700834366E-2</v>
      </c>
      <c r="I23" s="750"/>
      <c r="J23" s="48"/>
      <c r="K23" s="55"/>
      <c r="L23" s="48"/>
      <c r="M23" s="48"/>
      <c r="O23" s="90"/>
      <c r="P23" s="82"/>
      <c r="Q23" s="82"/>
      <c r="R23" s="82"/>
      <c r="S23" s="80"/>
      <c r="T23" s="82"/>
      <c r="U23" s="82"/>
      <c r="V23" s="83"/>
    </row>
    <row r="24" spans="1:22">
      <c r="A24" s="718"/>
      <c r="B24" s="56"/>
      <c r="C24" s="56"/>
      <c r="D24" s="56"/>
      <c r="E24" s="469" t="s">
        <v>618</v>
      </c>
      <c r="F24" s="470">
        <f>F21+H21</f>
        <v>1831.2493588803452</v>
      </c>
      <c r="G24" s="56"/>
      <c r="H24" s="56"/>
      <c r="I24" s="56"/>
      <c r="J24" s="55"/>
      <c r="K24" s="55"/>
      <c r="L24" s="48"/>
      <c r="M24" s="48"/>
      <c r="O24" s="90"/>
      <c r="P24" s="82"/>
      <c r="Q24" s="82"/>
      <c r="R24" s="82"/>
      <c r="S24" s="80"/>
      <c r="T24" s="82"/>
      <c r="U24" s="82"/>
      <c r="V24" s="83"/>
    </row>
    <row r="25" spans="1:22">
      <c r="A25" s="56"/>
      <c r="B25" s="56"/>
      <c r="C25" s="56"/>
      <c r="D25" s="56"/>
      <c r="E25" s="471" t="s">
        <v>619</v>
      </c>
      <c r="F25" s="472">
        <f>L21+M21</f>
        <v>0.5700995679023021</v>
      </c>
      <c r="G25" s="56"/>
      <c r="H25" s="56"/>
      <c r="I25" s="56"/>
      <c r="J25" s="55"/>
      <c r="K25" s="55"/>
      <c r="L25" s="48"/>
      <c r="M25" s="48"/>
      <c r="O25" s="90"/>
      <c r="P25" s="82"/>
      <c r="Q25" s="82"/>
      <c r="R25" s="82"/>
      <c r="S25" s="80"/>
      <c r="T25" s="82"/>
      <c r="U25" s="82"/>
      <c r="V25" s="83"/>
    </row>
    <row r="26" spans="1:22">
      <c r="A26" s="40" t="s">
        <v>569</v>
      </c>
      <c r="L26" s="48"/>
      <c r="M26" s="48"/>
      <c r="O26" s="88" t="s">
        <v>433</v>
      </c>
      <c r="P26" s="56"/>
      <c r="Q26" s="56"/>
      <c r="R26" s="56"/>
      <c r="S26" s="56"/>
      <c r="T26" s="56"/>
      <c r="U26" s="56"/>
      <c r="V26" s="56"/>
    </row>
    <row r="27" spans="1:22">
      <c r="A27" s="39" t="s">
        <v>688</v>
      </c>
      <c r="B27" s="55"/>
      <c r="C27" s="55"/>
      <c r="D27" s="55"/>
      <c r="E27" s="55"/>
      <c r="F27" s="55"/>
      <c r="G27" s="55"/>
      <c r="H27" s="36"/>
      <c r="I27" s="55"/>
      <c r="J27" s="55"/>
      <c r="K27" s="55"/>
      <c r="L27" s="48"/>
      <c r="M27" s="48"/>
      <c r="O27" s="88" t="s">
        <v>423</v>
      </c>
      <c r="P27" s="56"/>
      <c r="Q27" s="56"/>
      <c r="R27" s="56"/>
      <c r="S27" s="56"/>
      <c r="T27" s="56"/>
      <c r="U27" s="56"/>
      <c r="V27" s="56"/>
    </row>
    <row r="28" spans="1:22">
      <c r="A28" s="38" t="s">
        <v>689</v>
      </c>
      <c r="B28" s="55"/>
      <c r="C28" s="55"/>
      <c r="D28" s="55"/>
      <c r="E28" s="55"/>
      <c r="F28" s="55"/>
      <c r="G28" s="55"/>
      <c r="H28" s="35"/>
      <c r="I28" s="55"/>
      <c r="J28" s="55"/>
      <c r="K28" s="55"/>
      <c r="L28" s="48"/>
      <c r="M28" s="48"/>
      <c r="O28" s="88" t="s">
        <v>424</v>
      </c>
      <c r="P28" s="56"/>
      <c r="Q28" s="56"/>
      <c r="R28" s="56"/>
      <c r="S28" s="56"/>
      <c r="T28" s="56"/>
      <c r="U28" s="56"/>
      <c r="V28" s="56"/>
    </row>
    <row r="29" spans="1:22">
      <c r="L29" s="48"/>
      <c r="M29" s="48"/>
      <c r="O29" s="88" t="s">
        <v>467</v>
      </c>
      <c r="P29" s="56"/>
      <c r="Q29" s="56"/>
      <c r="R29" s="56"/>
      <c r="S29" s="56"/>
      <c r="T29" s="56"/>
      <c r="U29" s="56"/>
      <c r="V29" s="56"/>
    </row>
    <row r="30" spans="1:22">
      <c r="A30" s="55"/>
      <c r="B30" s="55"/>
      <c r="C30" s="55"/>
      <c r="D30" s="55"/>
      <c r="E30" s="55"/>
      <c r="F30" s="55"/>
      <c r="G30" s="34"/>
      <c r="H30" s="35"/>
      <c r="I30" s="55"/>
      <c r="J30" s="55"/>
      <c r="K30" s="55"/>
      <c r="L30" s="48"/>
      <c r="M30" s="48"/>
    </row>
    <row r="31" spans="1:22">
      <c r="F31" s="391"/>
      <c r="L31" s="48"/>
      <c r="M31" s="48"/>
    </row>
    <row r="32" spans="1:22">
      <c r="F32" s="391"/>
      <c r="L32" s="48"/>
      <c r="M32" s="48"/>
    </row>
    <row r="33" spans="6:13">
      <c r="F33" s="391"/>
      <c r="L33" s="48"/>
      <c r="M33" s="48"/>
    </row>
    <row r="34" spans="6:13">
      <c r="F34" s="391"/>
      <c r="L34" s="48"/>
      <c r="M34" s="48"/>
    </row>
    <row r="35" spans="6:13">
      <c r="F35" s="391"/>
      <c r="L35" s="48"/>
      <c r="M35" s="48"/>
    </row>
    <row r="36" spans="6:13">
      <c r="F36" s="391"/>
      <c r="L36" s="48"/>
      <c r="M36" s="48"/>
    </row>
    <row r="37" spans="6:13">
      <c r="F37" s="391"/>
      <c r="L37" s="48"/>
      <c r="M37" s="48"/>
    </row>
    <row r="38" spans="6:13">
      <c r="F38" s="391"/>
      <c r="L38" s="48"/>
      <c r="M38" s="48"/>
    </row>
    <row r="39" spans="6:13">
      <c r="F39" s="391"/>
      <c r="L39" s="48"/>
      <c r="M39" s="48"/>
    </row>
    <row r="40" spans="6:13">
      <c r="F40" s="391"/>
      <c r="L40" s="48"/>
      <c r="M40" s="48"/>
    </row>
    <row r="41" spans="6:13">
      <c r="F41" s="391"/>
      <c r="L41" s="47"/>
      <c r="M41" s="55"/>
    </row>
    <row r="42" spans="6:13">
      <c r="F42" s="1204"/>
      <c r="L42" s="55"/>
      <c r="M42" s="55"/>
    </row>
    <row r="43" spans="6:13">
      <c r="L43" s="55"/>
      <c r="M43" s="55"/>
    </row>
    <row r="44" spans="6:13">
      <c r="L44" s="55"/>
      <c r="M44" s="55"/>
    </row>
    <row r="45" spans="6:13">
      <c r="L45" s="55"/>
      <c r="M45" s="55"/>
    </row>
    <row r="47" spans="6:13">
      <c r="L47" s="55"/>
      <c r="M47" s="55"/>
    </row>
    <row r="48" spans="6:13">
      <c r="L48" s="55"/>
      <c r="M48" s="55"/>
    </row>
    <row r="50" spans="12:13">
      <c r="L50" s="55"/>
      <c r="M50" s="55"/>
    </row>
  </sheetData>
  <phoneticPr fontId="107" type="noConversion"/>
  <hyperlinks>
    <hyperlink ref="A2" r:id="rId1" xr:uid="{00000000-0004-0000-1100-000000000000}"/>
  </hyperlinks>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J27"/>
  <sheetViews>
    <sheetView topLeftCell="A2" workbookViewId="0">
      <pane xSplit="1" ySplit="2" topLeftCell="B4" activePane="bottomRight" state="frozen"/>
      <selection activeCell="A2" sqref="A2"/>
      <selection pane="topRight" activeCell="B2" sqref="B2"/>
      <selection pane="bottomLeft" activeCell="A4" sqref="A4"/>
      <selection pane="bottomRight" activeCell="D19" sqref="D19"/>
    </sheetView>
  </sheetViews>
  <sheetFormatPr baseColWidth="10" defaultColWidth="8.83203125" defaultRowHeight="15"/>
  <cols>
    <col min="2" max="2" width="13.1640625" customWidth="1"/>
    <col min="3" max="3" width="15.1640625" customWidth="1"/>
    <col min="6" max="6" width="14" customWidth="1"/>
    <col min="7" max="7" width="17" customWidth="1"/>
    <col min="8" max="8" width="12.5" customWidth="1"/>
  </cols>
  <sheetData>
    <row r="1" spans="1:10">
      <c r="A1" s="89" t="s">
        <v>690</v>
      </c>
      <c r="B1" s="72"/>
      <c r="C1" s="72"/>
      <c r="D1" s="72"/>
      <c r="E1" s="72"/>
      <c r="F1" s="72"/>
      <c r="G1" s="72"/>
      <c r="H1" s="72"/>
      <c r="J1" s="96" t="s">
        <v>260</v>
      </c>
    </row>
    <row r="2" spans="1:10">
      <c r="A2" s="56" t="s">
        <v>691</v>
      </c>
      <c r="B2" s="73" t="s">
        <v>692</v>
      </c>
      <c r="C2" s="73" t="s">
        <v>693</v>
      </c>
      <c r="D2" s="91" t="s">
        <v>608</v>
      </c>
      <c r="E2" s="73" t="s">
        <v>608</v>
      </c>
      <c r="F2" s="73" t="s">
        <v>675</v>
      </c>
      <c r="G2" s="73" t="s">
        <v>694</v>
      </c>
      <c r="H2" s="73" t="s">
        <v>695</v>
      </c>
    </row>
    <row r="3" spans="1:10" ht="25">
      <c r="A3" s="72"/>
      <c r="B3" s="74"/>
      <c r="C3" s="74"/>
      <c r="D3" s="467" t="s">
        <v>696</v>
      </c>
      <c r="E3" s="468" t="s">
        <v>697</v>
      </c>
      <c r="F3" s="74"/>
      <c r="G3" s="74"/>
      <c r="H3" s="74" t="s">
        <v>698</v>
      </c>
    </row>
    <row r="4" spans="1:10">
      <c r="A4" s="56"/>
      <c r="B4" s="75" t="s">
        <v>721</v>
      </c>
      <c r="C4" s="75"/>
      <c r="D4" s="75"/>
      <c r="E4" s="73" t="s">
        <v>722</v>
      </c>
      <c r="F4" s="73" t="s">
        <v>540</v>
      </c>
      <c r="G4" s="76">
        <v>1000</v>
      </c>
      <c r="H4" s="73" t="s">
        <v>564</v>
      </c>
    </row>
    <row r="5" spans="1:10">
      <c r="A5" s="56"/>
      <c r="B5" s="56"/>
      <c r="C5" s="56"/>
      <c r="D5" s="56"/>
      <c r="E5" s="56"/>
      <c r="F5" s="56"/>
      <c r="G5" s="56"/>
      <c r="H5" s="56"/>
    </row>
    <row r="6" spans="1:10">
      <c r="A6" s="56"/>
      <c r="B6" s="77"/>
      <c r="C6" s="77"/>
      <c r="D6" s="77"/>
      <c r="E6" s="78"/>
      <c r="F6" s="77"/>
      <c r="G6" s="77"/>
      <c r="H6" s="79"/>
    </row>
    <row r="7" spans="1:10">
      <c r="A7" s="56"/>
      <c r="B7" s="77"/>
      <c r="C7" s="77"/>
      <c r="D7" s="77"/>
      <c r="E7" s="78"/>
      <c r="F7" s="77"/>
      <c r="G7" s="77"/>
      <c r="H7" s="79"/>
    </row>
    <row r="8" spans="1:10">
      <c r="A8" s="81">
        <v>2000</v>
      </c>
      <c r="B8" s="82">
        <v>74266</v>
      </c>
      <c r="C8" s="82">
        <v>72408</v>
      </c>
      <c r="D8" s="93">
        <f>F8/B8</f>
        <v>37.134220235370158</v>
      </c>
      <c r="E8" s="80">
        <v>38.087089824328807</v>
      </c>
      <c r="F8" s="82">
        <v>2757810</v>
      </c>
      <c r="G8" s="82">
        <v>12466572</v>
      </c>
      <c r="H8" s="83">
        <v>5.26</v>
      </c>
    </row>
    <row r="9" spans="1:10">
      <c r="A9" s="81">
        <v>2001</v>
      </c>
      <c r="B9" s="82">
        <v>74075</v>
      </c>
      <c r="C9" s="82">
        <v>72975</v>
      </c>
      <c r="D9" s="93">
        <f t="shared" ref="D9:D18" si="0">F9/B9</f>
        <v>39.023719203509955</v>
      </c>
      <c r="E9" s="80">
        <v>39.61194929770469</v>
      </c>
      <c r="F9" s="82">
        <v>2890682</v>
      </c>
      <c r="G9" s="82">
        <v>12605717</v>
      </c>
      <c r="H9" s="83">
        <v>5.26</v>
      </c>
    </row>
    <row r="10" spans="1:10">
      <c r="A10" s="81">
        <v>2002</v>
      </c>
      <c r="B10" s="82">
        <v>73963</v>
      </c>
      <c r="C10" s="82">
        <v>72497</v>
      </c>
      <c r="D10" s="93">
        <f t="shared" si="0"/>
        <v>37.263861660560011</v>
      </c>
      <c r="E10" s="80">
        <v>38.017393823192684</v>
      </c>
      <c r="F10" s="82">
        <v>2756147</v>
      </c>
      <c r="G10" s="82">
        <v>15252691</v>
      </c>
      <c r="H10" s="83">
        <v>5</v>
      </c>
    </row>
    <row r="11" spans="1:10">
      <c r="A11" s="81">
        <v>2003</v>
      </c>
      <c r="B11" s="82">
        <v>73404</v>
      </c>
      <c r="C11" s="82">
        <v>72476</v>
      </c>
      <c r="D11" s="93">
        <f t="shared" si="0"/>
        <v>33.429309029480685</v>
      </c>
      <c r="E11" s="80">
        <v>33.857345880015451</v>
      </c>
      <c r="F11" s="82">
        <v>2453845</v>
      </c>
      <c r="G11" s="82">
        <v>18015097</v>
      </c>
      <c r="H11" s="83">
        <v>5</v>
      </c>
    </row>
    <row r="12" spans="1:10">
      <c r="A12" s="81">
        <v>2004</v>
      </c>
      <c r="B12" s="82">
        <v>75208</v>
      </c>
      <c r="C12" s="82">
        <v>73958</v>
      </c>
      <c r="D12" s="93">
        <f t="shared" si="0"/>
        <v>41.535341984895226</v>
      </c>
      <c r="E12" s="80">
        <v>42.237350928905592</v>
      </c>
      <c r="F12" s="82">
        <v>3123790</v>
      </c>
      <c r="G12" s="82">
        <v>17895510</v>
      </c>
      <c r="H12" s="83">
        <v>5</v>
      </c>
    </row>
    <row r="13" spans="1:10">
      <c r="A13" s="81">
        <v>2005</v>
      </c>
      <c r="B13" s="82">
        <v>72032</v>
      </c>
      <c r="C13" s="82">
        <v>71251</v>
      </c>
      <c r="D13" s="93">
        <f t="shared" si="0"/>
        <v>42.596929142603287</v>
      </c>
      <c r="E13" s="80">
        <v>43.06384471796887</v>
      </c>
      <c r="F13" s="82">
        <v>3068342</v>
      </c>
      <c r="G13" s="82">
        <v>17297137</v>
      </c>
      <c r="H13" s="83">
        <v>5</v>
      </c>
    </row>
    <row r="14" spans="1:10">
      <c r="A14" s="81">
        <v>2006</v>
      </c>
      <c r="B14" s="82">
        <v>75522</v>
      </c>
      <c r="C14" s="82">
        <v>74602</v>
      </c>
      <c r="D14" s="93">
        <f t="shared" si="0"/>
        <v>42.328407616323723</v>
      </c>
      <c r="E14" s="80">
        <v>42.850406155330958</v>
      </c>
      <c r="F14" s="82">
        <v>3196726</v>
      </c>
      <c r="G14" s="82">
        <v>20468267</v>
      </c>
      <c r="H14" s="83">
        <v>5</v>
      </c>
    </row>
    <row r="15" spans="1:10">
      <c r="A15" s="81">
        <v>2007</v>
      </c>
      <c r="B15" s="82">
        <v>64741</v>
      </c>
      <c r="C15" s="82">
        <v>64146</v>
      </c>
      <c r="D15" s="93">
        <f t="shared" si="0"/>
        <v>41.35118394834803</v>
      </c>
      <c r="E15" s="80">
        <v>41.734745736289092</v>
      </c>
      <c r="F15" s="82">
        <v>2677117</v>
      </c>
      <c r="G15" s="82">
        <v>26974406</v>
      </c>
      <c r="H15" s="83">
        <v>5</v>
      </c>
    </row>
    <row r="16" spans="1:10">
      <c r="A16" s="81">
        <v>2008</v>
      </c>
      <c r="B16" s="82">
        <v>75718</v>
      </c>
      <c r="C16" s="82">
        <v>74681</v>
      </c>
      <c r="D16" s="93">
        <f t="shared" si="0"/>
        <v>39.184962624475027</v>
      </c>
      <c r="E16" s="80">
        <v>39.729074329481392</v>
      </c>
      <c r="F16" s="82">
        <v>2967007</v>
      </c>
      <c r="G16" s="82">
        <v>29458225</v>
      </c>
      <c r="H16" s="83">
        <v>5</v>
      </c>
    </row>
    <row r="17" spans="1:8">
      <c r="A17" s="81">
        <v>2009</v>
      </c>
      <c r="B17" s="82">
        <v>77451</v>
      </c>
      <c r="C17" s="82">
        <v>76372</v>
      </c>
      <c r="D17" s="93">
        <f t="shared" si="0"/>
        <v>43.369498134304273</v>
      </c>
      <c r="E17" s="80">
        <v>43.982231707955798</v>
      </c>
      <c r="F17" s="82">
        <v>3359011</v>
      </c>
      <c r="G17" s="82">
        <v>32145207</v>
      </c>
      <c r="H17" s="83">
        <v>5</v>
      </c>
    </row>
    <row r="18" spans="1:8">
      <c r="A18" s="84" t="s">
        <v>567</v>
      </c>
      <c r="B18" s="85">
        <v>77404</v>
      </c>
      <c r="C18" s="85">
        <v>76616</v>
      </c>
      <c r="D18" s="803">
        <f t="shared" si="0"/>
        <v>43.012518732882022</v>
      </c>
      <c r="E18" s="86">
        <v>43.454904980682883</v>
      </c>
      <c r="F18" s="85">
        <v>3329341</v>
      </c>
      <c r="G18" s="85">
        <v>38620355.600000001</v>
      </c>
      <c r="H18" s="87">
        <v>5</v>
      </c>
    </row>
    <row r="19" spans="1:8">
      <c r="A19" s="90" t="s">
        <v>740</v>
      </c>
      <c r="B19" s="801">
        <f t="shared" ref="B19:C19" si="1">AVERAGE(B8:B18)</f>
        <v>73980.363636363632</v>
      </c>
      <c r="C19" s="801">
        <f t="shared" si="1"/>
        <v>72907.454545454544</v>
      </c>
      <c r="D19" s="93">
        <f>AVERAGE(D8:D18)</f>
        <v>40.020904755704755</v>
      </c>
      <c r="E19" s="801">
        <f>AVERAGE(E8:E18)</f>
        <v>40.602394307441479</v>
      </c>
      <c r="F19" s="82">
        <f>AVERAGE(F8:F18)</f>
        <v>2961801.6363636362</v>
      </c>
      <c r="G19" s="82"/>
      <c r="H19" s="83"/>
    </row>
    <row r="20" spans="1:8">
      <c r="A20" s="90" t="s">
        <v>257</v>
      </c>
      <c r="B20" s="82">
        <f>STDEV(B8:B18)</f>
        <v>3467.7762117163002</v>
      </c>
      <c r="C20" s="82">
        <f>STDEV(C8:C18)</f>
        <v>3361.4364299696745</v>
      </c>
      <c r="D20" s="802">
        <f>D19*SQRT(B20^2/B19^2+F20^2/F19^2)</f>
        <v>4.2867217342131969</v>
      </c>
      <c r="E20" s="82">
        <f t="shared" ref="E20:F20" si="2">STDEV(E8:E18)</f>
        <v>3.080195575527036</v>
      </c>
      <c r="F20" s="82">
        <f t="shared" si="2"/>
        <v>285253.88696887996</v>
      </c>
      <c r="G20" s="82"/>
      <c r="H20" s="83"/>
    </row>
    <row r="21" spans="1:8">
      <c r="A21" s="90"/>
      <c r="B21" s="82"/>
      <c r="C21" s="82">
        <f>0.6*C19/10</f>
        <v>4374.4472727272723</v>
      </c>
      <c r="D21" s="82"/>
      <c r="E21" s="80"/>
      <c r="F21" s="82"/>
      <c r="G21" s="82"/>
      <c r="H21" s="83"/>
    </row>
    <row r="22" spans="1:8">
      <c r="A22" s="90"/>
      <c r="B22" s="82"/>
      <c r="C22" s="465">
        <f>28880/B19</f>
        <v>0.39037385841943317</v>
      </c>
      <c r="D22" s="82"/>
      <c r="E22" s="80"/>
      <c r="F22" s="82"/>
      <c r="G22" s="82"/>
      <c r="H22" s="83"/>
    </row>
    <row r="23" spans="1:8">
      <c r="A23" s="90"/>
      <c r="B23" s="82"/>
      <c r="C23" s="82"/>
      <c r="D23" s="82"/>
      <c r="E23" s="80"/>
      <c r="F23" s="82"/>
      <c r="G23" s="82"/>
      <c r="H23" s="83"/>
    </row>
    <row r="24" spans="1:8">
      <c r="A24" s="88" t="s">
        <v>433</v>
      </c>
      <c r="B24" s="56"/>
      <c r="C24" s="56"/>
      <c r="D24" s="56"/>
      <c r="E24" s="56"/>
      <c r="F24" s="56"/>
      <c r="G24" s="56"/>
      <c r="H24" s="56"/>
    </row>
    <row r="25" spans="1:8">
      <c r="A25" s="88" t="s">
        <v>423</v>
      </c>
      <c r="B25" s="56"/>
      <c r="C25" s="56"/>
      <c r="D25" s="56"/>
      <c r="E25" s="56"/>
      <c r="F25" s="56"/>
      <c r="G25" s="56"/>
      <c r="H25" s="56"/>
    </row>
    <row r="26" spans="1:8">
      <c r="A26" s="88" t="s">
        <v>424</v>
      </c>
      <c r="B26" s="56"/>
      <c r="C26" s="56"/>
      <c r="D26" s="56"/>
      <c r="E26" s="56"/>
      <c r="F26" s="56"/>
      <c r="G26" s="56"/>
      <c r="H26" s="56"/>
    </row>
    <row r="27" spans="1:8">
      <c r="A27" s="88" t="s">
        <v>467</v>
      </c>
      <c r="B27" s="56"/>
      <c r="C27" s="56"/>
      <c r="D27" s="56"/>
      <c r="E27" s="56"/>
      <c r="F27" s="56"/>
      <c r="G27" s="56"/>
      <c r="H27" s="56"/>
    </row>
  </sheetData>
  <phoneticPr fontId="107"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6:R15"/>
  <sheetViews>
    <sheetView zoomScale="90" zoomScaleNormal="90" zoomScalePageLayoutView="90" workbookViewId="0"/>
  </sheetViews>
  <sheetFormatPr baseColWidth="10" defaultColWidth="8.83203125" defaultRowHeight="15"/>
  <cols>
    <col min="4" max="4" width="30.5" customWidth="1"/>
  </cols>
  <sheetData>
    <row r="6" spans="4:18" ht="16" thickBot="1">
      <c r="D6" s="1698" t="s">
        <v>901</v>
      </c>
      <c r="E6" s="544"/>
      <c r="F6" s="545"/>
      <c r="G6" s="545"/>
      <c r="H6" s="545"/>
      <c r="I6" s="545"/>
      <c r="J6" s="546"/>
      <c r="K6" s="544"/>
      <c r="L6" s="1701"/>
      <c r="M6" s="1701"/>
      <c r="N6" s="1701"/>
      <c r="O6" s="1701"/>
      <c r="P6" s="1701"/>
      <c r="Q6" s="1701"/>
    </row>
    <row r="7" spans="4:18" ht="16" thickBot="1">
      <c r="D7" s="1699"/>
      <c r="E7" s="1702" t="s">
        <v>218</v>
      </c>
      <c r="F7" s="1704"/>
      <c r="G7" s="1704"/>
      <c r="H7" s="1704"/>
      <c r="I7" s="1704"/>
      <c r="J7" s="1703"/>
      <c r="K7" s="544"/>
      <c r="L7" s="1702" t="s">
        <v>219</v>
      </c>
      <c r="M7" s="1704"/>
      <c r="N7" s="1704"/>
      <c r="O7" s="1704"/>
      <c r="P7" s="1704"/>
      <c r="Q7" s="1703"/>
    </row>
    <row r="8" spans="4:18" ht="16" thickBot="1">
      <c r="D8" s="1699"/>
      <c r="E8" s="1702" t="s">
        <v>494</v>
      </c>
      <c r="F8" s="1703"/>
      <c r="G8" s="1702" t="s">
        <v>220</v>
      </c>
      <c r="H8" s="1703"/>
      <c r="I8" s="1702" t="s">
        <v>521</v>
      </c>
      <c r="J8" s="1703"/>
      <c r="K8" s="544"/>
      <c r="L8" s="1705" t="s">
        <v>494</v>
      </c>
      <c r="M8" s="1706"/>
      <c r="N8" s="1707" t="s">
        <v>220</v>
      </c>
      <c r="O8" s="1708"/>
      <c r="P8" s="1709" t="s">
        <v>521</v>
      </c>
      <c r="Q8" s="1710"/>
    </row>
    <row r="9" spans="4:18" ht="16" thickBot="1">
      <c r="D9" s="1700"/>
      <c r="E9" s="550" t="s">
        <v>740</v>
      </c>
      <c r="F9" s="551" t="s">
        <v>257</v>
      </c>
      <c r="G9" s="550" t="s">
        <v>740</v>
      </c>
      <c r="H9" s="551" t="s">
        <v>257</v>
      </c>
      <c r="I9" s="550" t="s">
        <v>740</v>
      </c>
      <c r="J9" s="551" t="s">
        <v>257</v>
      </c>
      <c r="K9" s="544"/>
      <c r="L9" s="550" t="s">
        <v>740</v>
      </c>
      <c r="M9" s="550" t="s">
        <v>257</v>
      </c>
      <c r="N9" s="550" t="s">
        <v>740</v>
      </c>
      <c r="O9" s="550" t="s">
        <v>257</v>
      </c>
      <c r="P9" s="550" t="s">
        <v>740</v>
      </c>
      <c r="Q9" s="550" t="s">
        <v>257</v>
      </c>
    </row>
    <row r="10" spans="4:18">
      <c r="D10" s="581" t="s">
        <v>464</v>
      </c>
      <c r="E10" s="585">
        <v>0.93100000000000005</v>
      </c>
      <c r="F10" s="552">
        <v>3.9E-2</v>
      </c>
      <c r="G10" s="587">
        <v>0.89200000000000002</v>
      </c>
      <c r="H10" s="552">
        <v>3.5000000000000003E-2</v>
      </c>
      <c r="I10" s="587">
        <v>0.24099999999999999</v>
      </c>
      <c r="J10" s="553">
        <v>0.128</v>
      </c>
      <c r="K10" s="544"/>
      <c r="L10" s="590">
        <v>0.34300000000000003</v>
      </c>
      <c r="M10" s="563"/>
      <c r="N10" s="591">
        <v>0.50600000000000001</v>
      </c>
      <c r="O10" s="592"/>
      <c r="P10" s="591">
        <v>0.151</v>
      </c>
      <c r="Q10" s="593"/>
      <c r="R10" s="1139">
        <f>SUM(L10,N10,P10)</f>
        <v>1</v>
      </c>
    </row>
    <row r="11" spans="4:18">
      <c r="D11" s="582" t="s">
        <v>221</v>
      </c>
      <c r="E11" s="554"/>
      <c r="F11" s="555"/>
      <c r="G11" s="588"/>
      <c r="H11" s="555"/>
      <c r="I11" s="588">
        <v>0.27400000000000002</v>
      </c>
      <c r="J11" s="556">
        <v>6.8000000000000005E-2</v>
      </c>
      <c r="K11" s="544"/>
      <c r="L11" s="590"/>
      <c r="M11" s="563"/>
      <c r="N11" s="591"/>
      <c r="O11" s="592"/>
      <c r="P11" s="591">
        <v>1</v>
      </c>
      <c r="Q11" s="593"/>
    </row>
    <row r="12" spans="4:18">
      <c r="D12" s="582" t="s">
        <v>222</v>
      </c>
      <c r="E12" s="554"/>
      <c r="F12" s="555"/>
      <c r="G12" s="588"/>
      <c r="H12" s="555"/>
      <c r="I12" s="588">
        <v>0.23300000000000001</v>
      </c>
      <c r="J12" s="556">
        <v>0.10199999999999999</v>
      </c>
      <c r="K12" s="544"/>
      <c r="L12" s="590"/>
      <c r="M12" s="563"/>
      <c r="N12" s="591"/>
      <c r="O12" s="592"/>
      <c r="P12" s="591">
        <v>1</v>
      </c>
      <c r="Q12" s="593"/>
    </row>
    <row r="13" spans="4:18">
      <c r="D13" s="582" t="s">
        <v>223</v>
      </c>
      <c r="E13" s="554"/>
      <c r="F13" s="555"/>
      <c r="G13" s="588"/>
      <c r="H13" s="555"/>
      <c r="I13" s="588">
        <v>4.2999999999999997E-2</v>
      </c>
      <c r="J13" s="556">
        <v>0.02</v>
      </c>
      <c r="K13" s="544"/>
      <c r="L13" s="590"/>
      <c r="M13" s="563"/>
      <c r="N13" s="591"/>
      <c r="O13" s="592"/>
      <c r="P13" s="591">
        <v>1</v>
      </c>
      <c r="Q13" s="593"/>
    </row>
    <row r="14" spans="4:18" ht="16" thickBot="1">
      <c r="D14" s="583" t="s">
        <v>465</v>
      </c>
      <c r="E14" s="586">
        <v>6.9000000000000006E-2</v>
      </c>
      <c r="F14" s="558">
        <v>3.9E-2</v>
      </c>
      <c r="G14" s="589">
        <v>0.108</v>
      </c>
      <c r="H14" s="558">
        <v>3.5000000000000003E-2</v>
      </c>
      <c r="I14" s="589">
        <v>0.20899999999999999</v>
      </c>
      <c r="J14" s="559">
        <v>0.06</v>
      </c>
      <c r="K14" s="544"/>
      <c r="L14" s="594">
        <v>0.11700000000000001</v>
      </c>
      <c r="M14" s="595"/>
      <c r="N14" s="596">
        <v>0.28299999999999997</v>
      </c>
      <c r="O14" s="597"/>
      <c r="P14" s="596">
        <v>0.6</v>
      </c>
      <c r="Q14" s="598"/>
      <c r="R14" s="1139">
        <f>SUM(L14,N14,P14)</f>
        <v>1</v>
      </c>
    </row>
    <row r="15" spans="4:18">
      <c r="D15" s="560"/>
      <c r="E15" s="561"/>
      <c r="F15" s="562"/>
      <c r="G15" s="563">
        <f>SUM(G10:G14)</f>
        <v>1</v>
      </c>
      <c r="H15" s="562"/>
      <c r="I15" s="563">
        <f>SUM(I10:I14)</f>
        <v>1</v>
      </c>
      <c r="J15" s="564"/>
      <c r="K15" s="565"/>
      <c r="L15" s="565"/>
      <c r="M15" s="565"/>
      <c r="N15" s="565"/>
      <c r="O15" s="565"/>
      <c r="P15" s="565"/>
      <c r="Q15" s="557"/>
    </row>
  </sheetData>
  <mergeCells count="12">
    <mergeCell ref="D6:D9"/>
    <mergeCell ref="L6:M6"/>
    <mergeCell ref="N6:O6"/>
    <mergeCell ref="P6:Q6"/>
    <mergeCell ref="I8:J8"/>
    <mergeCell ref="E7:J7"/>
    <mergeCell ref="L7:Q7"/>
    <mergeCell ref="L8:M8"/>
    <mergeCell ref="N8:O8"/>
    <mergeCell ref="P8:Q8"/>
    <mergeCell ref="E8:F8"/>
    <mergeCell ref="G8:H8"/>
  </mergeCells>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B1:G22"/>
  <sheetViews>
    <sheetView workbookViewId="0">
      <selection activeCell="E16" sqref="E16"/>
    </sheetView>
  </sheetViews>
  <sheetFormatPr baseColWidth="10" defaultColWidth="8.83203125" defaultRowHeight="15"/>
  <cols>
    <col min="1" max="1" width="8.83203125" style="288"/>
    <col min="2" max="3" width="14.1640625" style="125" customWidth="1"/>
    <col min="4" max="5" width="17.1640625" style="125" customWidth="1"/>
    <col min="6" max="6" width="11.83203125" style="125" customWidth="1"/>
    <col min="7" max="7" width="14.1640625" style="288" customWidth="1"/>
    <col min="8" max="8" width="6.83203125" style="288" customWidth="1"/>
    <col min="9" max="16384" width="8.83203125" style="288"/>
  </cols>
  <sheetData>
    <row r="1" spans="2:7" ht="57.5" customHeight="1">
      <c r="B1" s="384"/>
      <c r="C1" s="2047" t="s">
        <v>378</v>
      </c>
      <c r="D1" s="2048"/>
      <c r="E1" s="451"/>
      <c r="F1" s="418" t="s">
        <v>379</v>
      </c>
      <c r="G1" s="448" t="s">
        <v>380</v>
      </c>
    </row>
    <row r="2" spans="2:7">
      <c r="B2" s="385"/>
      <c r="C2" s="1067" t="s">
        <v>522</v>
      </c>
      <c r="D2" s="1066" t="s">
        <v>381</v>
      </c>
      <c r="E2" s="1066" t="s">
        <v>363</v>
      </c>
      <c r="F2" s="1066" t="s">
        <v>381</v>
      </c>
      <c r="G2" s="1066" t="s">
        <v>381</v>
      </c>
    </row>
    <row r="3" spans="2:7">
      <c r="B3" s="386">
        <v>2000</v>
      </c>
      <c r="C3" s="1065"/>
      <c r="D3" s="382"/>
      <c r="E3" s="382"/>
      <c r="F3" s="380"/>
      <c r="G3" s="1068"/>
    </row>
    <row r="4" spans="2:7">
      <c r="B4" s="386">
        <v>2001</v>
      </c>
      <c r="C4" s="415"/>
      <c r="D4" s="383"/>
      <c r="E4" s="383"/>
      <c r="F4" s="381">
        <v>6124</v>
      </c>
      <c r="G4" s="381">
        <v>352</v>
      </c>
    </row>
    <row r="5" spans="2:7">
      <c r="B5" s="386">
        <v>2002</v>
      </c>
      <c r="C5" s="1072">
        <v>154976.932</v>
      </c>
      <c r="D5" s="1073">
        <f>64041337/1000</f>
        <v>64041.337</v>
      </c>
      <c r="E5" s="1071">
        <f>C5/D5</f>
        <v>2.4199515384883359</v>
      </c>
      <c r="F5" s="378">
        <v>7122</v>
      </c>
      <c r="G5" s="378">
        <v>408</v>
      </c>
    </row>
    <row r="6" spans="2:7">
      <c r="B6" s="387">
        <v>2003</v>
      </c>
      <c r="C6" s="1074"/>
      <c r="D6" s="1073"/>
      <c r="E6" s="1071"/>
      <c r="F6" s="378">
        <v>6583</v>
      </c>
      <c r="G6" s="378">
        <v>343</v>
      </c>
    </row>
    <row r="7" spans="2:7">
      <c r="B7" s="387">
        <v>2004</v>
      </c>
      <c r="C7" s="1074"/>
      <c r="D7" s="1073"/>
      <c r="E7" s="1071"/>
      <c r="F7" s="378">
        <v>6101</v>
      </c>
      <c r="G7" s="378">
        <v>352</v>
      </c>
    </row>
    <row r="8" spans="2:7">
      <c r="B8" s="387">
        <v>2005</v>
      </c>
      <c r="C8" s="1074"/>
      <c r="D8" s="1073"/>
      <c r="E8" s="1071"/>
      <c r="F8" s="378">
        <v>5930</v>
      </c>
      <c r="G8" s="378">
        <v>311</v>
      </c>
    </row>
    <row r="9" spans="2:7">
      <c r="B9" s="387">
        <v>2006</v>
      </c>
      <c r="C9" s="1074"/>
      <c r="D9" s="1073"/>
      <c r="E9" s="1071"/>
      <c r="F9" s="378">
        <v>6487</v>
      </c>
      <c r="G9" s="378">
        <v>347</v>
      </c>
    </row>
    <row r="10" spans="2:7">
      <c r="B10" s="387">
        <v>2007</v>
      </c>
      <c r="C10" s="1075">
        <v>155393.76199999999</v>
      </c>
      <c r="D10" s="1073">
        <f>61455483/1000</f>
        <v>61455.483</v>
      </c>
      <c r="E10" s="1071">
        <f>C10/D10</f>
        <v>2.5285581434613409</v>
      </c>
      <c r="F10" s="378">
        <v>6060</v>
      </c>
      <c r="G10" s="378">
        <v>392</v>
      </c>
    </row>
    <row r="11" spans="2:7">
      <c r="B11" s="387">
        <v>2008</v>
      </c>
      <c r="C11" s="416"/>
      <c r="D11" s="375"/>
      <c r="E11" s="375"/>
      <c r="F11" s="378">
        <v>5965</v>
      </c>
      <c r="G11" s="378">
        <v>408</v>
      </c>
    </row>
    <row r="12" spans="2:7">
      <c r="B12" s="387">
        <v>2009</v>
      </c>
      <c r="C12" s="416"/>
      <c r="D12" s="375"/>
      <c r="E12" s="375"/>
      <c r="F12" s="378">
        <v>5605</v>
      </c>
      <c r="G12" s="378">
        <v>254</v>
      </c>
    </row>
    <row r="13" spans="2:7">
      <c r="B13" s="387">
        <v>2010</v>
      </c>
      <c r="C13" s="416"/>
      <c r="D13" s="375"/>
      <c r="E13" s="375"/>
      <c r="F13" s="378">
        <v>5567</v>
      </c>
      <c r="G13" s="378">
        <v>273</v>
      </c>
    </row>
    <row r="14" spans="2:7" ht="16" thickBot="1">
      <c r="B14" s="387">
        <v>2011</v>
      </c>
      <c r="C14" s="416"/>
      <c r="D14" s="376"/>
      <c r="E14" s="376"/>
      <c r="F14" s="379"/>
      <c r="G14" s="1069"/>
    </row>
    <row r="15" spans="2:7" ht="16" thickTop="1">
      <c r="B15" s="389" t="s">
        <v>523</v>
      </c>
      <c r="C15" s="417">
        <f>AVERAGE(C4:C14)</f>
        <v>155185.34700000001</v>
      </c>
      <c r="D15" s="417">
        <f>AVERAGE(D4:D14)</f>
        <v>62748.41</v>
      </c>
      <c r="E15" s="1076">
        <f>AVERAGE(E4:E14)</f>
        <v>2.4742548409748384</v>
      </c>
      <c r="F15" s="417">
        <f t="shared" ref="F15:G15" si="0">AVERAGE(F4:F14)</f>
        <v>6154.4</v>
      </c>
      <c r="G15" s="417">
        <f t="shared" si="0"/>
        <v>344</v>
      </c>
    </row>
    <row r="16" spans="2:7" ht="16">
      <c r="B16" s="388" t="s">
        <v>713</v>
      </c>
      <c r="C16" s="765">
        <f>0.1*C15</f>
        <v>15518.534700000002</v>
      </c>
      <c r="D16" s="762">
        <f>AVERAGE(D4:D14)/10</f>
        <v>6274.8410000000003</v>
      </c>
      <c r="E16" s="763">
        <f>0.1*E15</f>
        <v>0.24742548409748386</v>
      </c>
      <c r="F16" s="764"/>
      <c r="G16" s="1070"/>
    </row>
    <row r="17" spans="2:7" ht="18">
      <c r="B17" s="377"/>
      <c r="C17" s="377"/>
      <c r="D17" s="373"/>
      <c r="E17" s="373"/>
      <c r="F17" s="374"/>
      <c r="G17" s="374"/>
    </row>
    <row r="18" spans="2:7">
      <c r="B18" s="125">
        <v>1</v>
      </c>
      <c r="D18" s="125" t="s">
        <v>749</v>
      </c>
    </row>
    <row r="19" spans="2:7">
      <c r="B19" s="125">
        <v>2</v>
      </c>
      <c r="D19" s="125" t="s">
        <v>750</v>
      </c>
    </row>
    <row r="20" spans="2:7">
      <c r="B20" s="125">
        <v>3</v>
      </c>
      <c r="D20" s="125" t="s">
        <v>667</v>
      </c>
    </row>
    <row r="21" spans="2:7">
      <c r="B21" s="125">
        <v>4</v>
      </c>
      <c r="D21" s="125" t="s">
        <v>668</v>
      </c>
    </row>
    <row r="22" spans="2:7">
      <c r="B22" s="125">
        <v>5</v>
      </c>
      <c r="D22" s="125" t="s">
        <v>669</v>
      </c>
    </row>
  </sheetData>
  <mergeCells count="1">
    <mergeCell ref="C1:D1"/>
  </mergeCells>
  <phoneticPr fontId="107" type="noConversion"/>
  <pageMargins left="0.7" right="0.7" top="0.75" bottom="0.75" header="0.3" footer="0.3"/>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I22"/>
  <sheetViews>
    <sheetView workbookViewId="0">
      <selection activeCell="C7" sqref="C7"/>
    </sheetView>
  </sheetViews>
  <sheetFormatPr baseColWidth="10" defaultColWidth="8.83203125" defaultRowHeight="15"/>
  <cols>
    <col min="3" max="4" width="11.6640625" customWidth="1"/>
    <col min="8" max="8" width="12.1640625" customWidth="1"/>
    <col min="9" max="9" width="21.83203125" customWidth="1"/>
  </cols>
  <sheetData>
    <row r="1" spans="1:9" ht="19">
      <c r="A1" s="909" t="s">
        <v>25</v>
      </c>
    </row>
    <row r="2" spans="1:9" ht="17">
      <c r="B2" s="508"/>
      <c r="C2" s="2051" t="s">
        <v>458</v>
      </c>
      <c r="D2" s="2051"/>
      <c r="E2" s="2051"/>
      <c r="F2" s="2051"/>
      <c r="G2" s="2052" t="s">
        <v>459</v>
      </c>
      <c r="H2" s="2053"/>
    </row>
    <row r="3" spans="1:9" ht="64">
      <c r="B3" s="449"/>
      <c r="C3" s="509" t="s">
        <v>334</v>
      </c>
      <c r="D3" s="494" t="s">
        <v>454</v>
      </c>
      <c r="E3" s="495" t="s">
        <v>456</v>
      </c>
      <c r="F3" s="507" t="s">
        <v>457</v>
      </c>
      <c r="G3" s="332"/>
      <c r="H3" s="516" t="s">
        <v>584</v>
      </c>
      <c r="I3" s="288" t="s">
        <v>585</v>
      </c>
    </row>
    <row r="4" spans="1:9" s="288" customFormat="1" ht="16" thickBot="1">
      <c r="B4" s="501"/>
      <c r="C4" s="2049" t="s">
        <v>258</v>
      </c>
      <c r="D4" s="2050"/>
      <c r="E4" s="2050"/>
      <c r="F4" s="503"/>
      <c r="G4" s="502"/>
      <c r="H4" s="503" t="s">
        <v>258</v>
      </c>
    </row>
    <row r="5" spans="1:9" ht="16" thickTop="1">
      <c r="B5" s="450">
        <v>2000</v>
      </c>
      <c r="C5" s="510"/>
      <c r="D5" s="511"/>
      <c r="E5" s="511"/>
      <c r="F5" s="514"/>
      <c r="G5" s="177"/>
      <c r="H5" s="326"/>
    </row>
    <row r="6" spans="1:9">
      <c r="B6" s="450">
        <f>B5+1</f>
        <v>2001</v>
      </c>
      <c r="C6" s="450"/>
      <c r="D6" s="177"/>
      <c r="E6" s="177"/>
      <c r="F6" s="326"/>
      <c r="G6" s="177"/>
      <c r="H6" s="326"/>
    </row>
    <row r="7" spans="1:9">
      <c r="B7" s="450">
        <f t="shared" ref="B7:B14" si="0">B6+1</f>
        <v>2002</v>
      </c>
      <c r="C7" s="512">
        <v>62</v>
      </c>
      <c r="D7" s="177">
        <v>587</v>
      </c>
      <c r="E7" s="493">
        <v>134</v>
      </c>
      <c r="F7" s="326"/>
      <c r="G7" s="177"/>
      <c r="H7" s="496">
        <f>23979842/1000000</f>
        <v>23.979842000000001</v>
      </c>
    </row>
    <row r="8" spans="1:9">
      <c r="B8" s="450">
        <f t="shared" si="0"/>
        <v>2003</v>
      </c>
      <c r="C8" s="450"/>
      <c r="D8" s="177"/>
      <c r="E8" s="493"/>
      <c r="F8" s="326"/>
      <c r="G8" s="177"/>
      <c r="H8" s="326"/>
    </row>
    <row r="9" spans="1:9">
      <c r="B9" s="450">
        <f t="shared" si="0"/>
        <v>2004</v>
      </c>
      <c r="C9" s="450"/>
      <c r="D9" s="177"/>
      <c r="E9" s="493"/>
      <c r="F9" s="326"/>
      <c r="G9" s="177"/>
      <c r="H9" s="326"/>
    </row>
    <row r="10" spans="1:9">
      <c r="B10" s="450">
        <f t="shared" si="0"/>
        <v>2005</v>
      </c>
      <c r="C10" s="450"/>
      <c r="D10" s="177"/>
      <c r="E10" s="493"/>
      <c r="F10" s="326"/>
      <c r="G10" s="177"/>
      <c r="H10" s="326"/>
    </row>
    <row r="11" spans="1:9">
      <c r="B11" s="450">
        <f t="shared" si="0"/>
        <v>2006</v>
      </c>
      <c r="C11" s="450"/>
      <c r="D11" s="177"/>
      <c r="E11" s="493"/>
      <c r="F11" s="326"/>
      <c r="G11" s="177"/>
      <c r="H11" s="326"/>
    </row>
    <row r="12" spans="1:9">
      <c r="B12" s="450">
        <f t="shared" si="0"/>
        <v>2007</v>
      </c>
      <c r="C12" s="450">
        <v>36</v>
      </c>
      <c r="D12" s="177">
        <v>614</v>
      </c>
      <c r="E12" s="493">
        <v>127</v>
      </c>
      <c r="F12" s="326"/>
      <c r="G12" s="177"/>
      <c r="H12" s="496">
        <f>25002776/1000000</f>
        <v>25.002776000000001</v>
      </c>
    </row>
    <row r="13" spans="1:9">
      <c r="B13" s="450">
        <f t="shared" si="0"/>
        <v>2008</v>
      </c>
      <c r="C13" s="450"/>
      <c r="D13" s="177"/>
      <c r="E13" s="177"/>
      <c r="F13" s="326"/>
      <c r="G13" s="177"/>
      <c r="H13" s="326"/>
    </row>
    <row r="14" spans="1:9">
      <c r="B14" s="450">
        <f t="shared" si="0"/>
        <v>2009</v>
      </c>
      <c r="C14" s="450"/>
      <c r="D14" s="177"/>
      <c r="E14" s="177"/>
      <c r="F14" s="326"/>
      <c r="G14" s="177"/>
      <c r="H14" s="326"/>
    </row>
    <row r="15" spans="1:9">
      <c r="B15" s="450">
        <f>B14+1</f>
        <v>2010</v>
      </c>
      <c r="C15" s="450"/>
      <c r="D15" s="177"/>
      <c r="E15" s="177"/>
      <c r="F15" s="326"/>
      <c r="G15" s="177"/>
      <c r="H15" s="326"/>
    </row>
    <row r="16" spans="1:9" s="249" customFormat="1">
      <c r="B16" s="504" t="s">
        <v>740</v>
      </c>
      <c r="C16" s="504">
        <f>C12</f>
        <v>36</v>
      </c>
      <c r="D16" s="505">
        <f>AVERAGE(D5:D15)</f>
        <v>600.5</v>
      </c>
      <c r="E16" s="627">
        <f>AVERAGE(E5:E15)</f>
        <v>130.5</v>
      </c>
      <c r="F16" s="515">
        <f>SUM(C16:E16)</f>
        <v>767</v>
      </c>
      <c r="G16" s="505"/>
      <c r="H16" s="506">
        <f>AVERAGE(H5:H15)</f>
        <v>24.491309000000001</v>
      </c>
    </row>
    <row r="17" spans="2:8" s="249" customFormat="1">
      <c r="B17" s="497" t="s">
        <v>257</v>
      </c>
      <c r="C17" s="497">
        <f>0.1*C16</f>
        <v>3.6</v>
      </c>
      <c r="D17" s="497">
        <f t="shared" ref="D17:E17" si="1">0.1*D16</f>
        <v>60.050000000000004</v>
      </c>
      <c r="E17" s="497">
        <f t="shared" si="1"/>
        <v>13.05</v>
      </c>
      <c r="F17" s="774">
        <f>SQRT(C17^2+D17^2+E17^2)</f>
        <v>61.557006100037064</v>
      </c>
      <c r="G17" s="319"/>
      <c r="H17" s="322"/>
    </row>
    <row r="18" spans="2:8" s="249" customFormat="1">
      <c r="B18" s="498" t="s">
        <v>617</v>
      </c>
      <c r="C18" s="513">
        <f>C16/F16</f>
        <v>4.6936114732724903E-2</v>
      </c>
      <c r="D18" s="499">
        <f>D16/F16</f>
        <v>0.78292046936114734</v>
      </c>
      <c r="E18" s="499">
        <f>E16/F16</f>
        <v>0.17014341590612778</v>
      </c>
      <c r="F18" s="500"/>
      <c r="G18" s="307"/>
      <c r="H18" s="500"/>
    </row>
    <row r="21" spans="2:8">
      <c r="B21">
        <v>1</v>
      </c>
      <c r="C21" s="288" t="s">
        <v>455</v>
      </c>
    </row>
    <row r="22" spans="2:8">
      <c r="B22">
        <v>2</v>
      </c>
      <c r="C22" s="288" t="s">
        <v>460</v>
      </c>
    </row>
  </sheetData>
  <mergeCells count="3">
    <mergeCell ref="C4:E4"/>
    <mergeCell ref="C2:F2"/>
    <mergeCell ref="G2:H2"/>
  </mergeCells>
  <phoneticPr fontId="107" type="noConversion"/>
  <pageMargins left="0.7" right="0.7" top="0.75" bottom="0.75" header="0.3" footer="0.3"/>
  <legacy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37"/>
  <sheetViews>
    <sheetView topLeftCell="A34" workbookViewId="0">
      <selection activeCell="A37" sqref="A37"/>
    </sheetView>
  </sheetViews>
  <sheetFormatPr baseColWidth="10" defaultColWidth="8.83203125" defaultRowHeight="15"/>
  <cols>
    <col min="1" max="1" width="28.1640625" customWidth="1"/>
    <col min="2" max="2" width="14.33203125" customWidth="1"/>
    <col min="3" max="3" width="57.33203125" customWidth="1"/>
    <col min="4" max="4" width="29.33203125" customWidth="1"/>
    <col min="5" max="5" width="12" bestFit="1" customWidth="1"/>
    <col min="6" max="6" width="12.6640625" customWidth="1"/>
    <col min="7" max="7" width="12" bestFit="1" customWidth="1"/>
  </cols>
  <sheetData>
    <row r="1" spans="1:16" ht="16" thickBot="1">
      <c r="A1" s="177"/>
      <c r="B1" s="177"/>
      <c r="C1" s="177"/>
      <c r="D1" s="177"/>
      <c r="E1" s="177"/>
      <c r="F1" s="177"/>
      <c r="G1" s="177"/>
      <c r="H1" s="177"/>
      <c r="I1" s="177"/>
      <c r="J1" s="177"/>
    </row>
    <row r="2" spans="1:16" ht="17">
      <c r="A2" s="1490" t="s">
        <v>907</v>
      </c>
      <c r="B2" s="1246"/>
      <c r="C2" s="1246"/>
      <c r="D2" s="1246"/>
      <c r="E2" s="1246"/>
      <c r="F2" s="1246"/>
      <c r="G2" s="1246"/>
      <c r="H2" s="1246"/>
      <c r="I2" s="1246"/>
      <c r="J2" s="1478"/>
    </row>
    <row r="3" spans="1:16">
      <c r="A3" s="222"/>
      <c r="B3" s="177">
        <v>2264</v>
      </c>
      <c r="C3" s="177" t="s">
        <v>903</v>
      </c>
      <c r="D3" s="177"/>
      <c r="E3" s="177"/>
      <c r="F3" s="177"/>
      <c r="G3" s="177"/>
      <c r="H3" s="177"/>
      <c r="I3" s="177"/>
      <c r="J3" s="1239"/>
    </row>
    <row r="4" spans="1:16" s="938" customFormat="1">
      <c r="A4" s="222"/>
      <c r="B4" s="177">
        <v>372</v>
      </c>
      <c r="C4" s="177" t="s">
        <v>957</v>
      </c>
      <c r="D4" s="177"/>
      <c r="E4" s="177"/>
      <c r="F4" s="177"/>
      <c r="G4" s="177"/>
      <c r="H4" s="177"/>
      <c r="I4" s="177"/>
      <c r="J4" s="1239"/>
    </row>
    <row r="5" spans="1:16">
      <c r="A5" s="222"/>
      <c r="B5" s="177">
        <v>1160</v>
      </c>
      <c r="C5" s="177" t="s">
        <v>958</v>
      </c>
      <c r="D5" s="177"/>
      <c r="E5" s="177"/>
      <c r="F5" s="177"/>
      <c r="G5" s="177"/>
      <c r="H5" s="177"/>
      <c r="I5" s="177"/>
      <c r="J5" s="1239"/>
    </row>
    <row r="6" spans="1:16">
      <c r="A6" s="222"/>
      <c r="B6" s="1489">
        <f>B5/B3</f>
        <v>0.51236749116607772</v>
      </c>
      <c r="C6" s="177" t="s">
        <v>904</v>
      </c>
      <c r="D6" s="177"/>
      <c r="E6" s="177"/>
      <c r="F6" s="177" t="s">
        <v>104</v>
      </c>
      <c r="G6" s="177"/>
      <c r="H6" s="177"/>
      <c r="I6" s="177"/>
      <c r="J6" s="1239"/>
    </row>
    <row r="7" spans="1:16" s="938" customFormat="1">
      <c r="A7" s="222"/>
      <c r="B7" s="1694">
        <f>(ResourceFeedMain!Q12+ResourceFeedMain!Y12)</f>
        <v>146.8422096959244</v>
      </c>
      <c r="C7" s="1262" t="s">
        <v>954</v>
      </c>
      <c r="D7" s="1004">
        <f>B7*4046.9/10^6</f>
        <v>0.59425573841843649</v>
      </c>
      <c r="E7" s="177" t="s">
        <v>953</v>
      </c>
      <c r="F7" s="177"/>
      <c r="G7" s="177"/>
      <c r="H7" s="177"/>
      <c r="I7" s="177"/>
      <c r="J7" s="1239"/>
    </row>
    <row r="8" spans="1:16" s="938" customFormat="1">
      <c r="A8" s="222"/>
      <c r="B8" s="1694">
        <f>ResourceFeedMain!AE12</f>
        <v>913.84220969592434</v>
      </c>
      <c r="C8" s="1262" t="s">
        <v>955</v>
      </c>
      <c r="D8" s="1004">
        <f>B8*4046.9/10^6</f>
        <v>3.6982280384184363</v>
      </c>
      <c r="E8" s="177" t="s">
        <v>953</v>
      </c>
      <c r="F8" s="177"/>
      <c r="G8" s="177"/>
      <c r="H8" s="177"/>
      <c r="I8" s="177"/>
      <c r="J8" s="1239"/>
    </row>
    <row r="9" spans="1:16">
      <c r="A9" s="222"/>
      <c r="B9" s="177"/>
      <c r="C9" s="177"/>
      <c r="D9" s="177"/>
      <c r="E9" s="177" t="s">
        <v>952</v>
      </c>
      <c r="F9" s="177"/>
      <c r="G9" s="177"/>
      <c r="H9" s="177"/>
      <c r="I9" s="177"/>
      <c r="J9" s="1239"/>
    </row>
    <row r="10" spans="1:16">
      <c r="A10" s="222"/>
      <c r="B10" s="1262" t="s">
        <v>906</v>
      </c>
      <c r="C10" s="177"/>
      <c r="D10" s="1143">
        <f>ResourceFeedMain!AE12/B3</f>
        <v>0.40364055198583232</v>
      </c>
      <c r="E10" s="807">
        <f>ResourceFeedMain!AE12*4046.9/('USA Cal-Protein Intake'!P19/1000)</f>
        <v>12036.925625527372</v>
      </c>
      <c r="F10" s="177"/>
      <c r="G10" s="177"/>
      <c r="H10" s="177"/>
      <c r="I10" s="177"/>
      <c r="J10" s="1239"/>
    </row>
    <row r="11" spans="1:16" s="938" customFormat="1">
      <c r="A11" s="222"/>
      <c r="B11" s="1262" t="s">
        <v>959</v>
      </c>
      <c r="C11" s="177"/>
      <c r="D11" s="1143">
        <f>B7/B4</f>
        <v>0.39473712283850643</v>
      </c>
      <c r="E11" s="807">
        <f>(ResourceFeedMain!Q12+ResourceFeedMain!Y12)*4046.9/('USA Cal-Protein Intake'!P19/1000)</f>
        <v>1934.1728123787052</v>
      </c>
      <c r="F11" s="177"/>
      <c r="G11" s="177"/>
      <c r="H11" s="177"/>
      <c r="I11" s="177"/>
      <c r="J11" s="1239"/>
    </row>
    <row r="12" spans="1:16" ht="16" thickBot="1">
      <c r="A12" s="1248"/>
      <c r="B12" s="1491" t="s">
        <v>905</v>
      </c>
      <c r="C12" s="1243"/>
      <c r="D12" s="1695">
        <f>B8/B5</f>
        <v>0.78779500835855543</v>
      </c>
      <c r="E12" s="1243"/>
      <c r="F12" s="1243"/>
      <c r="G12" s="1243"/>
      <c r="H12" s="1243"/>
      <c r="I12" s="1243"/>
      <c r="J12" s="1244"/>
    </row>
    <row r="13" spans="1:16" s="938" customFormat="1" ht="16" thickBot="1">
      <c r="A13" s="177"/>
      <c r="B13" s="177"/>
      <c r="C13" s="177"/>
      <c r="D13" s="177"/>
      <c r="E13" s="177"/>
      <c r="F13" s="177"/>
      <c r="G13" s="177"/>
      <c r="H13" s="177"/>
      <c r="I13" s="177"/>
      <c r="J13" s="177"/>
    </row>
    <row r="14" spans="1:16" ht="16">
      <c r="A14" s="1249" t="s">
        <v>70</v>
      </c>
      <c r="B14" s="1250"/>
      <c r="C14" s="1251" t="s">
        <v>181</v>
      </c>
      <c r="D14" s="1252" t="s">
        <v>786</v>
      </c>
      <c r="E14" s="177"/>
      <c r="F14" s="177">
        <v>1</v>
      </c>
      <c r="G14" s="1102" t="s">
        <v>142</v>
      </c>
      <c r="H14" s="1119"/>
      <c r="I14" s="1119"/>
      <c r="J14" s="1119"/>
      <c r="K14" s="1101"/>
      <c r="L14" s="1101"/>
      <c r="M14" s="1101"/>
      <c r="N14" s="1101"/>
      <c r="O14" s="1101"/>
      <c r="P14" s="1101"/>
    </row>
    <row r="15" spans="1:16" ht="34">
      <c r="A15" s="1253" t="s">
        <v>787</v>
      </c>
      <c r="B15" s="693">
        <v>91235036</v>
      </c>
      <c r="C15" s="694">
        <v>1233.48</v>
      </c>
      <c r="D15" s="1254">
        <f>B15*C15/10^6</f>
        <v>112536.59220528</v>
      </c>
      <c r="E15" s="177"/>
      <c r="F15" s="177">
        <v>2</v>
      </c>
      <c r="G15" s="1268" t="s">
        <v>209</v>
      </c>
      <c r="H15" s="1119"/>
      <c r="I15" s="1119"/>
      <c r="J15" s="1119"/>
      <c r="K15" s="1119"/>
      <c r="L15" s="1119"/>
      <c r="M15" s="1119"/>
      <c r="N15" s="1119" t="s">
        <v>153</v>
      </c>
      <c r="O15" s="1269" t="s">
        <v>773</v>
      </c>
      <c r="P15" s="1101"/>
    </row>
    <row r="16" spans="1:16" ht="17">
      <c r="A16" s="1255" t="s">
        <v>788</v>
      </c>
      <c r="B16" s="695">
        <v>25768753</v>
      </c>
      <c r="C16" s="126">
        <v>3.7850000000000001</v>
      </c>
      <c r="D16" s="1256">
        <f>B16*C16/1000000</f>
        <v>97.534730105000008</v>
      </c>
      <c r="E16" s="177"/>
      <c r="F16" s="177">
        <v>3</v>
      </c>
      <c r="G16" s="1268" t="s">
        <v>209</v>
      </c>
      <c r="H16" s="1119"/>
      <c r="I16" s="1119"/>
      <c r="J16" s="1119"/>
      <c r="K16" s="1119"/>
      <c r="L16" s="1119"/>
      <c r="M16" s="1119"/>
      <c r="N16" s="1119" t="s">
        <v>154</v>
      </c>
      <c r="O16" s="1269" t="s">
        <v>155</v>
      </c>
      <c r="P16" s="1101"/>
    </row>
    <row r="17" spans="1:16">
      <c r="A17" s="1255"/>
      <c r="B17" s="126"/>
      <c r="C17" s="126"/>
      <c r="D17" s="1265">
        <f>SUM(D15:D16)</f>
        <v>112634.12693538501</v>
      </c>
      <c r="E17" s="177"/>
      <c r="F17" s="177">
        <v>4</v>
      </c>
      <c r="G17" s="1102" t="s">
        <v>776</v>
      </c>
      <c r="H17" s="1119"/>
      <c r="I17" s="1119"/>
      <c r="J17" s="1119"/>
      <c r="K17" s="1101"/>
      <c r="L17" s="1270" t="s">
        <v>777</v>
      </c>
      <c r="M17" s="1101"/>
      <c r="N17" s="1101"/>
      <c r="O17" s="1101"/>
      <c r="P17" s="1101"/>
    </row>
    <row r="18" spans="1:16">
      <c r="A18" s="222"/>
      <c r="B18" s="177"/>
      <c r="C18" s="177"/>
      <c r="D18" s="1239"/>
      <c r="E18" s="177"/>
      <c r="F18" s="1262">
        <v>5</v>
      </c>
      <c r="G18" s="1267" t="s">
        <v>784</v>
      </c>
      <c r="H18" s="1101"/>
      <c r="I18" s="1119"/>
      <c r="J18" s="1119"/>
      <c r="K18" s="1101"/>
      <c r="L18" s="1101"/>
      <c r="M18" s="1270" t="s">
        <v>785</v>
      </c>
      <c r="N18" s="1101"/>
      <c r="O18" s="1101"/>
      <c r="P18" s="1101"/>
    </row>
    <row r="19" spans="1:16">
      <c r="A19" s="222"/>
      <c r="B19" s="177"/>
      <c r="C19" s="177"/>
      <c r="D19" s="1266"/>
      <c r="E19" s="177"/>
      <c r="F19" s="177"/>
      <c r="G19" s="1119"/>
      <c r="H19" s="1119"/>
      <c r="I19" s="1119"/>
      <c r="J19" s="1119"/>
      <c r="K19" s="1101"/>
      <c r="L19" s="1101"/>
      <c r="M19" s="1101"/>
      <c r="N19" s="1101"/>
      <c r="O19" s="1101"/>
      <c r="P19" s="1101"/>
    </row>
    <row r="20" spans="1:16" ht="51" thickBot="1">
      <c r="A20" s="1257" t="s">
        <v>789</v>
      </c>
      <c r="B20" s="1258">
        <v>128000</v>
      </c>
      <c r="C20" s="1258">
        <v>3.7850000000000002E-3</v>
      </c>
      <c r="D20" s="1264">
        <f>B20*10^6*365*C20/10^6</f>
        <v>176835.20000000001</v>
      </c>
      <c r="E20" s="708">
        <f>D17/D20</f>
        <v>0.63694404131861193</v>
      </c>
      <c r="F20" s="177"/>
      <c r="G20" s="177"/>
      <c r="H20" s="177"/>
      <c r="I20" s="177"/>
      <c r="J20" s="177"/>
    </row>
    <row r="21" spans="1:16" s="938" customFormat="1" ht="16" thickBot="1">
      <c r="A21" s="177"/>
      <c r="B21" s="177"/>
      <c r="C21" s="177"/>
      <c r="D21" s="177"/>
      <c r="G21" s="177"/>
      <c r="H21" s="177"/>
      <c r="I21" s="177"/>
      <c r="J21" s="177"/>
    </row>
    <row r="22" spans="1:16" ht="32">
      <c r="A22" s="1245"/>
      <c r="B22" s="1259" t="s">
        <v>771</v>
      </c>
      <c r="C22" s="1259" t="s">
        <v>772</v>
      </c>
      <c r="D22" s="1246"/>
      <c r="E22" s="1246"/>
      <c r="F22" s="1247"/>
    </row>
    <row r="23" spans="1:16" ht="34">
      <c r="A23" s="1238" t="s">
        <v>790</v>
      </c>
      <c r="B23" s="177">
        <f>410000</f>
        <v>410000</v>
      </c>
      <c r="C23" s="177">
        <f>B23*10^6*365*C20</f>
        <v>566425250000</v>
      </c>
      <c r="D23" s="177"/>
      <c r="E23" s="177" t="s">
        <v>791</v>
      </c>
      <c r="F23" s="1239"/>
    </row>
    <row r="24" spans="1:16">
      <c r="A24" s="222"/>
      <c r="B24" s="177"/>
      <c r="C24" s="177"/>
      <c r="D24" s="177"/>
      <c r="E24" s="177"/>
      <c r="F24" s="1239"/>
    </row>
    <row r="25" spans="1:16">
      <c r="A25" s="222"/>
      <c r="B25" s="177"/>
      <c r="C25" s="177"/>
      <c r="D25" s="177"/>
      <c r="E25" s="177"/>
      <c r="F25" s="1239"/>
    </row>
    <row r="26" spans="1:16" ht="32">
      <c r="A26" s="1240" t="s">
        <v>779</v>
      </c>
      <c r="B26" s="708">
        <f>ResourceFeedMain!AE17*10^6/C23</f>
        <v>8.3738917814684274E-2</v>
      </c>
      <c r="C26" s="177"/>
      <c r="D26" s="177"/>
      <c r="E26" s="177" t="s">
        <v>951</v>
      </c>
      <c r="F26" s="1239"/>
    </row>
    <row r="27" spans="1:16" s="938" customFormat="1" ht="32">
      <c r="A27" s="1240" t="s">
        <v>780</v>
      </c>
      <c r="B27" s="708">
        <f>ResourceFeedMain!AE17/D20</f>
        <v>0.26822622112516054</v>
      </c>
      <c r="C27" s="177"/>
      <c r="D27" s="177"/>
      <c r="E27" s="177">
        <f>ResourceFeedMain!AE17/300</f>
        <v>158.10612485970663</v>
      </c>
      <c r="F27" s="1239"/>
    </row>
    <row r="28" spans="1:16" ht="33" thickBot="1">
      <c r="A28" s="1241" t="s">
        <v>781</v>
      </c>
      <c r="B28" s="1242">
        <f>ResourceFeedMain!AE17*10^6/(D17*10^6)</f>
        <v>0.42111426393105783</v>
      </c>
      <c r="C28" s="1243"/>
      <c r="D28" s="1243"/>
      <c r="E28" s="1243"/>
      <c r="F28" s="1244"/>
    </row>
    <row r="29" spans="1:16" s="938" customFormat="1">
      <c r="A29" s="969"/>
      <c r="B29" s="708"/>
      <c r="C29" s="177"/>
      <c r="D29" s="177"/>
      <c r="E29" s="177"/>
      <c r="F29" s="177"/>
    </row>
    <row r="30" spans="1:16" ht="16" thickBot="1"/>
    <row r="31" spans="1:16" ht="32">
      <c r="A31" s="1263" t="s">
        <v>774</v>
      </c>
      <c r="B31" s="1251" t="s">
        <v>775</v>
      </c>
      <c r="C31" s="1251" t="s">
        <v>778</v>
      </c>
      <c r="D31" s="1250"/>
      <c r="E31" s="1250"/>
      <c r="F31" s="1252"/>
    </row>
    <row r="32" spans="1:16" ht="18">
      <c r="A32" s="1261" t="s">
        <v>792</v>
      </c>
      <c r="B32" s="177">
        <v>6575.5</v>
      </c>
      <c r="C32" s="1004">
        <f>B32*10^6/('USA Cal-Protein Intake'!P19*1000)</f>
        <v>21.401818283899978</v>
      </c>
      <c r="D32" s="177"/>
      <c r="E32" s="177"/>
      <c r="F32" s="1239"/>
    </row>
    <row r="33" spans="1:6" s="938" customFormat="1" ht="18">
      <c r="A33" s="1260" t="s">
        <v>956</v>
      </c>
      <c r="B33" s="177">
        <v>1850</v>
      </c>
      <c r="D33" s="177"/>
      <c r="E33" s="177"/>
      <c r="F33" s="1239"/>
    </row>
    <row r="34" spans="1:6" ht="16">
      <c r="A34" s="1260" t="s">
        <v>783</v>
      </c>
      <c r="B34" s="1004">
        <f>PartitioningPerCal!H25/1000</f>
        <v>326.34901820796051</v>
      </c>
      <c r="C34" s="1004">
        <f>B34*10^6/('USA Cal-Protein Intake'!P19*1000)</f>
        <v>1.0621948726052672</v>
      </c>
      <c r="D34" s="177"/>
      <c r="E34" s="177"/>
      <c r="F34" s="1239"/>
    </row>
    <row r="35" spans="1:6" ht="32">
      <c r="A35" s="1240" t="s">
        <v>782</v>
      </c>
      <c r="B35" s="1143">
        <f>B34/B32</f>
        <v>4.9631057441709453E-2</v>
      </c>
      <c r="C35" s="1143">
        <f>C34/C32</f>
        <v>4.9631057441709446E-2</v>
      </c>
      <c r="D35" s="177"/>
      <c r="E35" s="177"/>
      <c r="F35" s="1239"/>
    </row>
    <row r="36" spans="1:6" ht="32">
      <c r="A36" s="1240" t="s">
        <v>960</v>
      </c>
      <c r="B36" s="708">
        <f>B34/B33</f>
        <v>0.17640487470700569</v>
      </c>
      <c r="C36" s="177"/>
      <c r="D36" s="177"/>
      <c r="E36" s="177"/>
      <c r="F36" s="1239"/>
    </row>
    <row r="37" spans="1:6" ht="16" thickBot="1">
      <c r="A37" s="1248"/>
      <c r="B37" s="1243"/>
      <c r="C37" s="1243"/>
      <c r="D37" s="1243"/>
      <c r="E37" s="1243"/>
      <c r="F37" s="1244"/>
    </row>
  </sheetData>
  <phoneticPr fontId="107" type="noConversion"/>
  <hyperlinks>
    <hyperlink ref="G15" r:id="rId1" xr:uid="{00000000-0004-0000-1500-000000000000}"/>
    <hyperlink ref="G16" r:id="rId2" xr:uid="{00000000-0004-0000-1500-000001000000}"/>
    <hyperlink ref="L17" r:id="rId3" xr:uid="{00000000-0004-0000-1500-000002000000}"/>
    <hyperlink ref="M18" r:id="rId4" xr:uid="{00000000-0004-0000-1500-000003000000}"/>
  </hyperlinks>
  <pageMargins left="0.7" right="0.7" top="0.75" bottom="0.75" header="0.3" footer="0.3"/>
  <pageSetup orientation="portrait" verticalDpi="0" r:id="rId5"/>
  <legacyDrawing r:id="rId6"/>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E85"/>
  <sheetViews>
    <sheetView tabSelected="1" topLeftCell="A7" zoomScale="109" zoomScaleNormal="109" workbookViewId="0">
      <pane xSplit="1" topLeftCell="B1" activePane="topRight" state="frozen"/>
      <selection pane="topRight" activeCell="D41" sqref="D41"/>
    </sheetView>
  </sheetViews>
  <sheetFormatPr baseColWidth="10" defaultColWidth="8.83203125" defaultRowHeight="15"/>
  <cols>
    <col min="1" max="1" width="21" customWidth="1"/>
    <col min="2" max="2" width="13.5" customWidth="1"/>
    <col min="3" max="3" width="11.5" customWidth="1"/>
    <col min="4" max="4" width="13" customWidth="1"/>
    <col min="5" max="5" width="12.1640625" customWidth="1"/>
    <col min="6" max="7" width="13.5" customWidth="1"/>
    <col min="8" max="8" width="17.33203125" customWidth="1"/>
    <col min="9" max="9" width="6" bestFit="1" customWidth="1"/>
    <col min="10" max="10" width="10.83203125" customWidth="1"/>
    <col min="11" max="11" width="13.1640625" customWidth="1"/>
    <col min="12" max="12" width="14.5" customWidth="1"/>
    <col min="13" max="13" width="18" customWidth="1"/>
    <col min="14" max="14" width="11.5" customWidth="1"/>
    <col min="15" max="15" width="12.1640625" customWidth="1"/>
    <col min="16" max="16" width="22.5" customWidth="1"/>
    <col min="17" max="17" width="11.1640625" customWidth="1"/>
    <col min="18" max="18" width="9.6640625" customWidth="1"/>
    <col min="19" max="19" width="25.33203125" customWidth="1"/>
    <col min="20" max="20" width="12.1640625" customWidth="1"/>
    <col min="21" max="21" width="7.83203125" customWidth="1"/>
    <col min="22" max="22" width="12.1640625" customWidth="1"/>
  </cols>
  <sheetData>
    <row r="1" spans="1:31" ht="11" customHeight="1">
      <c r="B1" s="177"/>
      <c r="O1" s="547"/>
      <c r="P1" s="547"/>
      <c r="Q1" s="548"/>
      <c r="R1" s="544"/>
      <c r="S1" s="544"/>
      <c r="T1" s="544"/>
      <c r="U1" s="544"/>
      <c r="V1" s="544"/>
      <c r="W1" s="544"/>
      <c r="X1" s="544"/>
      <c r="Y1" s="544"/>
      <c r="Z1" s="544"/>
    </row>
    <row r="2" spans="1:31">
      <c r="B2" s="177"/>
      <c r="O2" s="547"/>
      <c r="P2" s="547"/>
      <c r="Q2" s="548"/>
      <c r="R2" s="544"/>
      <c r="S2" s="544"/>
      <c r="T2" s="544"/>
      <c r="U2" s="544"/>
      <c r="V2" s="544"/>
      <c r="W2" s="544"/>
      <c r="X2" s="544"/>
      <c r="Y2" s="544"/>
      <c r="Z2" s="544"/>
    </row>
    <row r="3" spans="1:31">
      <c r="B3" s="177"/>
      <c r="O3" s="547"/>
      <c r="S3" s="544"/>
      <c r="T3" s="544"/>
      <c r="U3" s="544"/>
      <c r="V3" s="544"/>
      <c r="W3" s="544"/>
      <c r="X3" s="544"/>
      <c r="Y3" s="544"/>
      <c r="Z3" s="544"/>
    </row>
    <row r="4" spans="1:31" ht="50.25" customHeight="1">
      <c r="B4" s="177"/>
      <c r="O4" s="547"/>
      <c r="S4" s="544"/>
      <c r="T4" s="544"/>
      <c r="U4" s="544"/>
      <c r="V4" s="544"/>
      <c r="W4" s="544"/>
      <c r="X4" s="544"/>
      <c r="Y4" s="544"/>
      <c r="Z4" s="544"/>
    </row>
    <row r="5" spans="1:31">
      <c r="B5" s="177"/>
      <c r="O5" s="547"/>
      <c r="S5" s="544"/>
      <c r="T5" s="544"/>
      <c r="U5" s="544"/>
      <c r="V5" s="544"/>
      <c r="W5" s="544"/>
      <c r="X5" s="544"/>
      <c r="Y5" s="544"/>
      <c r="Z5" s="544"/>
    </row>
    <row r="6" spans="1:31">
      <c r="B6" s="177"/>
      <c r="O6" s="547"/>
      <c r="S6" s="544"/>
      <c r="T6" s="544"/>
      <c r="U6" s="544"/>
      <c r="V6" s="544"/>
      <c r="W6" s="544"/>
      <c r="X6" s="544"/>
      <c r="Y6" s="544"/>
      <c r="Z6" s="544"/>
    </row>
    <row r="7" spans="1:31">
      <c r="B7" s="177"/>
      <c r="O7" s="547"/>
      <c r="P7" s="628"/>
      <c r="S7" s="544"/>
      <c r="T7" s="544"/>
      <c r="U7" s="544"/>
      <c r="V7" s="544"/>
      <c r="W7" s="544"/>
      <c r="X7" s="544"/>
      <c r="Y7" s="544"/>
      <c r="Z7" s="544"/>
    </row>
    <row r="8" spans="1:31">
      <c r="B8" s="177"/>
      <c r="O8" s="557"/>
      <c r="P8" s="628"/>
      <c r="R8" s="938"/>
      <c r="S8" s="544"/>
      <c r="T8" s="544"/>
      <c r="U8" s="544"/>
      <c r="V8" s="544"/>
      <c r="W8" s="544"/>
      <c r="X8" s="544"/>
      <c r="Y8" s="544"/>
      <c r="Z8" s="544"/>
    </row>
    <row r="9" spans="1:31">
      <c r="B9" s="177"/>
      <c r="O9" s="557"/>
      <c r="P9" s="440"/>
      <c r="R9" s="1342"/>
      <c r="S9" s="1343"/>
      <c r="T9" s="544"/>
      <c r="U9" s="544"/>
      <c r="V9" s="544"/>
      <c r="W9" s="544"/>
      <c r="X9" s="544"/>
      <c r="Y9" s="544"/>
      <c r="Z9" s="544"/>
    </row>
    <row r="10" spans="1:31" ht="12.75" customHeight="1" thickBot="1">
      <c r="B10" s="1243"/>
      <c r="O10" s="557"/>
      <c r="P10" s="561"/>
      <c r="Q10" s="549"/>
      <c r="R10" s="1352"/>
      <c r="S10" s="1352"/>
      <c r="T10" s="1352"/>
      <c r="U10" s="1352"/>
      <c r="V10" s="1352"/>
      <c r="W10" s="1352"/>
      <c r="X10" s="1352"/>
      <c r="Y10" s="1352"/>
      <c r="Z10" s="1352"/>
      <c r="AA10" s="1262"/>
      <c r="AB10" s="1262"/>
      <c r="AC10" s="1262"/>
      <c r="AD10" s="1262"/>
      <c r="AE10" s="1262"/>
    </row>
    <row r="11" spans="1:31" ht="34.5" customHeight="1" thickBot="1">
      <c r="A11" s="1024" t="s">
        <v>56</v>
      </c>
      <c r="B11" s="1486" t="s">
        <v>286</v>
      </c>
      <c r="C11" s="704">
        <v>4046.86</v>
      </c>
      <c r="D11" s="926">
        <f>B14/AVERAGE(B15:B18)</f>
        <v>27.884525789350871</v>
      </c>
      <c r="E11" s="705" t="s">
        <v>143</v>
      </c>
      <c r="F11" s="704">
        <v>453.59</v>
      </c>
      <c r="G11" s="926">
        <f>E14/AVERAGE(E15:E18)</f>
        <v>10.818036015753693</v>
      </c>
      <c r="H11" s="706"/>
      <c r="I11" s="703"/>
      <c r="J11" s="926">
        <f>H14/AVERAGE(H15:H18)</f>
        <v>5.4471717255131793</v>
      </c>
      <c r="K11" s="706"/>
      <c r="L11" s="703"/>
      <c r="M11" s="926">
        <f>K14/AVERAGE(K15:K18)</f>
        <v>5.5848129609836041</v>
      </c>
      <c r="N11" s="703"/>
      <c r="O11" s="703"/>
      <c r="P11" s="926">
        <f>(N14)/(AVERAGE(N15:N18))</f>
        <v>4.486806141175415</v>
      </c>
      <c r="Q11" s="1742" t="s">
        <v>796</v>
      </c>
      <c r="R11" s="1351"/>
      <c r="S11" s="1353"/>
      <c r="T11" s="1354"/>
      <c r="U11" s="1355"/>
      <c r="V11" s="1353"/>
      <c r="W11" s="1354"/>
      <c r="X11" s="1355"/>
      <c r="Y11" s="1351"/>
      <c r="Z11" s="1351"/>
      <c r="AA11" s="1355"/>
      <c r="AB11" s="1351"/>
      <c r="AC11" s="1351"/>
      <c r="AD11" s="1355"/>
      <c r="AE11" s="1262"/>
    </row>
    <row r="12" spans="1:31" ht="19.5" customHeight="1">
      <c r="A12" s="569"/>
      <c r="B12" s="1723" t="s">
        <v>279</v>
      </c>
      <c r="C12" s="1724"/>
      <c r="D12" s="1725"/>
      <c r="E12" s="1730" t="s">
        <v>281</v>
      </c>
      <c r="F12" s="1731"/>
      <c r="G12" s="1732"/>
      <c r="H12" s="1726" t="s">
        <v>282</v>
      </c>
      <c r="I12" s="1726"/>
      <c r="J12" s="1727"/>
      <c r="K12" s="851" t="s">
        <v>280</v>
      </c>
      <c r="L12" s="1714"/>
      <c r="M12" s="1715"/>
      <c r="N12" s="1770" t="s">
        <v>949</v>
      </c>
      <c r="O12" s="1771"/>
      <c r="P12" s="1771"/>
      <c r="Q12" s="1743"/>
      <c r="R12" s="1356"/>
      <c r="S12" s="1356"/>
      <c r="T12" s="1356"/>
      <c r="U12" s="1356"/>
      <c r="V12" s="1356"/>
      <c r="W12" s="1356"/>
      <c r="X12" s="1356"/>
      <c r="Y12" s="1360"/>
      <c r="Z12" s="1360"/>
      <c r="AA12" s="1360"/>
      <c r="AB12" s="1357"/>
      <c r="AC12" s="1356"/>
      <c r="AD12" s="1356"/>
      <c r="AE12" s="1262"/>
    </row>
    <row r="13" spans="1:31" ht="31.5" customHeight="1">
      <c r="A13" s="570"/>
      <c r="B13" s="700" t="s">
        <v>740</v>
      </c>
      <c r="C13" s="1736" t="s">
        <v>257</v>
      </c>
      <c r="D13" s="1737"/>
      <c r="E13" s="701" t="s">
        <v>740</v>
      </c>
      <c r="F13" s="1736" t="s">
        <v>257</v>
      </c>
      <c r="G13" s="1737"/>
      <c r="H13" s="702" t="s">
        <v>740</v>
      </c>
      <c r="I13" s="1736" t="s">
        <v>257</v>
      </c>
      <c r="J13" s="1792"/>
      <c r="K13" s="701" t="s">
        <v>740</v>
      </c>
      <c r="L13" s="1736" t="s">
        <v>257</v>
      </c>
      <c r="M13" s="1737"/>
      <c r="N13" s="701" t="s">
        <v>740</v>
      </c>
      <c r="O13" s="701" t="s">
        <v>257</v>
      </c>
      <c r="P13" s="1531" t="s">
        <v>948</v>
      </c>
      <c r="Q13" s="1743"/>
      <c r="R13" s="1351"/>
      <c r="S13" s="1351"/>
      <c r="T13" s="1361"/>
      <c r="U13" s="1361"/>
      <c r="V13" s="1351"/>
      <c r="W13" s="1361"/>
      <c r="X13" s="1361"/>
      <c r="Y13" s="1351"/>
      <c r="Z13" s="1361"/>
      <c r="AA13" s="1361"/>
      <c r="AB13" s="1351"/>
      <c r="AC13" s="1361"/>
      <c r="AD13" s="1361"/>
      <c r="AE13" s="1262"/>
    </row>
    <row r="14" spans="1:31">
      <c r="A14" s="584" t="s">
        <v>464</v>
      </c>
      <c r="B14" s="866">
        <f>PartitioningResources!K6*PartitioningPerCal!C11/'USA Cal-Protein Intake'!F25</f>
        <v>146.55883328751625</v>
      </c>
      <c r="C14" s="1738">
        <f>B14*SQRT(PartitioningResources!L6^2/PartitioningResources!K6^2+'USA Cal-Protein Intake'!F26^2/'USA Cal-Protein Intake'!F25^2)</f>
        <v>15.44444334848624</v>
      </c>
      <c r="D14" s="1739"/>
      <c r="E14" s="867">
        <f>1000*PartitioningResources!U6/'USA Cal-Protein Intake'!F25</f>
        <v>1642.1800751156688</v>
      </c>
      <c r="F14" s="1738">
        <f>E14*SQRT(PartitioningResources!V6^2/PartitioningResources!U6^2+'USA Cal-Protein Intake'!F$26^2/'USA Cal-Protein Intake'!F$25^2)</f>
        <v>260.53158785270449</v>
      </c>
      <c r="G14" s="1739"/>
      <c r="H14" s="867">
        <f>'GHG Animals'!E63</f>
        <v>9.5953973747520376</v>
      </c>
      <c r="I14" s="1738">
        <f>'GHG Animals'!F63</f>
        <v>1.8551842530913583</v>
      </c>
      <c r="J14" s="1793"/>
      <c r="K14" s="867">
        <f>F11*PartitioningResources!AE6/'USA Cal-Protein Intake'!F25</f>
        <v>175.83368025568458</v>
      </c>
      <c r="L14" s="1738">
        <f>K14*SQRT(PartitioningResources!AF6^2/PartitioningResources!AE6^2+'USA Cal-Protein Intake'!F$26^2/'USA Cal-Protein Intake'!F$25^2)</f>
        <v>25.958864174877451</v>
      </c>
      <c r="M14" s="1739"/>
      <c r="N14" s="1622">
        <f>((PartitioningResources!AO6)/'USA Cal-Protein Intake'!F25)</f>
        <v>36.211645676769962</v>
      </c>
      <c r="O14" s="1625">
        <f>N14*SQRT(PartitioningResources!AP6^2/PartitioningResources!AO6^2+'USA Cal-Protein Intake'!F$26^2/'USA Cal-Protein Intake'!F$25^2)</f>
        <v>6.9834849578753335</v>
      </c>
      <c r="P14" s="1629">
        <f>1/(AVERAGE(0.04,0.05))</f>
        <v>22.222222222222221</v>
      </c>
      <c r="Q14" s="1172">
        <f>N14/N$14</f>
        <v>1</v>
      </c>
      <c r="R14" s="1358"/>
      <c r="S14" s="1359"/>
      <c r="T14" s="1362"/>
      <c r="U14" s="1362"/>
      <c r="V14" s="1358"/>
      <c r="W14" s="1362"/>
      <c r="X14" s="1362"/>
      <c r="Y14" s="1358"/>
      <c r="Z14" s="1362"/>
      <c r="AA14" s="1362"/>
      <c r="AB14" s="1358"/>
      <c r="AC14" s="1362"/>
      <c r="AD14" s="1362"/>
      <c r="AE14" s="1262"/>
    </row>
    <row r="15" spans="1:31">
      <c r="A15" s="582" t="s">
        <v>110</v>
      </c>
      <c r="B15" s="868">
        <f>C11*PartitioningResources!K7/'USA Cal-Protein Intake'!H25</f>
        <v>4.0906956913094854</v>
      </c>
      <c r="C15" s="1740">
        <f>B15*SQRT(PartitioningResources!L7^2/PartitioningResources!K7^2+'USA Cal-Protein Intake'!H26^2/'USA Cal-Protein Intake'!H25^2)</f>
        <v>1.1373339454710507</v>
      </c>
      <c r="D15" s="1741"/>
      <c r="E15" s="869">
        <f>1000*PartitioningResources!U7/'USA Cal-Protein Intake'!H25</f>
        <v>144.99142567667516</v>
      </c>
      <c r="F15" s="1740">
        <f>E15*SQRT(PartitioningResources!V7^2/PartitioningResources!U7^2+'USA Cal-Protein Intake'!H$26^2/'USA Cal-Protein Intake'!H$25^2)</f>
        <v>43.872393621411632</v>
      </c>
      <c r="G15" s="1741"/>
      <c r="H15" s="869">
        <f>'GHG Animals'!E64</f>
        <v>1.7061262240481838</v>
      </c>
      <c r="I15" s="1740">
        <f>'GHG Animals'!F64</f>
        <v>0.17061262240481839</v>
      </c>
      <c r="J15" s="1781"/>
      <c r="K15" s="869">
        <f>F11*PartitioningResources!AE7/'USA Cal-Protein Intake'!H25</f>
        <v>33.330781758950884</v>
      </c>
      <c r="L15" s="1740">
        <f>K15*SQRT(PartitioningResources!AF7^2/PartitioningResources!AE7^2+'USA Cal-Protein Intake'!H$26^2/'USA Cal-Protein Intake'!H$25^2)</f>
        <v>10.438036028204158</v>
      </c>
      <c r="M15" s="1741"/>
      <c r="N15" s="1623">
        <f>(PartitioningResources!AO7)/'USA Cal-Protein Intake'!H25</f>
        <v>8.780092805984518</v>
      </c>
      <c r="O15" s="1626">
        <f>N15*SQRT(PartitioningResources!AP7^2/PartitioningResources!AO7^2+'USA Cal-Protein Intake'!H$26^2/'USA Cal-Protein Intake'!H$25^2)</f>
        <v>2.4052132235757422</v>
      </c>
      <c r="P15" s="1628">
        <f>1/(AVERAGE(0.1,0.15))</f>
        <v>8</v>
      </c>
      <c r="Q15" s="1172">
        <f>N14/N15</f>
        <v>4.1242896261971262</v>
      </c>
      <c r="R15" s="1358"/>
      <c r="S15" s="1358"/>
      <c r="T15" s="1362"/>
      <c r="U15" s="1362"/>
      <c r="V15" s="1358"/>
      <c r="W15" s="1362"/>
      <c r="X15" s="1362"/>
      <c r="Y15" s="1358"/>
      <c r="Z15" s="1362"/>
      <c r="AA15" s="1362"/>
      <c r="AB15" s="1358"/>
      <c r="AC15" s="1362"/>
      <c r="AD15" s="1362"/>
      <c r="AE15" s="1262"/>
    </row>
    <row r="16" spans="1:31">
      <c r="A16" s="582" t="s">
        <v>222</v>
      </c>
      <c r="B16" s="868">
        <f>C11*PartitioningResources!K8/'USA Cal-Protein Intake'!J25</f>
        <v>5.262800800256989</v>
      </c>
      <c r="C16" s="1740">
        <f>B16*SQRT(PartitioningResources!L8^2/PartitioningResources!K8^2+'USA Cal-Protein Intake'!J26^2/'USA Cal-Protein Intake'!J25^2)</f>
        <v>2.3924152198461139</v>
      </c>
      <c r="D16" s="1741"/>
      <c r="E16" s="869">
        <f>1000*PartitioningResources!U8/'USA Cal-Protein Intake'!J25</f>
        <v>186.53575055771063</v>
      </c>
      <c r="F16" s="1740">
        <f>E16*SQRT(PartitioningResources!V8^2/PartitioningResources!U8^2+'USA Cal-Protein Intake'!J$26^2/'USA Cal-Protein Intake'!J$25^2)</f>
        <v>87.673748458283768</v>
      </c>
      <c r="G16" s="1741"/>
      <c r="H16" s="869">
        <f>'GHG Animals'!E65</f>
        <v>2.0330193867587281</v>
      </c>
      <c r="I16" s="1740">
        <f>'GHG Animals'!F65</f>
        <v>0.20330193867587282</v>
      </c>
      <c r="J16" s="1781"/>
      <c r="K16" s="869">
        <f>F11*PartitioningResources!AE8/'USA Cal-Protein Intake'!J25</f>
        <v>42.881034951305722</v>
      </c>
      <c r="L16" s="1740">
        <f>K16*SQRT(PartitioningResources!AF8^2/PartitioningResources!AE8^2+'USA Cal-Protein Intake'!J$26^2/'USA Cal-Protein Intake'!J$25^2)</f>
        <v>20.449524179294457</v>
      </c>
      <c r="M16" s="1741"/>
      <c r="N16" s="1623">
        <f>((PartitioningResources!AO8)/'USA Cal-Protein Intake'!J25)</f>
        <v>11.295848660616015</v>
      </c>
      <c r="O16" s="1626">
        <f>N16*SQRT(PartitioningResources!AP8^2/PartitioningResources!AO8^2+'USA Cal-Protein Intake'!J$26^2/'USA Cal-Protein Intake'!J$25^2)</f>
        <v>5.1068509146179988</v>
      </c>
      <c r="P16" s="1629">
        <f>1/AVERAGE(0.15,0.2)</f>
        <v>5.7142857142857144</v>
      </c>
      <c r="Q16" s="1172">
        <f>N14/N16</f>
        <v>3.2057481261257599</v>
      </c>
      <c r="R16" s="1358"/>
      <c r="S16" s="1358"/>
      <c r="T16" s="1362"/>
      <c r="U16" s="1362"/>
      <c r="V16" s="1358"/>
      <c r="W16" s="1362"/>
      <c r="X16" s="1362"/>
      <c r="Y16" s="1358"/>
      <c r="Z16" s="1362"/>
      <c r="AA16" s="1362"/>
      <c r="AB16" s="1358"/>
      <c r="AC16" s="1362"/>
      <c r="AD16" s="1362"/>
      <c r="AE16" s="1262"/>
    </row>
    <row r="17" spans="1:31">
      <c r="A17" s="582" t="s">
        <v>223</v>
      </c>
      <c r="B17" s="868">
        <f>C11*(PartitioningResources!K9)/'USA Cal-Protein Intake'!L25</f>
        <v>2.9580002132482144</v>
      </c>
      <c r="C17" s="1740">
        <f>B17*SQRT((PartitioningResources!L9^2/PartitioningResources!K9^2+'USA Cal-Protein Intake'!L26^2/'USA Cal-Protein Intake'!L25^2))</f>
        <v>1.4231596044420132</v>
      </c>
      <c r="D17" s="1741"/>
      <c r="E17" s="869">
        <f>1000*(PartitioningResources!U9)/'USA Cal-Protein Intake'!L25</f>
        <v>104.84394353310502</v>
      </c>
      <c r="F17" s="1740">
        <f>E17*SQRT((PartitioningResources!V9^2/PartitioningResources!U9^2+'USA Cal-Protein Intake'!L$26^2/'USA Cal-Protein Intake'!L$25^2))</f>
        <v>51.97305378985876</v>
      </c>
      <c r="G17" s="1741"/>
      <c r="H17" s="869">
        <f>'GHG Animals'!E66</f>
        <v>1.4545454545454546</v>
      </c>
      <c r="I17" s="1740">
        <f>'GHG Animals'!F66</f>
        <v>0.14545454545454548</v>
      </c>
      <c r="J17" s="1781"/>
      <c r="K17" s="869">
        <f>F11*(PartitioningResources!AE9)/'USA Cal-Protein Intake'!L25</f>
        <v>24.101636247389902</v>
      </c>
      <c r="L17" s="1740">
        <f>K17*SQRT((PartitioningResources!AF9^2/PartitioningResources!AE9^2+'USA Cal-Protein Intake'!L$26^2/'USA Cal-Protein Intake'!L$25^2))</f>
        <v>12.104938481765718</v>
      </c>
      <c r="M17" s="1741"/>
      <c r="N17" s="1623">
        <f>((PartitioningResources!AO9)/'USA Cal-Protein Intake'!L25)</f>
        <v>6.3489240834063327</v>
      </c>
      <c r="O17" s="1626">
        <f>N17*SQRT((PartitioningResources!AP9^2/PartitioningResources!AO9^2+'USA Cal-Protein Intake'!L$26^2/'USA Cal-Protein Intake'!L$25^2))</f>
        <v>3.03967618248778</v>
      </c>
      <c r="P17" s="1629">
        <f>1/AVERAGE(0.15,0.2)</f>
        <v>5.7142857142857144</v>
      </c>
      <c r="Q17" s="1172">
        <f>N14/N17</f>
        <v>5.7035877577136889</v>
      </c>
      <c r="R17" s="1358"/>
      <c r="S17" s="1358"/>
      <c r="T17" s="1362"/>
      <c r="U17" s="1362"/>
      <c r="V17" s="1358"/>
      <c r="W17" s="1362"/>
      <c r="X17" s="1362"/>
      <c r="Y17" s="1358"/>
      <c r="Z17" s="1362"/>
      <c r="AA17" s="1362"/>
      <c r="AB17" s="1358"/>
      <c r="AC17" s="1362"/>
      <c r="AD17" s="1362"/>
      <c r="AE17" s="1262"/>
    </row>
    <row r="18" spans="1:31" ht="16" thickBot="1">
      <c r="A18" s="583" t="s">
        <v>465</v>
      </c>
      <c r="B18" s="868">
        <f>C11*(PartitioningResources!K10)/'USA Cal-Protein Intake'!N25</f>
        <v>8.712182793222496</v>
      </c>
      <c r="C18" s="1782">
        <f>B18*SQRT((PartitioningResources!L10^2/PartitioningResources!K10^2+'USA Cal-Protein Intake'!N26^2/'USA Cal-Protein Intake'!N25^2))</f>
        <v>3.4650046159100789</v>
      </c>
      <c r="D18" s="1783"/>
      <c r="E18" s="870">
        <f>1000*(PartitioningResources!U10)/'USA Cal-Protein Intake'!N25</f>
        <v>170.82969661886804</v>
      </c>
      <c r="F18" s="1782">
        <f>E18*SQRT((PartitioningResources!V10^2/PartitioningResources!U10^2+'USA Cal-Protein Intake'!N$26^2/'USA Cal-Protein Intake'!N$25^2))</f>
        <v>41.094820007345831</v>
      </c>
      <c r="G18" s="1783"/>
      <c r="H18" s="869">
        <f>'GHG Animals'!E67</f>
        <v>1.8524590163934427</v>
      </c>
      <c r="I18" s="1740">
        <f>'GHG Animals'!F67</f>
        <v>0.18524590163934429</v>
      </c>
      <c r="J18" s="1781"/>
      <c r="K18" s="869">
        <f>F11*(PartitioningResources!AE10)/'USA Cal-Protein Intake'!N25</f>
        <v>25.623570526639732</v>
      </c>
      <c r="L18" s="1782">
        <f>K18*SQRT((PartitioningResources!AF10^2/PartitioningResources!AE10^2+'USA Cal-Protein Intake'!N$26^2/'USA Cal-Protein Intake'!N$25^2))</f>
        <v>6.2499817472313106</v>
      </c>
      <c r="M18" s="1783"/>
      <c r="N18" s="1624">
        <f>((PartitioningResources!AO10)/'USA Cal-Protein Intake'!N25)</f>
        <v>5.85791604330133</v>
      </c>
      <c r="O18" s="1627">
        <f>N18*SQRT((PartitioningResources!AP10^2/PartitioningResources!AO10^2+'USA Cal-Protein Intake'!N$26^2/'USA Cal-Protein Intake'!N$25^2))</f>
        <v>1.3988763467035337</v>
      </c>
      <c r="P18" s="1630">
        <f>1/AVERAGE(0.2,0.25)</f>
        <v>4.4444444444444446</v>
      </c>
      <c r="Q18" s="1173">
        <f>N14/N18</f>
        <v>6.1816600663266357</v>
      </c>
      <c r="R18" s="1358"/>
      <c r="S18" s="1358"/>
      <c r="T18" s="1362"/>
      <c r="U18" s="1362"/>
      <c r="V18" s="1358"/>
      <c r="W18" s="1362"/>
      <c r="X18" s="1362"/>
      <c r="Y18" s="1358"/>
      <c r="Z18" s="1362"/>
      <c r="AA18" s="1362"/>
      <c r="AB18" s="1358"/>
      <c r="AC18" s="1362"/>
      <c r="AD18" s="1362"/>
      <c r="AE18" s="1262"/>
    </row>
    <row r="19" spans="1:31" s="288" customFormat="1" ht="31.5" customHeight="1">
      <c r="A19" s="605"/>
      <c r="B19" s="1720" t="s">
        <v>616</v>
      </c>
      <c r="C19" s="1721"/>
      <c r="D19" s="1722"/>
      <c r="E19" s="1728" t="s">
        <v>628</v>
      </c>
      <c r="F19" s="1728"/>
      <c r="G19" s="1729"/>
      <c r="H19" s="1733" t="s">
        <v>676</v>
      </c>
      <c r="I19" s="1734"/>
      <c r="J19" s="1735"/>
      <c r="K19" s="1796" t="s">
        <v>627</v>
      </c>
      <c r="L19" s="1797"/>
      <c r="M19" s="1798"/>
      <c r="N19" s="1485" t="s">
        <v>897</v>
      </c>
      <c r="O19" s="1485" t="s">
        <v>898</v>
      </c>
      <c r="P19" s="1485" t="s">
        <v>899</v>
      </c>
      <c r="Q19" s="1554"/>
      <c r="R19" s="571"/>
      <c r="S19" s="938"/>
      <c r="T19" s="938"/>
      <c r="Y19" s="572"/>
      <c r="Z19" s="568"/>
    </row>
    <row r="20" spans="1:31">
      <c r="A20" s="584" t="s">
        <v>464</v>
      </c>
      <c r="B20" s="872">
        <f>B14*'USA Cal-Protein Intake'!$F$25</f>
        <v>3116816.1142264898</v>
      </c>
      <c r="C20" s="1143">
        <f>B20/B25</f>
        <v>0.87630906875395764</v>
      </c>
      <c r="D20" s="421"/>
      <c r="E20" s="880">
        <f>E14*'USA Cal-Protein Intake'!$F$25/1000</f>
        <v>34923.676763590629</v>
      </c>
      <c r="F20" s="177"/>
      <c r="G20" s="421"/>
      <c r="H20" s="872">
        <f>H14*'USA Cal-Protein Intake'!$F$25</f>
        <v>204062.00355977565</v>
      </c>
      <c r="I20" s="177"/>
      <c r="J20" s="1239"/>
      <c r="K20" s="872">
        <f>K14*'USA Cal-Protein Intake'!$F$25/1000</f>
        <v>3739.3941787836784</v>
      </c>
      <c r="L20" s="177"/>
      <c r="M20" s="177"/>
      <c r="N20" s="1516">
        <f>1/(PartitioningResources!AG6*PartitioningResources!B21/'USA Cal-Protein Intake'!F25)</f>
        <v>0.12845551849801012</v>
      </c>
      <c r="O20" s="1516">
        <f>1/(PartitioningResources!AI6*PartitioningResources!B21/'USA Cal-Protein Intake'!F25)</f>
        <v>6.2831160980057921E-2</v>
      </c>
      <c r="P20" s="1517"/>
      <c r="Q20" s="1554"/>
      <c r="R20" s="391"/>
      <c r="S20" s="479"/>
      <c r="W20" s="566"/>
      <c r="AC20" s="568"/>
    </row>
    <row r="21" spans="1:31" s="288" customFormat="1">
      <c r="A21" s="582" t="s">
        <v>110</v>
      </c>
      <c r="B21" s="872">
        <f>B15*'USA Cal-Protein Intake'!$H$25</f>
        <v>69987.866583097901</v>
      </c>
      <c r="C21" s="708"/>
      <c r="D21" s="791"/>
      <c r="E21" s="880">
        <f>E15*'USA Cal-Protein Intake'!$H$25/1000</f>
        <v>2480.6637603257905</v>
      </c>
      <c r="F21" s="860"/>
      <c r="G21" s="791"/>
      <c r="H21" s="872">
        <f>H15*'USA Cal-Protein Intake'!$H$25</f>
        <v>29190.177796966553</v>
      </c>
      <c r="I21" s="860"/>
      <c r="J21" s="791"/>
      <c r="K21" s="872">
        <f>K15*'USA Cal-Protein Intake'!$H$25/1000</f>
        <v>570.25759990205086</v>
      </c>
      <c r="L21" s="629"/>
      <c r="M21" s="859"/>
      <c r="N21" s="790">
        <f>1/(PartitioningResources!AG7*PartitioningResources!B22/'USA Cal-Protein Intake'!H25)</f>
        <v>0.11389401252323884</v>
      </c>
      <c r="O21" s="790"/>
      <c r="P21" s="1518"/>
      <c r="Q21" s="1554"/>
      <c r="R21" s="391"/>
      <c r="S21" s="479"/>
      <c r="W21" s="916"/>
      <c r="X21" s="915"/>
      <c r="Y21"/>
      <c r="Z21"/>
      <c r="AA21"/>
      <c r="AB21"/>
    </row>
    <row r="22" spans="1:31" s="288" customFormat="1">
      <c r="A22" s="582" t="s">
        <v>222</v>
      </c>
      <c r="B22" s="872">
        <f>B16*'USA Cal-Protein Intake'!$J$25</f>
        <v>65251.637286141267</v>
      </c>
      <c r="C22" s="708"/>
      <c r="D22" s="791"/>
      <c r="E22" s="880">
        <f>E16*'USA Cal-Protein Intake'!$J$25/1000</f>
        <v>2312.7919140879312</v>
      </c>
      <c r="F22" s="860"/>
      <c r="G22" s="791"/>
      <c r="H22" s="872">
        <f>H16*'USA Cal-Protein Intake'!$J$25</f>
        <v>25206.700510875507</v>
      </c>
      <c r="I22" s="860"/>
      <c r="J22" s="791"/>
      <c r="K22" s="872">
        <f>K16*'USA Cal-Protein Intake'!$J$25/1000</f>
        <v>531.66704294798978</v>
      </c>
      <c r="L22" s="629"/>
      <c r="M22" s="859"/>
      <c r="N22" s="790">
        <f>1/(PartitioningResources!AG8*PartitioningResources!B23/'USA Cal-Protein Intake'!J25)</f>
        <v>8.8528098246091882E-2</v>
      </c>
      <c r="O22" s="790"/>
      <c r="P22" s="1518"/>
      <c r="Q22" s="1554"/>
      <c r="R22" s="391"/>
      <c r="S22" s="479"/>
      <c r="W22" s="917"/>
      <c r="X22" s="915"/>
      <c r="Y22"/>
      <c r="Z22"/>
      <c r="AA22"/>
      <c r="AB22"/>
    </row>
    <row r="23" spans="1:31" s="288" customFormat="1">
      <c r="A23" s="582" t="s">
        <v>223</v>
      </c>
      <c r="B23" s="872">
        <f>B17*'USA Cal-Protein Intake'!$L$25</f>
        <v>11115.82860338359</v>
      </c>
      <c r="C23" s="708"/>
      <c r="D23" s="791"/>
      <c r="E23" s="880">
        <f>E17*'USA Cal-Protein Intake'!$L$25/1000</f>
        <v>393.99162352901033</v>
      </c>
      <c r="F23" s="860"/>
      <c r="G23" s="791"/>
      <c r="H23" s="872">
        <f>H17*'USA Cal-Protein Intake'!$L$25</f>
        <v>5466.0164986273467</v>
      </c>
      <c r="I23" s="860"/>
      <c r="J23" s="791"/>
      <c r="K23" s="872">
        <f>K17*'USA Cal-Protein Intake'!$L$25/1000</f>
        <v>90.571209693351818</v>
      </c>
      <c r="L23" s="629"/>
      <c r="M23" s="859"/>
      <c r="N23" s="790">
        <f>1/((PartitioningResources!AG9*PartitioningResources!B24)/'USA Cal-Protein Intake'!L25)</f>
        <v>0.15750700226730049</v>
      </c>
      <c r="O23" s="790"/>
      <c r="P23" s="1518"/>
      <c r="Q23" s="1554"/>
      <c r="W23" s="917"/>
      <c r="X23" s="915"/>
      <c r="Y23"/>
      <c r="Z23"/>
      <c r="AA23"/>
      <c r="AB23"/>
    </row>
    <row r="24" spans="1:31" s="288" customFormat="1" ht="16" thickBot="1">
      <c r="A24" s="583" t="s">
        <v>465</v>
      </c>
      <c r="B24" s="872">
        <f>B18*'USA Cal-Protein Intake'!$N$25</f>
        <v>293582.92839637352</v>
      </c>
      <c r="C24" s="708"/>
      <c r="D24" s="791"/>
      <c r="E24" s="880">
        <f>E18*'USA Cal-Protein Intake'!$N$25/1000</f>
        <v>5756.6150505297974</v>
      </c>
      <c r="F24" s="860"/>
      <c r="G24" s="791"/>
      <c r="H24" s="873">
        <f>H18*'USA Cal-Protein Intake'!$N$25</f>
        <v>62424.119841715481</v>
      </c>
      <c r="I24" s="1514"/>
      <c r="J24" s="1553"/>
      <c r="K24" s="873">
        <f>K18*'USA Cal-Protein Intake'!$N$25/1000</f>
        <v>863.4624697078234</v>
      </c>
      <c r="L24" s="874"/>
      <c r="M24" s="1171"/>
      <c r="N24" s="1519">
        <f>1/((PartitioningResources!AG10*PartitioningResources!B25)/'USA Cal-Protein Intake'!N25)</f>
        <v>0.24288206025995779</v>
      </c>
      <c r="O24" s="1519">
        <f>1/((PartitioningResources!AI10*PartitioningResources!B25)/'USA Cal-Protein Intake'!N25)</f>
        <v>0.85091876031534697</v>
      </c>
      <c r="P24" s="1520"/>
      <c r="Q24" s="1554"/>
      <c r="W24" s="917"/>
      <c r="X24" s="915"/>
      <c r="Y24"/>
      <c r="Z24"/>
      <c r="AA24"/>
      <c r="AB24"/>
    </row>
    <row r="25" spans="1:31" s="288" customFormat="1" ht="16" thickBot="1">
      <c r="A25" s="875" t="s">
        <v>615</v>
      </c>
      <c r="B25" s="1025">
        <f>SUM(B20:B24)</f>
        <v>3556754.3750954857</v>
      </c>
      <c r="C25" s="1026"/>
      <c r="D25" s="1027"/>
      <c r="E25" s="881">
        <f>SUM(E20:E24)</f>
        <v>45867.739112063158</v>
      </c>
      <c r="F25" s="879"/>
      <c r="G25" s="877"/>
      <c r="H25" s="878">
        <f>SUM(H20:H24)</f>
        <v>326349.01820796053</v>
      </c>
      <c r="I25" s="888"/>
      <c r="J25" s="889"/>
      <c r="K25" s="878">
        <f>SUM(K20:K24)</f>
        <v>5795.3525010348949</v>
      </c>
      <c r="L25" s="876"/>
      <c r="M25" s="877"/>
      <c r="N25" s="1513"/>
      <c r="O25" s="1514"/>
      <c r="P25" s="1515"/>
      <c r="W25" s="917"/>
      <c r="X25" s="918"/>
      <c r="Y25" s="871"/>
      <c r="Z25" s="871"/>
      <c r="AA25" s="871"/>
      <c r="AB25" s="871"/>
      <c r="AC25" s="871"/>
    </row>
    <row r="26" spans="1:31" ht="16" thickBot="1">
      <c r="A26" s="605"/>
      <c r="B26" s="580"/>
      <c r="C26" s="629">
        <f>B29/H29*C20*100</f>
        <v>2.1686556974429254</v>
      </c>
      <c r="D26" s="580"/>
      <c r="E26" s="629">
        <f>D29/H29*C20*100</f>
        <v>6.9642850863449111</v>
      </c>
      <c r="F26" s="580"/>
      <c r="G26" s="629">
        <f>F29/H29*C20*100</f>
        <v>78.497966091607935</v>
      </c>
      <c r="H26" s="580"/>
      <c r="I26" s="572"/>
      <c r="J26" s="580"/>
      <c r="K26" s="566"/>
      <c r="L26" s="862"/>
      <c r="M26" s="859"/>
      <c r="N26" s="861"/>
      <c r="O26" s="572"/>
      <c r="P26" s="571"/>
      <c r="Q26" s="566"/>
      <c r="R26" s="566"/>
      <c r="W26" s="915"/>
      <c r="X26" s="915"/>
    </row>
    <row r="27" spans="1:31" ht="14" customHeight="1" thickBot="1">
      <c r="A27" s="1028"/>
      <c r="B27" s="1784" t="s">
        <v>521</v>
      </c>
      <c r="C27" s="1785"/>
      <c r="D27" s="1784" t="s">
        <v>220</v>
      </c>
      <c r="E27" s="1785"/>
      <c r="F27" s="1784" t="s">
        <v>494</v>
      </c>
      <c r="G27" s="1785"/>
      <c r="H27" s="1029" t="s">
        <v>586</v>
      </c>
      <c r="I27" s="854"/>
      <c r="J27" s="855"/>
      <c r="K27" s="573"/>
      <c r="Q27" s="566"/>
      <c r="R27" s="566"/>
      <c r="W27" s="915"/>
      <c r="X27" s="915"/>
    </row>
    <row r="28" spans="1:31" ht="24" customHeight="1" thickBot="1">
      <c r="A28" s="858"/>
      <c r="B28" s="882" t="s">
        <v>740</v>
      </c>
      <c r="C28" s="883" t="s">
        <v>257</v>
      </c>
      <c r="D28" s="882" t="s">
        <v>740</v>
      </c>
      <c r="E28" s="883" t="s">
        <v>257</v>
      </c>
      <c r="F28" s="882" t="s">
        <v>740</v>
      </c>
      <c r="G28" s="883" t="s">
        <v>257</v>
      </c>
      <c r="H28" s="1030"/>
      <c r="I28" s="856"/>
      <c r="J28" s="857"/>
      <c r="K28" s="566"/>
      <c r="O28" s="1231" t="s">
        <v>521</v>
      </c>
      <c r="P28" s="1232" t="s">
        <v>220</v>
      </c>
      <c r="Q28" s="566"/>
      <c r="R28" s="566"/>
      <c r="S28" s="628"/>
      <c r="T28" s="628"/>
    </row>
    <row r="29" spans="1:31" ht="18">
      <c r="A29" s="1031" t="s">
        <v>464</v>
      </c>
      <c r="B29" s="1032">
        <f>PartitioningResources!C6*PartitioningResources!B21*PartitioningPerCal!C11/'USA Cal-Protein Intake'!F25</f>
        <v>3.6269811662624605</v>
      </c>
      <c r="C29" s="884">
        <f>B29*SQRT(PartitioningResources!D6^2/PartitioningResources!C6^2+'USA Cal-Protein Intake'!F26^2/'USA Cal-Protein Intake'!F25^2)</f>
        <v>1.986292957748008</v>
      </c>
      <c r="D29" s="1032">
        <f>PartitioningResources!E6*PartitioningResources!B21*PartitioningPerCal!C11/'USA Cal-Protein Intake'!F25</f>
        <v>11.647460163657582</v>
      </c>
      <c r="E29" s="884">
        <f>D29*SQRT(PartitioningResources!F6^2/PartitioningResources!E6^2+'USA Cal-Protein Intake'!F26^2/'USA Cal-Protein Intake'!F25^2)</f>
        <v>1.7337205559802926</v>
      </c>
      <c r="F29" s="1032">
        <f>PartitioningResources!G6*PartitioningResources!B21*PartitioningPerCal!C11/'USA Cal-Protein Intake'!F25</f>
        <v>131.28439195759623</v>
      </c>
      <c r="G29" s="884">
        <f>F29*SQRT(PartitioningResources!H6^2/PartitioningResources!G6^2+'USA Cal-Protein Intake'!F26^2/'USA Cal-Protein Intake'!F25^2)</f>
        <v>14.636956441820923</v>
      </c>
      <c r="H29" s="1033">
        <f>F29+D29+B29</f>
        <v>146.55883328751625</v>
      </c>
      <c r="I29" s="1772" t="s">
        <v>402</v>
      </c>
      <c r="J29" s="1773"/>
      <c r="K29" s="908"/>
      <c r="L29" s="1716" t="s">
        <v>751</v>
      </c>
      <c r="M29" s="1717"/>
      <c r="N29" s="1717"/>
      <c r="O29" s="1039">
        <f>B29*'USA Cal-Protein Intake'!$F$25</f>
        <v>77133.75639955877</v>
      </c>
      <c r="P29" s="1040">
        <f>D29*'USA Cal-Protein Intake'!$F$25</f>
        <v>247702.51450269503</v>
      </c>
      <c r="Q29" s="566"/>
      <c r="R29" s="566"/>
      <c r="S29" s="1296"/>
      <c r="T29" s="1296"/>
    </row>
    <row r="30" spans="1:31" ht="21.75" customHeight="1">
      <c r="A30" s="1031" t="s">
        <v>465</v>
      </c>
      <c r="B30" s="1385">
        <f>PartitioningResources!C10*PartitioningResources!B25*PartitioningPerCal!C11/'USA Cal-Protein Intake'!N25</f>
        <v>1.9182386125846462</v>
      </c>
      <c r="C30" s="1386">
        <f>B30*SQRT((PartitioningResources!D10^2/PartitioningResources!C10^2+'USA Cal-Protein Intake'!N27^2/'USA Cal-Protein Intake'!N26^2))</f>
        <v>0.59436413122120224</v>
      </c>
      <c r="D30" s="1385">
        <f>(PartitioningResources!E10*PartitioningResources!B25)*PartitioningPerCal!C11/'USA Cal-Protein Intake'!N25</f>
        <v>0.86003914672226833</v>
      </c>
      <c r="E30" s="1386">
        <f>D30*SQRT((PartitioningResources!F10^2/PartitioningResources!E10^2+'USA Cal-Protein Intake'!N27^2/'USA Cal-Protein Intake'!N26^2))</f>
        <v>0.29966730368108568</v>
      </c>
      <c r="F30" s="1385">
        <f>(PartitioningResources!G10*PartitioningResources!B25*PartitioningPerCal!C11/'USA Cal-Protein Intake'!N25)</f>
        <v>5.9339050339155817</v>
      </c>
      <c r="G30" s="1386">
        <f>F30*SQRT((PartitioningResources!H10^2/PartitioningResources!G10^2+'USA Cal-Protein Intake'!N27^2/'USA Cal-Protein Intake'!N26^2))</f>
        <v>3.3875892774287197</v>
      </c>
      <c r="H30" s="1387">
        <f t="shared" ref="H30:H36" si="0">SUM(F30+D30+B30)</f>
        <v>8.712182793222496</v>
      </c>
      <c r="I30" s="1774"/>
      <c r="J30" s="1775"/>
      <c r="K30" s="908"/>
      <c r="L30" s="1718" t="s">
        <v>677</v>
      </c>
      <c r="M30" s="1719"/>
      <c r="N30" s="1719"/>
      <c r="O30" s="1023">
        <f>B30*'USA Cal-Protein Intake'!$N$25</f>
        <v>64640.759108463622</v>
      </c>
      <c r="P30" s="1041">
        <f>D30*'USA Cal-Protein Intake'!$N$25</f>
        <v>28981.578695371805</v>
      </c>
      <c r="Q30" s="566"/>
      <c r="R30" s="566"/>
      <c r="S30" s="574"/>
      <c r="T30" s="574"/>
    </row>
    <row r="31" spans="1:31" ht="18">
      <c r="A31" s="1031" t="s">
        <v>464</v>
      </c>
      <c r="B31" s="1032">
        <f>1000*PartitioningResources!M6*PartitioningResources!B21/'USA Cal-Protein Intake'!F25</f>
        <v>128.55543650339405</v>
      </c>
      <c r="C31" s="884">
        <f>B31*SQRT(PartitioningResources!N6^2/PartitioningResources!M6^2+'USA Cal-Protein Intake'!F26^2/'USA Cal-Protein Intake'!F25^2)</f>
        <v>72.056608955462153</v>
      </c>
      <c r="D31" s="1032">
        <f>1000*PartitioningResources!O6*PartitioningResources!B21/'USA Cal-Protein Intake'!F25</f>
        <v>1201.9815172183733</v>
      </c>
      <c r="E31" s="884">
        <f>D31*SQRT(PartitioningResources!P6^2/PartitioningResources!O6^2+'USA Cal-Protein Intake'!F26^2/'USA Cal-Protein Intake'!F25^2)</f>
        <v>231.82696886841276</v>
      </c>
      <c r="F31" s="1032">
        <f>1000*PartitioningResources!Q6*PartitioningResources!B21/'USA Cal-Protein Intake'!F25</f>
        <v>311.64312139390131</v>
      </c>
      <c r="G31" s="884">
        <f>F31*SQRT(PartitioningResources!R6^2/PartitioningResources!Q6^2+'USA Cal-Protein Intake'!F26^2/'USA Cal-Protein Intake'!F25^2)</f>
        <v>64.194036112785255</v>
      </c>
      <c r="H31" s="1033">
        <f t="shared" si="0"/>
        <v>1642.1800751156686</v>
      </c>
      <c r="I31" s="1776" t="s">
        <v>55</v>
      </c>
      <c r="J31" s="1777"/>
      <c r="K31" s="908"/>
      <c r="L31" s="1794" t="s">
        <v>683</v>
      </c>
      <c r="M31" s="1795"/>
      <c r="N31" s="1795"/>
      <c r="O31" s="1023">
        <f>B31*'USA Cal-Protein Intake'!$F$25/1000</f>
        <v>2733.944089737297</v>
      </c>
      <c r="P31" s="1041">
        <f>D31*'USA Cal-Protein Intake'!$F$25/1000</f>
        <v>25562.125992904872</v>
      </c>
      <c r="Q31" s="567"/>
      <c r="R31" s="567"/>
      <c r="S31" s="1296"/>
      <c r="T31" s="1296"/>
    </row>
    <row r="32" spans="1:31" ht="18">
      <c r="A32" s="1031" t="s">
        <v>465</v>
      </c>
      <c r="B32" s="885">
        <f>1000*(PartitioningResources!M10*PartitioningResources!B25)/'USA Cal-Protein Intake'!N25</f>
        <v>67.990428087224103</v>
      </c>
      <c r="C32" s="886">
        <f>B32*SQRT((PartitioningResources!N10^2/PartitioningResources!M10^2+'USA Cal-Protein Intake'!N27^2/'USA Cal-Protein Intake'!N26^2))</f>
        <v>22.576950441766709</v>
      </c>
      <c r="D32" s="885">
        <f>1000*(PartitioningResources!O10*PartitioningResources!B25)/'USA Cal-Protein Intake'!N25</f>
        <v>88.753354286622823</v>
      </c>
      <c r="E32" s="886">
        <f>D32*SQRT(PartitioningResources!P10^2/PartitioningResources!O10^2+'USA Cal-Protein Intake'!N27^2/'USA Cal-Protein Intake'!N26^2)</f>
        <v>32.784660648749174</v>
      </c>
      <c r="F32" s="885">
        <f>1000*(PartitioningResources!Q10*PartitioningResources!B25)/'USA Cal-Protein Intake'!N25</f>
        <v>14.085914245021083</v>
      </c>
      <c r="G32" s="886">
        <f>F32*SQRT((PartitioningResources!R10^2/PartitioningResources!Q10^2+'USA Cal-Protein Intake'!N27^2/'USA Cal-Protein Intake'!N26^2))</f>
        <v>8.4034252121997408</v>
      </c>
      <c r="H32" s="887">
        <f t="shared" si="0"/>
        <v>170.82969661886801</v>
      </c>
      <c r="I32" s="1778"/>
      <c r="J32" s="1779"/>
      <c r="K32" s="908"/>
      <c r="L32" s="1794" t="s">
        <v>682</v>
      </c>
      <c r="M32" s="1795"/>
      <c r="N32" s="1795"/>
      <c r="O32" s="1023">
        <f>B32*'USA Cal-Protein Intake'!$N$25/1000</f>
        <v>2291.1398273574459</v>
      </c>
      <c r="P32" s="1041">
        <f>D32*'USA Cal-Protein Intake'!$N$25/1000</f>
        <v>2990.8084202202203</v>
      </c>
      <c r="Q32" s="567"/>
      <c r="R32" s="567"/>
      <c r="S32" s="574"/>
      <c r="T32" s="574"/>
    </row>
    <row r="33" spans="1:26" ht="18">
      <c r="A33" s="1031" t="s">
        <v>464</v>
      </c>
      <c r="B33" s="1034">
        <f>PartitioningResources!W6*PartitioningResources!B21*PartitioningPerCal!F11/'USA Cal-Protein Intake'!F25</f>
        <v>29.552459243875145</v>
      </c>
      <c r="C33" s="884">
        <f>B33*SQRT(PartitioningResources!X6^2/PartitioningResources!W6^2+'USA Cal-Protein Intake'!F26^2/'USA Cal-Protein Intake'!F25^2)</f>
        <v>16.735290695837822</v>
      </c>
      <c r="D33" s="1032">
        <f>PartitioningResources!Y6*PartitioningResources!B21*PartitioningPerCal!F11/'USA Cal-Protein Intake'!F25</f>
        <v>118.08919598582098</v>
      </c>
      <c r="E33" s="884">
        <f>D33*SQRT(PartitioningResources!Z6^2/PartitioningResources!Y6^2+'USA Cal-Protein Intake'!F26^2/'USA Cal-Protein Intake'!F25^2)</f>
        <v>17.559506221907419</v>
      </c>
      <c r="F33" s="1032">
        <f>PartitioningResources!AA6*PartitioningResources!B21*PartitioningPerCal!F11/'USA Cal-Protein Intake'!F25</f>
        <v>28.192025025988467</v>
      </c>
      <c r="G33" s="884">
        <f>F33*SQRT(PartitioningResources!AB6^2/PartitioningResources!AA6^2+'USA Cal-Protein Intake'!F26^2/'USA Cal-Protein Intake'!F25^2)</f>
        <v>4.5448621292493421</v>
      </c>
      <c r="H33" s="1033">
        <f t="shared" si="0"/>
        <v>175.83368025568458</v>
      </c>
      <c r="I33" s="1761" t="s">
        <v>283</v>
      </c>
      <c r="J33" s="1762"/>
      <c r="K33" s="908"/>
      <c r="L33" s="1744" t="s">
        <v>684</v>
      </c>
      <c r="M33" s="1745"/>
      <c r="N33" s="1745"/>
      <c r="O33" s="1023">
        <f>B33*'USA Cal-Protein Intake'!$F$25/1000</f>
        <v>628.48194899063401</v>
      </c>
      <c r="P33" s="1041">
        <f>D33*'USA Cal-Protein Intake'!$F$25/1000</f>
        <v>2511.3621656812693</v>
      </c>
      <c r="Q33" s="567"/>
      <c r="R33" s="567"/>
      <c r="S33" s="567"/>
      <c r="T33" s="567"/>
      <c r="U33" s="567"/>
      <c r="V33" s="567"/>
      <c r="W33" s="567"/>
      <c r="X33" s="567"/>
      <c r="Y33" s="574"/>
    </row>
    <row r="34" spans="1:26" ht="19" thickBot="1">
      <c r="A34" s="1031" t="s">
        <v>465</v>
      </c>
      <c r="B34" s="885">
        <f>(PartitioningResources!W10*PartitioningResources!B25)*PartitioningPerCal!F11/'USA Cal-Protein Intake'!N25</f>
        <v>15.629711272212647</v>
      </c>
      <c r="C34" s="886">
        <f>B34*SQRT((PartitioningResources!X10^2/PartitioningResources!W10^2+'USA Cal-Protein Intake'!N27^2/'USA Cal-Protein Intake'!N26^2))</f>
        <v>5.3411164349893365</v>
      </c>
      <c r="D34" s="885">
        <f>(PartitioningResources!Y10*PartitioningResources!B25)*PartitioningPerCal!F11/'USA Cal-Protein Intake'!N25</f>
        <v>8.7196118231557413</v>
      </c>
      <c r="E34" s="886">
        <f>D34*SQRT((PartitioningResources!Z10^2/PartitioningResources!Y10^2+'USA Cal-Protein Intake'!N27^2/'USA Cal-Protein Intake'!N26^2))</f>
        <v>3.0376449884137307</v>
      </c>
      <c r="F34" s="885">
        <f>(PartitioningResources!AA10*PartitioningResources!B25)*PartitioningPerCal!F11/'USA Cal-Protein Intake'!N25</f>
        <v>1.2742474312713423</v>
      </c>
      <c r="G34" s="886">
        <f>F34*SQRT((PartitioningResources!AB10^2/PartitioningResources!AA10^2+'USA Cal-Protein Intake'!N27^2/'USA Cal-Protein Intake'!N26^2))</f>
        <v>0.74242909949086788</v>
      </c>
      <c r="H34" s="887">
        <f t="shared" si="0"/>
        <v>25.623570526639732</v>
      </c>
      <c r="I34" s="1763"/>
      <c r="J34" s="1764"/>
      <c r="K34" s="908"/>
      <c r="L34" s="1746" t="s">
        <v>541</v>
      </c>
      <c r="M34" s="1747"/>
      <c r="N34" s="1747"/>
      <c r="O34" s="1042">
        <f>B34*'USA Cal-Protein Intake'!$N$25/1000</f>
        <v>526.68963842857374</v>
      </c>
      <c r="P34" s="1043">
        <f>D34*'USA Cal-Protein Intake'!$N$25/1000</f>
        <v>293.83327167023634</v>
      </c>
      <c r="Q34" s="566"/>
      <c r="R34" s="566"/>
      <c r="S34" s="566"/>
      <c r="T34" s="566"/>
      <c r="U34" s="566"/>
      <c r="V34" s="566"/>
      <c r="W34" s="566"/>
      <c r="X34" s="566"/>
      <c r="Y34" s="574"/>
    </row>
    <row r="35" spans="1:26" ht="16">
      <c r="A35" s="1031" t="s">
        <v>464</v>
      </c>
      <c r="B35" s="1032">
        <f>PartitioningResources!AG6*PartitioningResources!B21/'USA Cal-Protein Intake'!F25</f>
        <v>7.7847959487664271</v>
      </c>
      <c r="C35" s="884">
        <f>B35*SQRT(PartitioningResources!AH6^2/PartitioningResources!AG6^2+'USA Cal-Protein Intake'!F26^2/'USA Cal-Protein Intake'!F25^2)</f>
        <v>4.2472172609284797</v>
      </c>
      <c r="D35" s="1032">
        <f>PartitioningResources!AI6*PartitioningResources!B21/'USA Cal-Protein Intake'!F25</f>
        <v>15.915669620005772</v>
      </c>
      <c r="E35" s="884">
        <f>D35*SQRT(PartitioningResources!AJ6^2/PartitioningResources!AI6^2+'USA Cal-Protein Intake'!F26^2/'USA Cal-Protein Intake'!F25^2)</f>
        <v>3.2186012343839732</v>
      </c>
      <c r="F35" s="1032">
        <f>PartitioningResources!AK6*PartitioningResources!B21/'USA Cal-Protein Intake'!F25</f>
        <v>12.511180107997768</v>
      </c>
      <c r="G35" s="884">
        <f>F35*SQRT(PartitioningResources!AL6^2/PartitioningResources!AK6^2+'USA Cal-Protein Intake'!F26^2/'USA Cal-Protein Intake'!F25^2)</f>
        <v>4.1000685908640362</v>
      </c>
      <c r="H35" s="1033">
        <f t="shared" si="0"/>
        <v>36.211645676769969</v>
      </c>
      <c r="I35" s="1757" t="s">
        <v>68</v>
      </c>
      <c r="J35" s="1758"/>
      <c r="K35" s="566"/>
      <c r="Q35" s="566"/>
      <c r="R35" s="566"/>
      <c r="S35" s="566"/>
      <c r="T35" s="566"/>
      <c r="U35" s="566"/>
      <c r="V35" s="566"/>
      <c r="W35" s="566"/>
      <c r="X35" s="566"/>
      <c r="Y35" s="574"/>
    </row>
    <row r="36" spans="1:26" ht="17" thickBot="1">
      <c r="A36" s="1035" t="s">
        <v>465</v>
      </c>
      <c r="B36" s="1036">
        <f>(PartitioningResources!AG10*PartitioningResources!B25)/'USA Cal-Protein Intake'!N25</f>
        <v>4.1172246271696453</v>
      </c>
      <c r="C36" s="1037">
        <f>B36*SQRT((PartitioningResources!AH10^2/PartitioningResources!AG10^2+'USA Cal-Protein Intake'!N27^2/'USA Cal-Protein Intake'!N26^2))</f>
        <v>1.2606289981357763</v>
      </c>
      <c r="D36" s="1036">
        <f>(PartitioningResources!AI10*PartitioningResources!B25)/'USA Cal-Protein Intake'!N25</f>
        <v>1.175200320685613</v>
      </c>
      <c r="E36" s="1037">
        <f>D36*SQRT((PartitioningResources!AJ10^2/PartitioningResources!AI10^2+'USA Cal-Protein Intake'!N27^2/'USA Cal-Protein Intake'!N26^2))</f>
        <v>0.43995004798664528</v>
      </c>
      <c r="F36" s="1036">
        <f>(PartitioningResources!AK10*PartitioningResources!B25)/'USA Cal-Protein Intake'!N25</f>
        <v>0.56549109544607112</v>
      </c>
      <c r="G36" s="1037">
        <f>F36*SQRT((PartitioningResources!AL10^2/PartitioningResources!AK10^2+'USA Cal-Protein Intake'!N27^2/'USA Cal-Protein Intake'!N26^2))</f>
        <v>0.36686265002296053</v>
      </c>
      <c r="H36" s="1038">
        <f t="shared" si="0"/>
        <v>5.85791604330133</v>
      </c>
      <c r="I36" s="1759"/>
      <c r="J36" s="1760"/>
      <c r="K36" s="566"/>
      <c r="L36" s="566"/>
      <c r="M36" s="566"/>
      <c r="N36" s="566"/>
      <c r="O36" s="566"/>
      <c r="P36" s="566"/>
      <c r="Q36" s="566"/>
      <c r="R36" s="566"/>
      <c r="S36" s="566"/>
      <c r="T36" s="566"/>
      <c r="U36" s="566"/>
      <c r="V36" s="566"/>
      <c r="W36" s="566"/>
      <c r="X36" s="566"/>
      <c r="Y36" s="574"/>
    </row>
    <row r="37" spans="1:26" ht="5" customHeight="1" thickBot="1">
      <c r="K37" s="566"/>
      <c r="L37" s="566"/>
      <c r="M37" s="566"/>
      <c r="N37" s="566"/>
      <c r="O37" s="566"/>
      <c r="P37" s="566"/>
      <c r="Q37" s="566"/>
      <c r="R37" s="566"/>
      <c r="S37" s="566"/>
      <c r="T37" s="566"/>
      <c r="U37" s="566"/>
      <c r="V37" s="566"/>
      <c r="W37" s="566"/>
      <c r="X37" s="566"/>
      <c r="Y37" s="574"/>
    </row>
    <row r="38" spans="1:26">
      <c r="A38" s="1381"/>
      <c r="B38" s="1754" t="s">
        <v>702</v>
      </c>
      <c r="C38" s="1755"/>
      <c r="D38" s="1755"/>
      <c r="E38" s="1756"/>
      <c r="F38" s="1342"/>
      <c r="G38" s="1342"/>
      <c r="H38" s="1342"/>
      <c r="I38" s="1342"/>
      <c r="J38" s="1342"/>
      <c r="K38" s="1372"/>
      <c r="L38" s="1372"/>
      <c r="M38" s="1373"/>
      <c r="N38" s="1373"/>
      <c r="O38" s="575"/>
      <c r="P38" s="567"/>
      <c r="Q38" s="566"/>
      <c r="R38" s="566"/>
      <c r="S38" s="566"/>
      <c r="T38" s="566"/>
      <c r="U38" s="566"/>
      <c r="V38" s="566"/>
      <c r="W38" s="566"/>
      <c r="X38" s="566"/>
      <c r="Y38" s="574"/>
      <c r="Z38" s="574"/>
    </row>
    <row r="39" spans="1:26" ht="16">
      <c r="A39" s="1382"/>
      <c r="B39" s="1751" t="s">
        <v>700</v>
      </c>
      <c r="C39" s="1752"/>
      <c r="D39" s="1752"/>
      <c r="E39" s="1753"/>
      <c r="F39" s="1380"/>
      <c r="G39" s="1380"/>
      <c r="H39" s="1375"/>
      <c r="I39" s="1375"/>
      <c r="J39" s="1375"/>
      <c r="K39" s="1375"/>
      <c r="L39" s="1375"/>
      <c r="M39" s="1375"/>
      <c r="N39" s="1376"/>
      <c r="O39" s="567"/>
      <c r="P39" s="567"/>
      <c r="Q39" s="566"/>
      <c r="R39" s="566"/>
      <c r="S39" s="566"/>
      <c r="T39" s="566"/>
      <c r="U39" s="566"/>
      <c r="V39" s="566"/>
      <c r="W39" s="566"/>
      <c r="X39" s="566"/>
      <c r="Y39" s="574"/>
      <c r="Z39" s="574"/>
    </row>
    <row r="40" spans="1:26" ht="16">
      <c r="A40" s="858"/>
      <c r="B40" s="1383" t="s">
        <v>714</v>
      </c>
      <c r="C40" s="1384" t="s">
        <v>715</v>
      </c>
      <c r="D40" s="1384" t="s">
        <v>658</v>
      </c>
      <c r="E40" s="1022" t="s">
        <v>701</v>
      </c>
      <c r="F40" s="1374"/>
      <c r="G40" s="1374"/>
      <c r="H40" s="1375"/>
      <c r="I40" s="1375"/>
      <c r="J40" s="1375"/>
      <c r="K40" s="1375"/>
      <c r="L40" s="1375"/>
      <c r="M40" s="1375"/>
      <c r="N40" s="1376"/>
      <c r="O40" s="576"/>
      <c r="P40" s="576"/>
      <c r="Q40" s="566"/>
      <c r="R40" s="566"/>
      <c r="S40" s="566"/>
      <c r="T40" s="566"/>
      <c r="U40" s="566"/>
      <c r="V40" s="566"/>
      <c r="W40" s="566"/>
      <c r="X40" s="566"/>
      <c r="Y40" s="574"/>
      <c r="Z40" s="574"/>
    </row>
    <row r="41" spans="1:26" ht="16">
      <c r="A41" s="1031" t="s">
        <v>699</v>
      </c>
      <c r="B41" s="1213">
        <v>1.091</v>
      </c>
      <c r="C41" s="1214">
        <v>0.63929999999999998</v>
      </c>
      <c r="D41" s="1214">
        <v>1.3548674666123477</v>
      </c>
      <c r="E41" s="1215">
        <v>3.2389999999999999</v>
      </c>
      <c r="F41" s="1377"/>
      <c r="G41" s="1377"/>
      <c r="H41" s="1377"/>
      <c r="I41" s="1372"/>
      <c r="J41" s="1372"/>
      <c r="K41" s="1372"/>
      <c r="L41" s="1378"/>
      <c r="M41" s="1378"/>
      <c r="N41" s="1379"/>
      <c r="O41" s="576"/>
      <c r="P41" s="576"/>
      <c r="Q41" s="566"/>
      <c r="R41" s="566"/>
      <c r="S41" s="574"/>
      <c r="T41" s="574"/>
      <c r="U41" s="574"/>
      <c r="V41" s="574"/>
      <c r="W41" s="574"/>
      <c r="X41" s="574"/>
      <c r="Y41" s="574"/>
      <c r="Z41" s="574"/>
    </row>
    <row r="42" spans="1:26" ht="16">
      <c r="A42" s="1031" t="s">
        <v>705</v>
      </c>
      <c r="B42" s="1213">
        <v>0.40600000000000003</v>
      </c>
      <c r="C42" s="1216">
        <v>0.19785</v>
      </c>
      <c r="D42" s="1217">
        <v>0.88127421884112456</v>
      </c>
      <c r="E42" s="1215">
        <v>7.3029999999999999</v>
      </c>
      <c r="F42" s="566"/>
      <c r="G42" s="566"/>
      <c r="H42" s="566"/>
      <c r="I42" s="566"/>
      <c r="J42" s="566"/>
      <c r="K42" s="567"/>
      <c r="L42" s="577"/>
      <c r="M42" s="577"/>
      <c r="N42" s="567"/>
      <c r="O42" s="576"/>
      <c r="P42" s="576"/>
      <c r="Q42" s="566"/>
      <c r="R42" s="566"/>
      <c r="S42" s="574"/>
      <c r="T42" s="574"/>
      <c r="U42" s="574"/>
      <c r="V42" s="574"/>
      <c r="W42" s="574"/>
      <c r="X42" s="574"/>
      <c r="Y42" s="574"/>
      <c r="Z42" s="574"/>
    </row>
    <row r="43" spans="1:26" ht="16">
      <c r="A43" s="1031" t="s">
        <v>372</v>
      </c>
      <c r="B43" s="1217">
        <v>1.6870000000000001</v>
      </c>
      <c r="C43" s="1217">
        <v>4.5359999999999998E-2</v>
      </c>
      <c r="D43" s="1217">
        <v>0.25393668547059173</v>
      </c>
      <c r="E43" s="1215">
        <v>9.8239999999999998</v>
      </c>
      <c r="F43" s="1021"/>
      <c r="N43" s="576"/>
      <c r="O43" s="576"/>
      <c r="P43" s="566"/>
      <c r="Q43" s="566"/>
      <c r="R43" s="574"/>
      <c r="S43" s="574"/>
      <c r="T43" s="574"/>
      <c r="U43" s="574"/>
      <c r="V43" s="574"/>
      <c r="W43" s="574"/>
      <c r="X43" s="574"/>
      <c r="Y43" s="574"/>
    </row>
    <row r="44" spans="1:26" ht="17" thickBot="1">
      <c r="A44" s="1035" t="s">
        <v>706</v>
      </c>
      <c r="B44" s="1218">
        <v>0.60299999999999998</v>
      </c>
      <c r="C44" s="1219">
        <v>0.38505</v>
      </c>
      <c r="D44" s="1219">
        <v>1.6016844082045192</v>
      </c>
      <c r="E44" s="1220">
        <v>10.191000000000001</v>
      </c>
      <c r="F44" s="1021"/>
      <c r="N44" s="579"/>
      <c r="O44" s="579"/>
      <c r="P44" s="566"/>
      <c r="Q44" s="566"/>
      <c r="R44" s="574"/>
      <c r="S44" s="574"/>
      <c r="T44" s="574"/>
      <c r="U44" s="574"/>
      <c r="V44" s="574"/>
      <c r="W44" s="574"/>
      <c r="X44" s="574"/>
      <c r="Y44" s="574"/>
    </row>
    <row r="45" spans="1:26" ht="15.75" customHeight="1" thickBot="1">
      <c r="F45" s="1021"/>
      <c r="N45" s="567"/>
      <c r="O45" s="567"/>
      <c r="P45" s="566"/>
      <c r="Q45" s="566"/>
      <c r="R45" s="574"/>
      <c r="S45" s="574"/>
      <c r="T45" s="574"/>
      <c r="U45" s="574"/>
      <c r="V45" s="574"/>
      <c r="W45" s="574"/>
      <c r="X45" s="574"/>
      <c r="Y45" s="574"/>
    </row>
    <row r="46" spans="1:26" ht="17" thickBot="1">
      <c r="A46" s="224"/>
      <c r="B46" s="1768" t="s">
        <v>704</v>
      </c>
      <c r="C46" s="1769"/>
      <c r="D46" s="1769"/>
      <c r="E46" s="1769"/>
      <c r="F46" s="1769"/>
      <c r="G46" s="1769"/>
      <c r="H46" s="1769"/>
      <c r="I46" s="1769"/>
      <c r="J46" s="1769"/>
      <c r="K46" s="1769"/>
      <c r="L46" s="1769"/>
      <c r="M46" s="1769"/>
      <c r="N46" s="1766"/>
      <c r="O46" s="1766"/>
      <c r="P46" s="1766"/>
      <c r="Q46" s="1767"/>
      <c r="R46" s="574"/>
      <c r="S46" s="574"/>
      <c r="T46" s="574"/>
      <c r="U46" s="574"/>
      <c r="V46" s="574"/>
      <c r="W46" s="574"/>
      <c r="X46" s="574"/>
      <c r="Y46" s="574"/>
    </row>
    <row r="47" spans="1:26" ht="16">
      <c r="A47" s="222"/>
      <c r="B47" s="1765" t="s">
        <v>707</v>
      </c>
      <c r="C47" s="1766"/>
      <c r="D47" s="1766"/>
      <c r="E47" s="1767"/>
      <c r="F47" s="1765" t="s">
        <v>708</v>
      </c>
      <c r="G47" s="1766"/>
      <c r="H47" s="1766"/>
      <c r="I47" s="1767"/>
      <c r="J47" s="1765" t="s">
        <v>709</v>
      </c>
      <c r="K47" s="1766"/>
      <c r="L47" s="1766"/>
      <c r="M47" s="1767"/>
      <c r="N47" s="1748" t="s">
        <v>710</v>
      </c>
      <c r="O47" s="1749"/>
      <c r="P47" s="1749"/>
      <c r="Q47" s="1750"/>
      <c r="R47" s="574"/>
      <c r="S47" s="574"/>
      <c r="T47" s="574"/>
      <c r="U47" s="574"/>
      <c r="V47" s="574"/>
      <c r="W47" s="574"/>
      <c r="X47" s="574"/>
      <c r="Y47" s="574"/>
    </row>
    <row r="48" spans="1:26" ht="16" thickBot="1">
      <c r="A48" s="222"/>
      <c r="B48" s="1008" t="s">
        <v>374</v>
      </c>
      <c r="C48" s="1005" t="s">
        <v>506</v>
      </c>
      <c r="D48" s="1005" t="s">
        <v>44</v>
      </c>
      <c r="E48" s="1009" t="s">
        <v>703</v>
      </c>
      <c r="F48" s="1008" t="s">
        <v>374</v>
      </c>
      <c r="G48" s="1005" t="s">
        <v>506</v>
      </c>
      <c r="H48" s="1005" t="s">
        <v>44</v>
      </c>
      <c r="I48" s="1009" t="s">
        <v>703</v>
      </c>
      <c r="J48" s="1008" t="s">
        <v>374</v>
      </c>
      <c r="K48" s="1005" t="s">
        <v>506</v>
      </c>
      <c r="L48" s="1005" t="s">
        <v>44</v>
      </c>
      <c r="M48" s="1009" t="s">
        <v>703</v>
      </c>
      <c r="N48" s="1008" t="s">
        <v>374</v>
      </c>
      <c r="O48" s="1005" t="s">
        <v>506</v>
      </c>
      <c r="P48" s="1005" t="s">
        <v>44</v>
      </c>
      <c r="Q48" s="1009" t="s">
        <v>703</v>
      </c>
      <c r="R48" s="574"/>
      <c r="S48" s="574"/>
      <c r="T48" s="574"/>
      <c r="U48" s="574"/>
      <c r="V48" s="574"/>
      <c r="W48" s="574"/>
      <c r="X48" s="574"/>
      <c r="Y48" s="574"/>
    </row>
    <row r="49" spans="1:26" ht="16">
      <c r="A49" s="1006" t="s">
        <v>464</v>
      </c>
      <c r="B49" s="1044">
        <f>$B14/B$41</f>
        <v>134.33440264666933</v>
      </c>
      <c r="C49" s="1045">
        <f>$E14*0.001/C$41</f>
        <v>2.5687159003842779</v>
      </c>
      <c r="D49" s="1045">
        <f>$H14/D$41</f>
        <v>7.0821667884195021</v>
      </c>
      <c r="E49" s="1045">
        <f>$K14/E$41</f>
        <v>54.286409464552207</v>
      </c>
      <c r="F49" s="1044">
        <f>$B14/B$42</f>
        <v>360.98234799880845</v>
      </c>
      <c r="G49" s="1045">
        <f>$E14*0.001/C$42</f>
        <v>8.3001267380119721</v>
      </c>
      <c r="H49" s="1045">
        <f>$H14/D$42</f>
        <v>10.888094953430027</v>
      </c>
      <c r="I49" s="1045">
        <f>$K14/E$42</f>
        <v>24.076910893562179</v>
      </c>
      <c r="J49" s="1044">
        <f>$B14/B$43</f>
        <v>86.875419850335646</v>
      </c>
      <c r="K49" s="1045">
        <f>$E14*0.001/C$43</f>
        <v>36.203264442585294</v>
      </c>
      <c r="L49" s="1045">
        <f>$H14/D$43</f>
        <v>37.786574070501032</v>
      </c>
      <c r="M49" s="1046">
        <f>$K14/E$43</f>
        <v>17.898379504853889</v>
      </c>
      <c r="N49" s="1047">
        <f>B14/B$44</f>
        <v>243.04947477200042</v>
      </c>
      <c r="O49" s="1048">
        <f>E14*0.001/C$44</f>
        <v>4.2648489160256302</v>
      </c>
      <c r="P49" s="1048">
        <f>H14/D$44</f>
        <v>5.9908164964335473</v>
      </c>
      <c r="Q49" s="1049">
        <f>K14/E$44</f>
        <v>17.253820062377056</v>
      </c>
      <c r="R49" s="566"/>
      <c r="S49" s="574"/>
      <c r="T49" s="574"/>
      <c r="U49" s="574"/>
      <c r="V49" s="574"/>
      <c r="W49" s="574"/>
      <c r="X49" s="574"/>
      <c r="Y49" s="574"/>
      <c r="Z49" s="574"/>
    </row>
    <row r="50" spans="1:26" ht="16">
      <c r="A50" s="1007" t="s">
        <v>110</v>
      </c>
      <c r="B50" s="1010">
        <f t="shared" ref="B50:B53" si="1">$B15/B$41</f>
        <v>3.7494919260398585</v>
      </c>
      <c r="C50" s="1004">
        <f t="shared" ref="C50:C53" si="2">$E15*0.001/C$41</f>
        <v>0.2267971620157597</v>
      </c>
      <c r="D50" s="1004">
        <f t="shared" ref="D50:D53" si="3">$H15/D$41</f>
        <v>1.2592569133821689</v>
      </c>
      <c r="E50" s="1004">
        <f t="shared" ref="E50:E53" si="4">$K15/E$41</f>
        <v>10.290454386832629</v>
      </c>
      <c r="F50" s="1010">
        <f t="shared" ref="F50:F53" si="5">$B15/B$42</f>
        <v>10.075605151008585</v>
      </c>
      <c r="G50" s="1004">
        <f t="shared" ref="G50:G53" si="6">$E15*0.001/C$42</f>
        <v>0.73283510577040778</v>
      </c>
      <c r="H50" s="1004">
        <f t="shared" ref="H50:H53" si="7">$H15/D$42</f>
        <v>1.9359765525556161</v>
      </c>
      <c r="I50" s="1004">
        <f t="shared" ref="I50:I53" si="8">$K15/E$42</f>
        <v>4.563984904689975</v>
      </c>
      <c r="J50" s="1010">
        <f>$B15/B$43</f>
        <v>2.4248344346825639</v>
      </c>
      <c r="K50" s="1004">
        <f>$E15*0.001/C$43</f>
        <v>3.1964600016903697</v>
      </c>
      <c r="L50" s="1004">
        <f>$H15/D$43</f>
        <v>6.7187071489352386</v>
      </c>
      <c r="M50" s="978">
        <f>$K15/E$43</f>
        <v>3.3927913028248051</v>
      </c>
      <c r="N50" s="1050">
        <f>B15/B$44</f>
        <v>6.7839066190870403</v>
      </c>
      <c r="O50" s="956">
        <f>E15*0.001/C$44</f>
        <v>0.37655220277022505</v>
      </c>
      <c r="P50" s="956">
        <f>H15/D$44</f>
        <v>1.0652074873855726</v>
      </c>
      <c r="Q50" s="951">
        <f>K15/E$44</f>
        <v>3.2706095337995174</v>
      </c>
    </row>
    <row r="51" spans="1:26" ht="16">
      <c r="A51" s="1007" t="s">
        <v>222</v>
      </c>
      <c r="B51" s="1010">
        <f t="shared" si="1"/>
        <v>4.8238320808954986</v>
      </c>
      <c r="C51" s="1004">
        <f t="shared" si="2"/>
        <v>0.29178124598421812</v>
      </c>
      <c r="D51" s="1004">
        <f t="shared" si="3"/>
        <v>1.5005300790357026</v>
      </c>
      <c r="E51" s="1004">
        <f t="shared" si="4"/>
        <v>13.238973433561508</v>
      </c>
      <c r="F51" s="1010">
        <f t="shared" si="5"/>
        <v>12.962563547431007</v>
      </c>
      <c r="G51" s="1004">
        <f t="shared" si="6"/>
        <v>0.94281400332428922</v>
      </c>
      <c r="H51" s="1004">
        <f t="shared" si="7"/>
        <v>2.3069089544366204</v>
      </c>
      <c r="I51" s="1004">
        <f t="shared" si="8"/>
        <v>5.8717013489395757</v>
      </c>
      <c r="J51" s="1010">
        <f>$B16/B$43</f>
        <v>3.1196211027012382</v>
      </c>
      <c r="K51" s="1004">
        <f>$E16*0.001/C$43</f>
        <v>4.1123401798437094</v>
      </c>
      <c r="L51" s="1004">
        <f>$H16/D$43</f>
        <v>8.006008989962071</v>
      </c>
      <c r="M51" s="978">
        <f>$K16/E$43</f>
        <v>4.3649261961833998</v>
      </c>
      <c r="N51" s="1050">
        <f>B16/B$44</f>
        <v>8.7276961861641613</v>
      </c>
      <c r="O51" s="956">
        <f>E16*0.001/C$44</f>
        <v>0.48444552800340379</v>
      </c>
      <c r="P51" s="956">
        <f>H16/D$44</f>
        <v>1.2693008537416766</v>
      </c>
      <c r="Q51" s="951">
        <f>K16/E$44</f>
        <v>4.2077357424497812</v>
      </c>
    </row>
    <row r="52" spans="1:26" ht="16">
      <c r="A52" s="1007" t="s">
        <v>223</v>
      </c>
      <c r="B52" s="1010">
        <f t="shared" si="1"/>
        <v>2.7112742559562002</v>
      </c>
      <c r="C52" s="1004">
        <f t="shared" si="2"/>
        <v>0.16399803462084317</v>
      </c>
      <c r="D52" s="1004">
        <f t="shared" si="3"/>
        <v>1.073570286680761</v>
      </c>
      <c r="E52" s="1004">
        <f t="shared" si="4"/>
        <v>7.4410732471101895</v>
      </c>
      <c r="F52" s="1010">
        <f t="shared" si="5"/>
        <v>7.2857148109561924</v>
      </c>
      <c r="G52" s="1004">
        <f t="shared" si="6"/>
        <v>0.52991631808493822</v>
      </c>
      <c r="H52" s="1004">
        <f t="shared" si="7"/>
        <v>1.6505026737967912</v>
      </c>
      <c r="I52" s="1004">
        <f t="shared" si="8"/>
        <v>3.3002377444050257</v>
      </c>
      <c r="J52" s="1010">
        <f>$B17/B$43</f>
        <v>1.7534085437155982</v>
      </c>
      <c r="K52" s="1004">
        <f>$E17*0.001/C$43</f>
        <v>2.3113744165146612</v>
      </c>
      <c r="L52" s="1004">
        <f>$H17/D$43</f>
        <v>5.7279847212698405</v>
      </c>
      <c r="M52" s="978">
        <f>$K17/E$43</f>
        <v>2.4533424518922944</v>
      </c>
      <c r="N52" s="1050">
        <f>B17/B$44</f>
        <v>4.9054729904613836</v>
      </c>
      <c r="O52" s="956">
        <f>E17*0.001/C$44</f>
        <v>0.27228656936269324</v>
      </c>
      <c r="P52" s="956">
        <f>H17/D$44</f>
        <v>0.90813486545454569</v>
      </c>
      <c r="Q52" s="951">
        <f>K17/E$44</f>
        <v>2.3649922723373469</v>
      </c>
    </row>
    <row r="53" spans="1:26" ht="17" thickBot="1">
      <c r="A53" s="1007" t="s">
        <v>465</v>
      </c>
      <c r="B53" s="1010">
        <f t="shared" si="1"/>
        <v>7.9855021019454595</v>
      </c>
      <c r="C53" s="1004">
        <f t="shared" si="2"/>
        <v>0.26721366591407486</v>
      </c>
      <c r="D53" s="1004">
        <f t="shared" si="3"/>
        <v>1.3672621581395348</v>
      </c>
      <c r="E53" s="1004">
        <f t="shared" si="4"/>
        <v>7.9109510733682411</v>
      </c>
      <c r="F53" s="1010">
        <f t="shared" si="5"/>
        <v>21.458578308429793</v>
      </c>
      <c r="G53" s="1004">
        <f t="shared" si="6"/>
        <v>0.86343035945851931</v>
      </c>
      <c r="H53" s="1004">
        <f t="shared" si="7"/>
        <v>2.1020233847637413</v>
      </c>
      <c r="I53" s="1004">
        <f t="shared" si="8"/>
        <v>3.5086362490263907</v>
      </c>
      <c r="J53" s="1010">
        <f>$B18/B$43</f>
        <v>5.1643051530660911</v>
      </c>
      <c r="K53" s="1004">
        <f>$E18*0.001/C$43</f>
        <v>3.7660867861302481</v>
      </c>
      <c r="L53" s="1004">
        <f>$H18/D$43</f>
        <v>7.2949641480926353</v>
      </c>
      <c r="M53" s="978">
        <f>$K18/E$43</f>
        <v>2.60826247217424</v>
      </c>
      <c r="N53" s="1050">
        <f>B18/B$44</f>
        <v>14.448064333702316</v>
      </c>
      <c r="O53" s="956">
        <f>E18*0.001/C$44</f>
        <v>0.44365588006458395</v>
      </c>
      <c r="P53" s="956">
        <f>H18/D$44</f>
        <v>1.1565693009836069</v>
      </c>
      <c r="Q53" s="951">
        <f>K18/E$44</f>
        <v>2.5143332868844794</v>
      </c>
      <c r="R53" s="566"/>
      <c r="S53" s="574"/>
      <c r="T53" s="574"/>
      <c r="U53" s="574"/>
      <c r="V53" s="574"/>
      <c r="W53" s="574"/>
      <c r="X53" s="574"/>
      <c r="Y53" s="574"/>
      <c r="Z53" s="574"/>
    </row>
    <row r="54" spans="1:26" s="903" customFormat="1" ht="16">
      <c r="A54" s="1053" t="s">
        <v>711</v>
      </c>
      <c r="B54" s="1056">
        <f>MIN(B49:B53)</f>
        <v>2.7112742559562002</v>
      </c>
      <c r="C54" s="1057">
        <f t="shared" ref="C54:Q54" si="9">MIN(C49:C53)</f>
        <v>0.16399803462084317</v>
      </c>
      <c r="D54" s="1057">
        <f t="shared" si="9"/>
        <v>1.073570286680761</v>
      </c>
      <c r="E54" s="1058">
        <f t="shared" si="9"/>
        <v>7.4410732471101895</v>
      </c>
      <c r="F54" s="1057">
        <f t="shared" si="9"/>
        <v>7.2857148109561924</v>
      </c>
      <c r="G54" s="1057">
        <f t="shared" si="9"/>
        <v>0.52991631808493822</v>
      </c>
      <c r="H54" s="1057">
        <f t="shared" si="9"/>
        <v>1.6505026737967912</v>
      </c>
      <c r="I54" s="1057">
        <f t="shared" si="9"/>
        <v>3.3002377444050257</v>
      </c>
      <c r="J54" s="1056">
        <f t="shared" si="9"/>
        <v>1.7534085437155982</v>
      </c>
      <c r="K54" s="1057">
        <f t="shared" si="9"/>
        <v>2.3113744165146612</v>
      </c>
      <c r="L54" s="1057">
        <f t="shared" si="9"/>
        <v>5.7279847212698405</v>
      </c>
      <c r="M54" s="1058">
        <f t="shared" si="9"/>
        <v>2.4533424518922944</v>
      </c>
      <c r="N54" s="1057">
        <f t="shared" si="9"/>
        <v>4.9054729904613836</v>
      </c>
      <c r="O54" s="1057">
        <f t="shared" si="9"/>
        <v>0.27228656936269324</v>
      </c>
      <c r="P54" s="1057">
        <f t="shared" si="9"/>
        <v>0.90813486545454569</v>
      </c>
      <c r="Q54" s="1058">
        <f t="shared" si="9"/>
        <v>2.3649922723373469</v>
      </c>
      <c r="R54" s="566"/>
      <c r="S54" s="574"/>
      <c r="T54" s="574"/>
      <c r="U54" s="574"/>
      <c r="V54" s="574"/>
      <c r="W54" s="574"/>
      <c r="X54" s="574"/>
      <c r="Y54" s="574"/>
      <c r="Z54" s="574"/>
    </row>
    <row r="55" spans="1:26" s="903" customFormat="1">
      <c r="A55" s="1054" t="s">
        <v>712</v>
      </c>
      <c r="B55" s="1059">
        <f>MAX(B49:B53)</f>
        <v>134.33440264666933</v>
      </c>
      <c r="C55" s="1060">
        <f t="shared" ref="C55:Q55" si="10">MAX(C49:C53)</f>
        <v>2.5687159003842779</v>
      </c>
      <c r="D55" s="1060">
        <f t="shared" si="10"/>
        <v>7.0821667884195021</v>
      </c>
      <c r="E55" s="1061">
        <f t="shared" si="10"/>
        <v>54.286409464552207</v>
      </c>
      <c r="F55" s="1060">
        <f t="shared" si="10"/>
        <v>360.98234799880845</v>
      </c>
      <c r="G55" s="1060">
        <f t="shared" si="10"/>
        <v>8.3001267380119721</v>
      </c>
      <c r="H55" s="1060">
        <f t="shared" si="10"/>
        <v>10.888094953430027</v>
      </c>
      <c r="I55" s="1060">
        <f t="shared" si="10"/>
        <v>24.076910893562179</v>
      </c>
      <c r="J55" s="1059">
        <f t="shared" si="10"/>
        <v>86.875419850335646</v>
      </c>
      <c r="K55" s="1060">
        <f t="shared" si="10"/>
        <v>36.203264442585294</v>
      </c>
      <c r="L55" s="1060">
        <f t="shared" si="10"/>
        <v>37.786574070501032</v>
      </c>
      <c r="M55" s="1061">
        <f t="shared" si="10"/>
        <v>17.898379504853889</v>
      </c>
      <c r="N55" s="1060">
        <f t="shared" si="10"/>
        <v>243.04947477200042</v>
      </c>
      <c r="O55" s="1060">
        <f t="shared" si="10"/>
        <v>4.2648489160256302</v>
      </c>
      <c r="P55" s="1060">
        <f t="shared" si="10"/>
        <v>5.9908164964335473</v>
      </c>
      <c r="Q55" s="1061">
        <f t="shared" si="10"/>
        <v>17.253820062377056</v>
      </c>
      <c r="R55" s="566"/>
      <c r="S55" s="574"/>
      <c r="T55" s="574"/>
      <c r="U55" s="574"/>
      <c r="V55" s="574"/>
      <c r="W55" s="574"/>
      <c r="X55" s="574"/>
      <c r="Y55" s="574"/>
      <c r="Z55" s="574"/>
    </row>
    <row r="56" spans="1:26" ht="16" thickBot="1">
      <c r="A56" s="1055" t="s">
        <v>740</v>
      </c>
      <c r="B56" s="1062">
        <f>AVERAGE(B49:B53)</f>
        <v>30.720900602301271</v>
      </c>
      <c r="C56" s="1063">
        <f t="shared" ref="C56:Q56" si="11">AVERAGE(C49:C53)</f>
        <v>0.70370120178383488</v>
      </c>
      <c r="D56" s="1063">
        <f t="shared" si="11"/>
        <v>2.4565572451315338</v>
      </c>
      <c r="E56" s="1064">
        <f t="shared" si="11"/>
        <v>18.633572321084955</v>
      </c>
      <c r="F56" s="1063">
        <f t="shared" si="11"/>
        <v>82.552961963326794</v>
      </c>
      <c r="G56" s="1063">
        <f t="shared" si="11"/>
        <v>2.2738245049300252</v>
      </c>
      <c r="H56" s="1063">
        <f t="shared" si="11"/>
        <v>3.7767013037965591</v>
      </c>
      <c r="I56" s="1063">
        <f t="shared" si="11"/>
        <v>8.2642942281246281</v>
      </c>
      <c r="J56" s="1062">
        <f t="shared" si="11"/>
        <v>19.867517816900229</v>
      </c>
      <c r="K56" s="1063">
        <f t="shared" si="11"/>
        <v>9.917905165352856</v>
      </c>
      <c r="L56" s="1063">
        <f t="shared" si="11"/>
        <v>13.106847815752165</v>
      </c>
      <c r="M56" s="1064">
        <f t="shared" si="11"/>
        <v>6.1435403855857249</v>
      </c>
      <c r="N56" s="1063">
        <f t="shared" si="11"/>
        <v>55.582922980283058</v>
      </c>
      <c r="O56" s="1063">
        <f t="shared" si="11"/>
        <v>1.168357819245307</v>
      </c>
      <c r="P56" s="1063">
        <f t="shared" si="11"/>
        <v>2.0780058007997897</v>
      </c>
      <c r="Q56" s="1064">
        <f t="shared" si="11"/>
        <v>5.9222981795696361</v>
      </c>
      <c r="R56" s="566"/>
      <c r="S56" s="574"/>
      <c r="T56" s="574"/>
      <c r="U56" s="574"/>
      <c r="V56" s="574"/>
      <c r="W56" s="574"/>
      <c r="X56" s="574"/>
      <c r="Y56" s="574"/>
      <c r="Z56" s="574"/>
    </row>
    <row r="57" spans="1:26" ht="11" customHeight="1" thickBot="1">
      <c r="A57" s="1051"/>
      <c r="B57" s="1052"/>
      <c r="C57" s="1052"/>
      <c r="D57" s="1052"/>
      <c r="E57" s="1052"/>
      <c r="F57" s="1052"/>
      <c r="G57" s="1052"/>
      <c r="H57" s="1052"/>
      <c r="I57" s="1052"/>
      <c r="J57" s="1052"/>
      <c r="K57" s="1052"/>
      <c r="L57" s="1052"/>
      <c r="M57" s="1052"/>
      <c r="N57" s="1052"/>
      <c r="O57" s="1052"/>
      <c r="P57" s="1052"/>
      <c r="Q57" s="1052"/>
      <c r="R57" s="566"/>
      <c r="S57" s="574"/>
      <c r="T57" s="574"/>
      <c r="U57" s="574"/>
      <c r="V57" s="574"/>
      <c r="W57" s="574"/>
      <c r="X57" s="574"/>
      <c r="Y57" s="574"/>
      <c r="Z57" s="574"/>
    </row>
    <row r="58" spans="1:26" ht="16">
      <c r="A58" s="222"/>
      <c r="B58" s="1780" t="s">
        <v>793</v>
      </c>
      <c r="C58" s="1766"/>
      <c r="D58" s="1766"/>
      <c r="E58" s="1767"/>
      <c r="F58" s="567"/>
      <c r="G58" s="1799" t="s">
        <v>794</v>
      </c>
      <c r="H58" s="1800"/>
      <c r="I58" s="1800"/>
      <c r="J58" s="1801"/>
      <c r="K58" s="567"/>
      <c r="P58" s="566"/>
      <c r="Q58" s="566"/>
      <c r="R58" s="566"/>
      <c r="S58" s="574"/>
      <c r="T58" s="574"/>
      <c r="U58" s="574"/>
      <c r="V58" s="574"/>
      <c r="W58" s="574"/>
      <c r="X58" s="574"/>
      <c r="Y58" s="574"/>
      <c r="Z58" s="574"/>
    </row>
    <row r="59" spans="1:26">
      <c r="A59" s="177"/>
      <c r="B59" s="1223" t="s">
        <v>374</v>
      </c>
      <c r="C59" s="1005" t="s">
        <v>506</v>
      </c>
      <c r="D59" s="1005" t="s">
        <v>44</v>
      </c>
      <c r="E59" s="1224" t="s">
        <v>703</v>
      </c>
      <c r="F59" s="567"/>
      <c r="G59" s="1802"/>
      <c r="H59" s="1803"/>
      <c r="I59" s="1803"/>
      <c r="J59" s="1804"/>
      <c r="K59" s="567"/>
      <c r="P59" s="566"/>
      <c r="Q59" s="566"/>
      <c r="R59" s="566"/>
      <c r="S59" s="574"/>
      <c r="T59" s="574"/>
      <c r="U59" s="574"/>
      <c r="V59" s="574"/>
      <c r="W59" s="574"/>
      <c r="X59" s="574"/>
      <c r="Y59" s="574"/>
      <c r="Z59" s="574"/>
    </row>
    <row r="60" spans="1:26">
      <c r="A60" s="1013"/>
      <c r="B60" s="1225">
        <f>$B14/AVERAGE(B$42,B$43,B$44)</f>
        <v>163.08475514189496</v>
      </c>
      <c r="C60" s="1226">
        <f>0.001*$E14/AVERAGE(C$42,C$43,C$44)</f>
        <v>7.8415627691513157</v>
      </c>
      <c r="D60" s="1226">
        <f>$H$14/AVERAGE(D$42,D$43,D$44)</f>
        <v>10.517827259454357</v>
      </c>
      <c r="E60" s="1227">
        <f>$K$14/AVERAGE(E$42,E$43,E$44)</f>
        <v>19.309650807784383</v>
      </c>
      <c r="F60" s="567"/>
      <c r="G60" s="1574" t="s">
        <v>374</v>
      </c>
      <c r="H60" s="1575" t="s">
        <v>506</v>
      </c>
      <c r="I60" s="1575" t="s">
        <v>44</v>
      </c>
      <c r="J60" s="1576" t="s">
        <v>703</v>
      </c>
      <c r="K60" s="567"/>
      <c r="P60" s="566"/>
      <c r="Q60" s="566"/>
      <c r="R60" s="566"/>
      <c r="S60" s="574"/>
      <c r="T60" s="574"/>
      <c r="U60" s="574"/>
      <c r="V60" s="574"/>
      <c r="W60" s="574"/>
      <c r="X60" s="574"/>
      <c r="Y60" s="574"/>
      <c r="Z60" s="574"/>
    </row>
    <row r="61" spans="1:26">
      <c r="A61" s="1013"/>
      <c r="B61" s="1004"/>
      <c r="C61" s="1004"/>
      <c r="D61" s="1004"/>
      <c r="E61" s="1004"/>
      <c r="F61" s="567"/>
      <c r="G61" s="1577">
        <f>AVERAGE(B15:B18)/AVERAGE(B$42,B$43,B$44)</f>
        <v>5.8485755280147949</v>
      </c>
      <c r="H61" s="1578">
        <f>0.001*AVERAGE(E15:E18)/AVERAGE(C$42,C$43,C$44)</f>
        <v>0.72486010933334777</v>
      </c>
      <c r="I61" s="1578">
        <f>AVERAGE(H15:H18)/AVERAGE(D$42,D$43,D$44)</f>
        <v>1.9308785897443814</v>
      </c>
      <c r="J61" s="1579">
        <f>AVERAGE(K15:K18)/AVERAGE(E$42,E$43,E$44)</f>
        <v>3.4575286482617571</v>
      </c>
      <c r="K61" s="567"/>
      <c r="P61" s="566"/>
      <c r="Q61" s="566"/>
      <c r="R61" s="566"/>
      <c r="S61" s="574"/>
      <c r="T61" s="574"/>
      <c r="U61" s="574"/>
      <c r="V61" s="574"/>
      <c r="W61" s="574"/>
      <c r="X61" s="574"/>
      <c r="Y61" s="574"/>
      <c r="Z61" s="574"/>
    </row>
    <row r="62" spans="1:26" ht="16">
      <c r="A62" s="1013"/>
      <c r="B62" s="1711" t="s">
        <v>929</v>
      </c>
      <c r="C62" s="1712"/>
      <c r="D62" s="1712"/>
      <c r="E62" s="1713"/>
      <c r="F62" s="1011"/>
      <c r="G62" s="1011"/>
      <c r="H62" s="1011"/>
      <c r="I62" s="1011"/>
      <c r="J62" s="1011"/>
      <c r="K62" s="1011"/>
      <c r="L62" s="177"/>
      <c r="M62" s="1020"/>
      <c r="N62" s="567"/>
      <c r="O62" s="567"/>
      <c r="P62" s="566"/>
      <c r="Q62" s="566"/>
      <c r="R62" s="566"/>
      <c r="S62" s="574"/>
      <c r="T62" s="574"/>
      <c r="U62" s="574"/>
      <c r="V62" s="574"/>
      <c r="W62" s="574"/>
      <c r="X62" s="574"/>
      <c r="Y62" s="574"/>
      <c r="Z62" s="574"/>
    </row>
    <row r="63" spans="1:26">
      <c r="A63" s="1013"/>
      <c r="B63" s="1580" t="s">
        <v>374</v>
      </c>
      <c r="C63" s="1581" t="s">
        <v>506</v>
      </c>
      <c r="D63" s="1581" t="s">
        <v>44</v>
      </c>
      <c r="E63" s="1582" t="s">
        <v>703</v>
      </c>
      <c r="F63" s="1012"/>
      <c r="G63" s="1786" t="s">
        <v>930</v>
      </c>
      <c r="H63" s="1787"/>
      <c r="I63" s="1787"/>
      <c r="J63" s="1788"/>
      <c r="K63" s="924"/>
      <c r="L63" s="177"/>
      <c r="M63" s="1020"/>
      <c r="N63" s="567"/>
      <c r="O63" s="567"/>
      <c r="P63" s="566"/>
      <c r="Q63" s="566"/>
      <c r="R63" s="566"/>
      <c r="S63" s="574"/>
      <c r="T63" s="574"/>
      <c r="U63" s="574"/>
      <c r="V63" s="574"/>
      <c r="W63" s="574"/>
      <c r="X63" s="574"/>
      <c r="Y63" s="574"/>
      <c r="Z63" s="574"/>
    </row>
    <row r="64" spans="1:26" ht="16">
      <c r="A64" s="1013"/>
      <c r="B64" s="1577">
        <f>B14/AVERAGE(B15:B18)</f>
        <v>27.884525789350871</v>
      </c>
      <c r="C64" s="1578">
        <f>E14/AVERAGE(E15:E18)</f>
        <v>10.818036015753693</v>
      </c>
      <c r="D64" s="1578">
        <f>H14/AVERAGE(H15:H18)</f>
        <v>5.4471717255131793</v>
      </c>
      <c r="E64" s="1579">
        <f>K14/AVERAGE(K15:K18)</f>
        <v>5.5848129609836041</v>
      </c>
      <c r="F64" s="907"/>
      <c r="G64" s="1789"/>
      <c r="H64" s="1790"/>
      <c r="I64" s="1790"/>
      <c r="J64" s="1791"/>
      <c r="K64" s="905"/>
      <c r="L64" s="907"/>
      <c r="M64" s="1014"/>
      <c r="N64" s="578"/>
      <c r="O64" s="567"/>
      <c r="P64" s="566"/>
      <c r="Q64" s="574"/>
      <c r="R64" s="566"/>
      <c r="S64" s="574"/>
      <c r="T64" s="574"/>
      <c r="U64" s="574"/>
      <c r="V64" s="574"/>
      <c r="W64" s="574"/>
      <c r="X64" s="574"/>
      <c r="Y64" s="574"/>
      <c r="Z64" s="574"/>
    </row>
    <row r="65" spans="1:26" ht="16">
      <c r="A65" s="1221"/>
      <c r="B65" s="1060"/>
      <c r="C65" s="1060"/>
      <c r="D65" s="1060"/>
      <c r="E65" s="1060"/>
      <c r="F65" s="907"/>
      <c r="G65" s="1223" t="s">
        <v>374</v>
      </c>
      <c r="H65" s="1005" t="s">
        <v>506</v>
      </c>
      <c r="I65" s="1005" t="s">
        <v>44</v>
      </c>
      <c r="J65" s="1224" t="s">
        <v>703</v>
      </c>
      <c r="K65" s="905"/>
      <c r="L65" s="907"/>
      <c r="M65" s="1015"/>
      <c r="N65" s="567"/>
      <c r="O65" s="567"/>
      <c r="P65" s="566"/>
      <c r="Q65" s="574"/>
      <c r="R65" s="566"/>
      <c r="S65" s="574"/>
      <c r="T65" s="574"/>
      <c r="U65" s="574"/>
      <c r="V65" s="574"/>
      <c r="W65" s="574"/>
      <c r="X65" s="574"/>
      <c r="Y65" s="574"/>
      <c r="Z65" s="574"/>
    </row>
    <row r="66" spans="1:26" ht="16">
      <c r="A66" s="1051"/>
      <c r="B66" s="1060"/>
      <c r="C66" s="1060"/>
      <c r="D66" s="1060"/>
      <c r="E66" s="1060"/>
      <c r="F66" s="907"/>
      <c r="G66" s="1225">
        <f>AVERAGE(B14:B18)/AVERAGE(B$42,B$43,B$44)</f>
        <v>37.295811450790829</v>
      </c>
      <c r="H66" s="1226">
        <f>0.001*AVERAGE(E14:E18)/AVERAGE(C$42,C$43,C$44)</f>
        <v>2.1482006412969414</v>
      </c>
      <c r="I66" s="1226">
        <f>AVERAGE(H14:H18)/AVERAGE(D$42,D$43,D$44)</f>
        <v>3.6482683236863767</v>
      </c>
      <c r="J66" s="1228">
        <f>AVERAGE(K14:K18)/AVERAGE(E$42,E$43,E$44)</f>
        <v>6.6279530801662823</v>
      </c>
      <c r="K66" s="905"/>
      <c r="L66" s="907"/>
      <c r="M66" s="1015"/>
      <c r="N66" s="567"/>
      <c r="O66" s="567"/>
      <c r="P66" s="566"/>
      <c r="Q66" s="574"/>
      <c r="R66" s="566"/>
      <c r="S66" s="574"/>
      <c r="T66" s="574"/>
      <c r="U66" s="574"/>
      <c r="V66" s="574"/>
      <c r="W66" s="574"/>
      <c r="X66" s="574"/>
      <c r="Y66" s="574"/>
      <c r="Z66" s="574"/>
    </row>
    <row r="67" spans="1:26" ht="16">
      <c r="A67" s="1051"/>
      <c r="B67" s="1222"/>
      <c r="C67" s="1222"/>
      <c r="D67" s="1222"/>
      <c r="E67" s="1222"/>
      <c r="F67" s="907"/>
      <c r="G67" s="1013"/>
      <c r="H67" s="905"/>
      <c r="I67" s="907"/>
      <c r="J67" s="1013"/>
      <c r="K67" s="905"/>
      <c r="L67" s="907"/>
      <c r="M67" s="1015"/>
      <c r="N67" s="567"/>
      <c r="O67" s="567"/>
      <c r="P67" s="566"/>
      <c r="Q67" s="574"/>
      <c r="R67" s="566"/>
      <c r="S67" s="574"/>
      <c r="T67" s="574"/>
      <c r="U67" s="574"/>
      <c r="V67" s="574"/>
      <c r="W67" s="574"/>
      <c r="X67" s="574"/>
      <c r="Y67" s="574"/>
      <c r="Z67" s="574"/>
    </row>
    <row r="68" spans="1:26" ht="14" customHeight="1">
      <c r="A68" s="1013"/>
      <c r="B68" s="905"/>
      <c r="C68" s="907"/>
      <c r="D68" s="1013"/>
      <c r="E68" s="905"/>
      <c r="F68" s="907"/>
      <c r="G68" s="1013"/>
      <c r="H68" s="905"/>
      <c r="I68" s="907"/>
      <c r="J68" s="1013"/>
      <c r="K68" s="905"/>
      <c r="L68" s="907"/>
      <c r="M68" s="1015"/>
      <c r="N68" s="567"/>
      <c r="O68" s="567"/>
      <c r="P68" s="566"/>
      <c r="Q68" s="574"/>
      <c r="R68" s="566"/>
      <c r="S68" s="574"/>
      <c r="T68" s="574"/>
      <c r="U68" s="574"/>
      <c r="V68" s="574"/>
      <c r="W68" s="574"/>
      <c r="X68" s="574"/>
      <c r="Y68" s="574"/>
      <c r="Z68" s="574"/>
    </row>
    <row r="69" spans="1:26" ht="16">
      <c r="A69" s="1016"/>
      <c r="B69" s="1017"/>
      <c r="C69" s="1018"/>
      <c r="D69" s="1018"/>
      <c r="E69" s="1017"/>
      <c r="F69" s="1018"/>
      <c r="G69" s="1018"/>
      <c r="H69" s="1017"/>
      <c r="I69" s="1018"/>
      <c r="J69" s="1018"/>
      <c r="K69" s="1017"/>
      <c r="L69" s="906"/>
      <c r="M69" s="1003"/>
      <c r="N69" s="567"/>
      <c r="O69" s="567"/>
      <c r="P69" s="566"/>
      <c r="Q69" s="574"/>
      <c r="R69" s="566"/>
      <c r="S69" s="574"/>
      <c r="T69" s="574"/>
      <c r="U69" s="574"/>
      <c r="V69" s="574"/>
      <c r="W69" s="574"/>
      <c r="X69" s="574"/>
      <c r="Y69" s="574"/>
      <c r="Z69" s="574"/>
    </row>
    <row r="70" spans="1:26" ht="16">
      <c r="A70" s="1016"/>
      <c r="B70" s="1017"/>
      <c r="C70" s="1018"/>
      <c r="D70" s="1018"/>
      <c r="E70" s="1017"/>
      <c r="F70" s="1018"/>
      <c r="G70" s="1018"/>
      <c r="H70" s="1017"/>
      <c r="I70" s="1018"/>
      <c r="J70" s="1018"/>
      <c r="K70" s="1017"/>
      <c r="L70" s="906"/>
      <c r="M70" s="1003"/>
      <c r="N70" s="567"/>
      <c r="O70" s="567"/>
      <c r="P70" s="566"/>
      <c r="R70" s="566"/>
      <c r="S70" s="574"/>
      <c r="T70" s="574"/>
      <c r="U70" s="574"/>
      <c r="V70" s="574"/>
      <c r="W70" s="574"/>
      <c r="X70" s="574"/>
      <c r="Y70" s="574"/>
      <c r="Z70" s="574"/>
    </row>
    <row r="71" spans="1:26">
      <c r="A71" s="567"/>
      <c r="B71" s="567"/>
      <c r="C71" s="567"/>
      <c r="D71" s="567"/>
      <c r="E71" s="567"/>
      <c r="F71" s="567"/>
      <c r="G71" s="567"/>
      <c r="H71" s="1019"/>
      <c r="I71" s="1019"/>
      <c r="J71" s="1019"/>
      <c r="K71" s="1019"/>
      <c r="L71" s="567"/>
      <c r="M71" s="567"/>
      <c r="N71" s="567"/>
      <c r="O71" s="567"/>
      <c r="P71" s="566"/>
      <c r="R71" s="574"/>
      <c r="S71" s="574"/>
      <c r="T71" s="574"/>
      <c r="U71" s="574"/>
      <c r="V71" s="574"/>
      <c r="W71" s="574"/>
      <c r="X71" s="574"/>
      <c r="Y71" s="574"/>
      <c r="Z71" s="574"/>
    </row>
    <row r="72" spans="1:26">
      <c r="A72" s="567"/>
      <c r="B72" s="567"/>
      <c r="C72" s="567"/>
      <c r="D72" s="567"/>
      <c r="E72" s="567"/>
      <c r="F72" s="567"/>
      <c r="G72" s="567"/>
      <c r="H72" s="1019"/>
      <c r="I72" s="1019"/>
      <c r="J72" s="1019"/>
      <c r="K72" s="1019"/>
      <c r="L72" s="567"/>
      <c r="M72" s="567"/>
      <c r="N72" s="567"/>
      <c r="O72" s="567"/>
      <c r="P72" s="566"/>
      <c r="R72" s="574"/>
      <c r="S72" s="574"/>
      <c r="T72" s="574"/>
      <c r="U72" s="574"/>
      <c r="V72" s="574"/>
      <c r="W72" s="574"/>
      <c r="X72" s="574"/>
      <c r="Y72" s="574"/>
      <c r="Z72" s="574"/>
    </row>
    <row r="73" spans="1:26">
      <c r="A73" s="567"/>
      <c r="B73" s="567"/>
      <c r="C73" s="567"/>
      <c r="D73" s="567"/>
      <c r="E73" s="567"/>
      <c r="F73" s="567"/>
      <c r="G73" s="567"/>
      <c r="H73" s="1019"/>
      <c r="I73" s="1019"/>
      <c r="J73" s="1019"/>
      <c r="K73" s="1019"/>
      <c r="L73" s="1019"/>
      <c r="M73" s="1019"/>
      <c r="N73" s="1019"/>
      <c r="O73" s="1019"/>
      <c r="P73" s="574"/>
      <c r="R73" s="574"/>
      <c r="S73" s="574"/>
      <c r="T73" s="574"/>
      <c r="U73" s="574"/>
      <c r="V73" s="574"/>
      <c r="W73" s="574"/>
      <c r="X73" s="574"/>
      <c r="Y73" s="574"/>
      <c r="Z73" s="574"/>
    </row>
    <row r="74" spans="1:26">
      <c r="A74" s="567"/>
      <c r="B74" s="567"/>
      <c r="C74" s="567"/>
      <c r="D74" s="567"/>
      <c r="E74" s="567"/>
      <c r="F74" s="567"/>
      <c r="G74" s="567"/>
      <c r="H74" s="1019"/>
      <c r="I74" s="1019"/>
      <c r="J74" s="1019"/>
      <c r="K74" s="1019"/>
      <c r="L74" s="1019"/>
      <c r="M74" s="1019"/>
      <c r="N74" s="1019"/>
      <c r="O74" s="1019"/>
      <c r="P74" s="574"/>
      <c r="R74" s="574"/>
      <c r="S74" s="574"/>
      <c r="T74" s="574"/>
      <c r="U74" s="574"/>
      <c r="V74" s="574"/>
      <c r="W74" s="574"/>
      <c r="X74" s="574"/>
      <c r="Y74" s="574"/>
      <c r="Z74" s="574"/>
    </row>
    <row r="75" spans="1:26">
      <c r="A75" s="567"/>
      <c r="B75" s="567"/>
      <c r="C75" s="567"/>
      <c r="D75" s="567"/>
      <c r="E75" s="567"/>
      <c r="F75" s="567"/>
      <c r="G75" s="567"/>
      <c r="H75" s="177"/>
      <c r="I75" s="1019"/>
      <c r="J75" s="1019"/>
      <c r="K75" s="1019"/>
      <c r="L75" s="1019"/>
      <c r="M75" s="1019"/>
      <c r="N75" s="1019"/>
      <c r="O75" s="1019"/>
      <c r="P75" s="574"/>
      <c r="R75" s="574"/>
      <c r="S75" s="574"/>
      <c r="T75" s="574"/>
      <c r="U75" s="574"/>
      <c r="V75" s="574"/>
      <c r="W75" s="574"/>
      <c r="X75" s="574"/>
      <c r="Y75" s="574"/>
      <c r="Z75" s="574"/>
    </row>
    <row r="76" spans="1:26">
      <c r="A76" s="567"/>
      <c r="B76" s="1019"/>
      <c r="C76" s="1019"/>
      <c r="D76" s="1019"/>
      <c r="E76" s="1019"/>
      <c r="F76" s="1019"/>
      <c r="G76" s="1019"/>
      <c r="H76" s="177"/>
      <c r="I76" s="177"/>
      <c r="J76" s="177"/>
      <c r="K76" s="1019"/>
      <c r="L76" s="1019"/>
      <c r="M76" s="1019"/>
      <c r="N76" s="1019"/>
      <c r="O76" s="1019"/>
      <c r="P76" s="574"/>
      <c r="R76" s="574"/>
      <c r="S76" s="574"/>
      <c r="T76" s="574"/>
      <c r="U76" s="574"/>
      <c r="V76" s="574"/>
      <c r="W76" s="574"/>
      <c r="X76" s="574"/>
      <c r="Y76" s="574"/>
      <c r="Z76" s="574"/>
    </row>
    <row r="77" spans="1:26">
      <c r="A77" s="566"/>
      <c r="B77" s="574"/>
      <c r="C77" s="574"/>
      <c r="D77" s="574"/>
      <c r="E77" s="574"/>
      <c r="F77" s="574"/>
      <c r="G77" s="574"/>
      <c r="L77" s="574"/>
      <c r="M77" s="574"/>
      <c r="N77" s="574"/>
      <c r="O77" s="574"/>
      <c r="P77" s="574"/>
      <c r="Z77" s="574"/>
    </row>
    <row r="78" spans="1:26">
      <c r="A78" s="566"/>
      <c r="B78" s="574"/>
      <c r="C78" s="574"/>
      <c r="D78" s="574"/>
      <c r="E78" s="574"/>
      <c r="F78" s="574"/>
      <c r="G78" s="574"/>
      <c r="L78" s="574"/>
      <c r="M78" s="574"/>
      <c r="N78" s="574"/>
      <c r="O78" s="574"/>
      <c r="P78" s="574"/>
      <c r="Z78" s="574"/>
    </row>
    <row r="79" spans="1:26">
      <c r="A79" s="566"/>
      <c r="B79" s="574"/>
      <c r="C79" s="574"/>
      <c r="D79" s="574"/>
      <c r="E79" s="574"/>
      <c r="F79" s="574"/>
      <c r="G79" s="574"/>
      <c r="Z79" s="574"/>
    </row>
    <row r="80" spans="1:26">
      <c r="A80" s="574"/>
      <c r="B80" s="574"/>
      <c r="C80" s="574"/>
      <c r="D80" s="574"/>
      <c r="E80" s="574"/>
      <c r="F80" s="574"/>
      <c r="G80" s="574"/>
      <c r="Z80" s="574"/>
    </row>
    <row r="81" spans="1:26">
      <c r="A81" s="574"/>
      <c r="B81" s="574"/>
      <c r="C81" s="574"/>
      <c r="D81" s="574"/>
      <c r="E81" s="574"/>
      <c r="F81" s="574"/>
      <c r="G81" s="574"/>
      <c r="Z81" s="574"/>
    </row>
    <row r="82" spans="1:26">
      <c r="A82" s="574"/>
      <c r="Z82" s="574"/>
    </row>
    <row r="83" spans="1:26">
      <c r="A83" s="574"/>
      <c r="Z83" s="574"/>
    </row>
    <row r="84" spans="1:26">
      <c r="A84" s="574"/>
      <c r="Z84" s="574"/>
    </row>
    <row r="85" spans="1:26">
      <c r="A85" s="574"/>
    </row>
  </sheetData>
  <sortState xmlns:xlrd2="http://schemas.microsoft.com/office/spreadsheetml/2017/richdata2" ref="A77:B81">
    <sortCondition descending="1" ref="A77:A81"/>
  </sortState>
  <mergeCells count="58">
    <mergeCell ref="G63:J64"/>
    <mergeCell ref="L18:M18"/>
    <mergeCell ref="I13:J13"/>
    <mergeCell ref="I14:J14"/>
    <mergeCell ref="I15:J15"/>
    <mergeCell ref="I16:J16"/>
    <mergeCell ref="I17:J17"/>
    <mergeCell ref="L13:M13"/>
    <mergeCell ref="L14:M14"/>
    <mergeCell ref="L15:M15"/>
    <mergeCell ref="L16:M16"/>
    <mergeCell ref="L17:M17"/>
    <mergeCell ref="L31:N31"/>
    <mergeCell ref="L32:N32"/>
    <mergeCell ref="K19:M19"/>
    <mergeCell ref="G58:J59"/>
    <mergeCell ref="C16:D16"/>
    <mergeCell ref="C17:D17"/>
    <mergeCell ref="B58:E58"/>
    <mergeCell ref="C14:D14"/>
    <mergeCell ref="I18:J18"/>
    <mergeCell ref="C18:D18"/>
    <mergeCell ref="F18:G18"/>
    <mergeCell ref="F27:G27"/>
    <mergeCell ref="D27:E27"/>
    <mergeCell ref="B27:C27"/>
    <mergeCell ref="Q11:Q13"/>
    <mergeCell ref="L33:N33"/>
    <mergeCell ref="L34:N34"/>
    <mergeCell ref="N47:Q47"/>
    <mergeCell ref="B39:E39"/>
    <mergeCell ref="B38:E38"/>
    <mergeCell ref="I35:J36"/>
    <mergeCell ref="I33:J34"/>
    <mergeCell ref="B47:E47"/>
    <mergeCell ref="F47:I47"/>
    <mergeCell ref="J47:M47"/>
    <mergeCell ref="B46:Q46"/>
    <mergeCell ref="N12:P12"/>
    <mergeCell ref="I29:J30"/>
    <mergeCell ref="I31:J32"/>
    <mergeCell ref="C15:D15"/>
    <mergeCell ref="B62:E62"/>
    <mergeCell ref="L12:M12"/>
    <mergeCell ref="L29:N29"/>
    <mergeCell ref="L30:N30"/>
    <mergeCell ref="B19:D19"/>
    <mergeCell ref="B12:D12"/>
    <mergeCell ref="H12:J12"/>
    <mergeCell ref="E19:G19"/>
    <mergeCell ref="E12:G12"/>
    <mergeCell ref="H19:J19"/>
    <mergeCell ref="F13:G13"/>
    <mergeCell ref="F14:G14"/>
    <mergeCell ref="F15:G15"/>
    <mergeCell ref="F16:G16"/>
    <mergeCell ref="F17:G17"/>
    <mergeCell ref="C13:D13"/>
  </mergeCells>
  <phoneticPr fontId="107" type="noConversion"/>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B12:Z43"/>
  <sheetViews>
    <sheetView topLeftCell="A10" workbookViewId="0">
      <selection activeCell="Z21" sqref="Z21"/>
    </sheetView>
  </sheetViews>
  <sheetFormatPr baseColWidth="10" defaultColWidth="8.83203125" defaultRowHeight="15"/>
  <cols>
    <col min="2" max="2" width="13.1640625" customWidth="1"/>
    <col min="5" max="5" width="8.83203125" style="938"/>
    <col min="6" max="6" width="19.1640625" customWidth="1"/>
    <col min="8" max="8" width="7.33203125" customWidth="1"/>
    <col min="9" max="9" width="10.83203125" customWidth="1"/>
    <col min="10" max="10" width="17.1640625" customWidth="1"/>
    <col min="11" max="11" width="12.33203125" customWidth="1"/>
    <col min="12" max="12" width="18.5" customWidth="1"/>
    <col min="13" max="13" width="18.33203125" customWidth="1"/>
    <col min="14" max="14" width="10.83203125" bestFit="1" customWidth="1"/>
    <col min="15" max="15" width="26" customWidth="1"/>
    <col min="16" max="16" width="14.5" customWidth="1"/>
    <col min="17" max="17" width="16.83203125" customWidth="1"/>
    <col min="18" max="18" width="28.5" customWidth="1"/>
    <col min="19" max="19" width="16" customWidth="1"/>
    <col min="21" max="21" width="17.83203125" customWidth="1"/>
    <col min="22" max="22" width="9.5" bestFit="1" customWidth="1"/>
    <col min="23" max="23" width="15.5" customWidth="1"/>
    <col min="24" max="24" width="16.6640625" customWidth="1"/>
    <col min="25" max="25" width="11.83203125" bestFit="1" customWidth="1"/>
  </cols>
  <sheetData>
    <row r="12" spans="2:26">
      <c r="C12" s="1343"/>
      <c r="D12" s="544"/>
      <c r="E12" s="544"/>
      <c r="F12" s="544"/>
      <c r="G12" s="544"/>
      <c r="H12" s="544"/>
      <c r="I12" s="544"/>
      <c r="J12" s="544"/>
      <c r="K12" s="544"/>
      <c r="L12" s="938"/>
      <c r="M12" s="938"/>
      <c r="N12" s="938"/>
      <c r="O12" s="938"/>
    </row>
    <row r="13" spans="2:26" ht="16" thickBot="1">
      <c r="C13" s="1343"/>
      <c r="D13" s="544"/>
      <c r="E13" s="544"/>
      <c r="F13" s="544"/>
      <c r="G13" s="544"/>
      <c r="H13" s="544"/>
      <c r="I13" s="544"/>
      <c r="J13" s="544"/>
      <c r="K13" s="544"/>
      <c r="L13" s="938"/>
      <c r="M13" s="938"/>
      <c r="N13" s="938"/>
      <c r="O13" s="938"/>
    </row>
    <row r="14" spans="2:26" ht="57" thickBot="1">
      <c r="B14" s="1348" t="s">
        <v>824</v>
      </c>
      <c r="C14" s="1429" t="s">
        <v>857</v>
      </c>
      <c r="D14" s="1430">
        <v>4046.86</v>
      </c>
      <c r="E14" s="1430"/>
      <c r="F14" s="1431">
        <f>MAX(C17:C21)/MIN(C17:C21)</f>
        <v>100.59700059905892</v>
      </c>
      <c r="G14" s="1432" t="s">
        <v>143</v>
      </c>
      <c r="H14" s="1430">
        <v>453.59</v>
      </c>
      <c r="I14" s="1431">
        <f>MAX(G17:G21)/MIN(G17:G21)</f>
        <v>31.80157757619958</v>
      </c>
      <c r="J14" s="706"/>
      <c r="K14" s="1363"/>
      <c r="L14" s="926">
        <f>MAX(J17:J21)/MIN(J17:J21)</f>
        <v>13.39389534883721</v>
      </c>
      <c r="M14" s="706"/>
      <c r="N14" s="1363"/>
      <c r="O14" s="926">
        <f>MAX(M17:M21)/MIN(M17:M21)</f>
        <v>14.812445738428162</v>
      </c>
      <c r="P14" s="1365"/>
      <c r="Q14" s="1363"/>
      <c r="R14" s="926">
        <f>MAX(P17:P21)/MIN(P17:P21)</f>
        <v>20.816479741894359</v>
      </c>
      <c r="S14" s="1365"/>
      <c r="T14" s="1363"/>
      <c r="U14" s="1364"/>
      <c r="V14" s="1365"/>
      <c r="W14" s="1363"/>
      <c r="X14" s="1364"/>
      <c r="Y14" s="1365"/>
      <c r="Z14" s="1532"/>
    </row>
    <row r="15" spans="2:26" ht="29.25" customHeight="1" thickBot="1">
      <c r="B15" s="1349"/>
      <c r="C15" s="1723" t="s">
        <v>816</v>
      </c>
      <c r="D15" s="1820"/>
      <c r="E15" s="1820"/>
      <c r="F15" s="1821"/>
      <c r="G15" s="1822" t="s">
        <v>817</v>
      </c>
      <c r="H15" s="1823"/>
      <c r="I15" s="1824"/>
      <c r="J15" s="1840" t="s">
        <v>818</v>
      </c>
      <c r="K15" s="1840"/>
      <c r="L15" s="1841"/>
      <c r="M15" s="1827" t="s">
        <v>825</v>
      </c>
      <c r="N15" s="1828"/>
      <c r="O15" s="1829"/>
      <c r="P15" s="1848" t="s">
        <v>826</v>
      </c>
      <c r="Q15" s="1849"/>
      <c r="R15" s="1850"/>
      <c r="S15" s="1805" t="s">
        <v>921</v>
      </c>
      <c r="T15" s="1806"/>
      <c r="U15" s="1806"/>
      <c r="V15" s="1806"/>
      <c r="W15" s="1806"/>
      <c r="X15" s="1806"/>
      <c r="Y15" s="1807"/>
      <c r="Z15" s="1808"/>
    </row>
    <row r="16" spans="2:26" ht="16" thickBot="1">
      <c r="B16" s="1350"/>
      <c r="C16" s="1448" t="s">
        <v>740</v>
      </c>
      <c r="D16" s="1842" t="s">
        <v>257</v>
      </c>
      <c r="E16" s="1843"/>
      <c r="F16" s="1449" t="s">
        <v>829</v>
      </c>
      <c r="G16" s="1450" t="s">
        <v>740</v>
      </c>
      <c r="H16" s="1842" t="s">
        <v>257</v>
      </c>
      <c r="I16" s="1843"/>
      <c r="J16" s="1451" t="s">
        <v>740</v>
      </c>
      <c r="K16" s="1842" t="s">
        <v>257</v>
      </c>
      <c r="L16" s="1844"/>
      <c r="M16" s="1450" t="s">
        <v>740</v>
      </c>
      <c r="N16" s="1842" t="s">
        <v>257</v>
      </c>
      <c r="O16" s="1845"/>
      <c r="P16" s="1448" t="s">
        <v>740</v>
      </c>
      <c r="Q16" s="1452" t="s">
        <v>257</v>
      </c>
      <c r="R16" s="1534" t="s">
        <v>828</v>
      </c>
      <c r="S16" s="1540" t="s">
        <v>918</v>
      </c>
      <c r="T16" s="1541" t="s">
        <v>257</v>
      </c>
      <c r="U16" s="1551" t="s">
        <v>919</v>
      </c>
      <c r="V16" s="1541" t="s">
        <v>922</v>
      </c>
      <c r="W16" s="1540" t="s">
        <v>920</v>
      </c>
      <c r="X16" s="1552" t="s">
        <v>923</v>
      </c>
      <c r="Y16" s="1539" t="s">
        <v>586</v>
      </c>
      <c r="Z16" s="1533" t="s">
        <v>257</v>
      </c>
    </row>
    <row r="17" spans="2:26">
      <c r="B17" s="1426" t="s">
        <v>464</v>
      </c>
      <c r="C17" s="1433">
        <f>PartitioningResources!K6*PartitioningPerCal!C11/'USA Cal-Protein Intake'!S25</f>
        <v>3273.2254414656168</v>
      </c>
      <c r="D17" s="1851">
        <f>C17*SQRT(PartitioningResources!L6^2/PartitioningResources!K6^2+'USA Cal-Protein Intake'!S26^2/'USA Cal-Protein Intake'!S25^2)</f>
        <v>577.28645896662067</v>
      </c>
      <c r="E17" s="1852"/>
      <c r="F17" s="1434" t="s">
        <v>830</v>
      </c>
      <c r="G17" s="1435">
        <f>1000*PartitioningResources!U6/'USA Cal-Protein Intake'!S25</f>
        <v>36676.230840290002</v>
      </c>
      <c r="H17" s="1854">
        <f>G17*SQRT(PartitioningResources!V6^2/PartitioningResources!U6^2+'USA Cal-Protein Intake'!S$26^2/'USA Cal-Protein Intake'!S$25^2)</f>
        <v>7794.8655459634483</v>
      </c>
      <c r="I17" s="1855"/>
      <c r="J17" s="1436">
        <f>'GHG Animals'!E63*'USA Cal-Protein Intake'!S23/'USA Cal-Protein Intake'!S24</f>
        <v>214.30232558139537</v>
      </c>
      <c r="K17" s="1856">
        <f>J17*SQRT('GHG Animals'!D21^2/'GHG Animals'!C21^2+'GHG Animals'!K9^2/'GHG Animals'!J9^2+('USA Cal-Protein Intake'!S24*10%)^2/'USA Cal-Protein Intake'!S24^2)</f>
        <v>51.334583847813668</v>
      </c>
      <c r="L17" s="1857"/>
      <c r="M17" s="1435">
        <f>PartitioningPerCal!F11*PartitioningResources!AE6/'USA Cal-Protein Intake'!S25</f>
        <v>3927.0459703397592</v>
      </c>
      <c r="N17" s="1854">
        <f>M17*SQRT(PartitioningResources!AF6^2/PartitioningResources!AE6^2+'USA Cal-Protein Intake'!S26^2/'USA Cal-Protein Intake'!S25^2)</f>
        <v>802.84342116310972</v>
      </c>
      <c r="O17" s="1855"/>
      <c r="P17" s="1437">
        <f>2.204*1/((PartitioningResources!AY6)/'USA Cal-Protein Intake'!S25)</f>
        <v>1.6596625337839579E-2</v>
      </c>
      <c r="Q17" s="1437">
        <f>P17*SQRT(PartitioningResources!AZ6^2/PartitioningResources!AY6^2+'USA Cal-Protein Intake'!S26^2/'USA Cal-Protein Intake'!S25^2)</f>
        <v>4.308866616858178E-3</v>
      </c>
      <c r="R17" s="1535" t="s">
        <v>914</v>
      </c>
      <c r="S17" s="1550">
        <f>PartitioningResources!AG6*PartitioningResources!B21/'USA Cal-Protein Intake'!S25</f>
        <v>173.86459474695624</v>
      </c>
      <c r="T17" s="1613">
        <f>S17*SQRT(PartitioningResources!AH6^2/PartitioningResources!AG6^2+'USA Cal-Protein Intake'!S26^2/'USA Cal-Protein Intake'!S25^2)</f>
        <v>97.99177219970683</v>
      </c>
      <c r="U17" s="1614">
        <f>PartitioningResources!AI6*PartitioningResources!B21/'USA Cal-Protein Intake'!S25</f>
        <v>355.45844320392627</v>
      </c>
      <c r="V17" s="1615">
        <f>U17*SQRT(PartitioningResources!AJ6^2/PartitioningResources!AI6^2+'USA Cal-Protein Intake'!S26^2/'USA Cal-Protein Intake'!S25^2)</f>
        <v>87.717138320729234</v>
      </c>
      <c r="W17" s="1615">
        <f>PartitioningResources!AK6*PartitioningResources!B21/'USA Cal-Protein Intake'!S25</f>
        <v>279.42302837467446</v>
      </c>
      <c r="X17" s="1616">
        <f>W17*SQRT(PartitioningResources!AL6^2/PartitioningResources!AK6^2+'USA Cal-Protein Intake'!S26^2/'USA Cal-Protein Intake'!S25^2)</f>
        <v>99.733043808750935</v>
      </c>
      <c r="Y17" s="1550">
        <f>SUM(S17,U17,W17)</f>
        <v>808.74606632555697</v>
      </c>
      <c r="Z17" s="1619">
        <f>SQRT(T17^2+V17^2+X17^2)</f>
        <v>165.05563850221967</v>
      </c>
    </row>
    <row r="18" spans="2:26">
      <c r="B18" s="1427" t="s">
        <v>110</v>
      </c>
      <c r="C18" s="1438">
        <f>PartitioningPerCal!C11*PartitioningResources!K7/'USA Cal-Protein Intake'!U25</f>
        <v>46.882645178959763</v>
      </c>
      <c r="D18" s="1853">
        <f>C18*SQRT(PartitioningResources!L7^2/PartitioningResources!K7^2+'USA Cal-Protein Intake'!U26^2/'USA Cal-Protein Intake'!U25^2)</f>
        <v>14.624108019260834</v>
      </c>
      <c r="E18" s="1839"/>
      <c r="F18" s="1439" t="s">
        <v>831</v>
      </c>
      <c r="G18" s="1440">
        <f>1000*PartitioningResources!U7/'USA Cal-Protein Intake'!U25</f>
        <v>1661.7177313952391</v>
      </c>
      <c r="H18" s="1834">
        <f>G18*SQRT(PartitioningResources!V7^2/PartitioningResources!U7^2+'USA Cal-Protein Intake'!U$26^2/'USA Cal-Protein Intake'!U$25^2)</f>
        <v>555.01960022717697</v>
      </c>
      <c r="I18" s="1835"/>
      <c r="J18" s="1441">
        <f>'GHG Animals'!E64*'USA Cal-Protein Intake'!U23/'USA Cal-Protein Intake'!U24</f>
        <v>19.553571428571427</v>
      </c>
      <c r="K18" s="1836">
        <f>J18*SQRT('GHG Animals'!D28^2/'GHG Animals'!C28^2+'GHG Animals'!K10^2/'GHG Animals'!J10^2+('USA Cal-Protein Intake'!U24*10%)^2/'USA Cal-Protein Intake'!U24^2)</f>
        <v>3.3867779183712869</v>
      </c>
      <c r="L18" s="1837"/>
      <c r="M18" s="1440">
        <f>PartitioningPerCal!F11*PartitioningResources!AE7/'USA Cal-Protein Intake'!U25</f>
        <v>381.99742358298437</v>
      </c>
      <c r="N18" s="1834">
        <f>M18*SQRT(PartitioningResources!AF7^2/PartitioningResources!AE7^2+'USA Cal-Protein Intake'!U26^2/'USA Cal-Protein Intake'!U25^2)</f>
        <v>131.26064616024843</v>
      </c>
      <c r="O18" s="1835"/>
      <c r="P18" s="1442">
        <f>2.204*1/((PartitioningResources!AY7)/'USA Cal-Protein Intake'!U25)</f>
        <v>0.23977608078994142</v>
      </c>
      <c r="Q18" s="1442">
        <f>P18*SQRT(PartitioningResources!AZ7^2/PartitioningResources!AY7^2+'USA Cal-Protein Intake'!U26^2/'USA Cal-Protein Intake'!U25^2)</f>
        <v>6.5012450790194548E-2</v>
      </c>
      <c r="R18" s="1536" t="s">
        <v>915</v>
      </c>
      <c r="S18" s="1544">
        <f>PartitioningResources!AG7*PartitioningResources!B22/'USA Cal-Protein Intake'!U25</f>
        <v>100.62688763082738</v>
      </c>
      <c r="T18" s="1542">
        <f>S18*SQRT(PartitioningResources!AH7^2/PartitioningResources!AG7^2+'USA Cal-Protein Intake'!U26^2/'USA Cal-Protein Intake'!U25^2)</f>
        <v>31.022273397278123</v>
      </c>
      <c r="U18" s="1546"/>
      <c r="V18" s="1547"/>
      <c r="W18" s="1547"/>
      <c r="X18" s="1617"/>
      <c r="Y18" s="1544">
        <f>PartitioningResources!AO7/'USA Cal-Protein Intake'!U25</f>
        <v>100.62688763082738</v>
      </c>
      <c r="Z18" s="1620">
        <f t="shared" ref="Z18:Z21" si="0">SQRT(T18^2+V18^2+X18^2)</f>
        <v>31.022273397278123</v>
      </c>
    </row>
    <row r="19" spans="2:26">
      <c r="B19" s="1427" t="s">
        <v>222</v>
      </c>
      <c r="C19" s="1438">
        <f>PartitioningPerCal!C11*PartitioningResources!K8/'USA Cal-Protein Intake'!W25</f>
        <v>109.36400794408326</v>
      </c>
      <c r="D19" s="1853">
        <f>C19*SQRT(PartitioningResources!L8^2/PartitioningResources!K8^2+'USA Cal-Protein Intake'!W26^2/'USA Cal-Protein Intake'!W25^2)</f>
        <v>52.065977912327732</v>
      </c>
      <c r="E19" s="1839"/>
      <c r="F19" s="1439" t="s">
        <v>832</v>
      </c>
      <c r="G19" s="1440">
        <f>1000*PartitioningResources!U8/'USA Cal-Protein Intake'!W25</f>
        <v>3876.3194884466889</v>
      </c>
      <c r="H19" s="1834">
        <f>G19*SQRT(PartitioningResources!V8^2/PartitioningResources!U8^2+'USA Cal-Protein Intake'!W$26^2/'USA Cal-Protein Intake'!W$25^2)</f>
        <v>1902.5969782577661</v>
      </c>
      <c r="I19" s="1835"/>
      <c r="J19" s="1441">
        <f>'GHG Animals'!E65*'USA Cal-Protein Intake'!W23/'USA Cal-Protein Intake'!W24</f>
        <v>42.247304582210226</v>
      </c>
      <c r="K19" s="1836">
        <f>J19*SQRT('GHG Animals'!D35^2/'GHG Animals'!C35^2+'GHG Animals'!K11^2/'GHG Animals'!J11^2+('USA Cal-Protein Intake'!W24*10%)^2/'USA Cal-Protein Intake'!W24^2)</f>
        <v>7.3174478019225555</v>
      </c>
      <c r="L19" s="1837"/>
      <c r="M19" s="1440">
        <f>PartitioningPerCal!F11*PartitioningResources!AE8/'USA Cal-Protein Intake'!W25</f>
        <v>891.0924097366767</v>
      </c>
      <c r="N19" s="1834">
        <f>M19*SQRT(PartitioningResources!AF8^2/PartitioningResources!AE8^2+'USA Cal-Protein Intake'!W26^2/'USA Cal-Protein Intake'!W25^2)</f>
        <v>443.24462104661086</v>
      </c>
      <c r="O19" s="1835"/>
      <c r="P19" s="1442">
        <f>2.204*1/((PartitioningResources!AY8)/'USA Cal-Protein Intake'!W25)</f>
        <v>0.10278826763393674</v>
      </c>
      <c r="Q19" s="1442">
        <f>P19*SQRT(PartitioningResources!AZ8^2/PartitioningResources!AY8^2+'USA Cal-Protein Intake'!W26^2/'USA Cal-Protein Intake'!W25^2)</f>
        <v>2.4441410255861332E-2</v>
      </c>
      <c r="R19" s="1537" t="s">
        <v>913</v>
      </c>
      <c r="S19" s="1544">
        <f>PartitioningResources!AG8*PartitioningResources!B23/'USA Cal-Protein Intake'!W25</f>
        <v>234.73418993826402</v>
      </c>
      <c r="T19" s="1542">
        <f>S19*SQRT(PartitioningResources!AH8^2/PartitioningResources!AG8^2+'USA Cal-Protein Intake'!W26^2/'USA Cal-Protein Intake'!W25^2)</f>
        <v>111.19421477874228</v>
      </c>
      <c r="U19" s="1546"/>
      <c r="V19" s="1547"/>
      <c r="W19" s="1547"/>
      <c r="X19" s="1617"/>
      <c r="Y19" s="1544">
        <f>PartitioningResources!AO8/'USA Cal-Protein Intake'!W25</f>
        <v>234.73418993826402</v>
      </c>
      <c r="Z19" s="1620">
        <f t="shared" si="0"/>
        <v>111.19421477874228</v>
      </c>
    </row>
    <row r="20" spans="2:26">
      <c r="B20" s="1427" t="s">
        <v>223</v>
      </c>
      <c r="C20" s="1438">
        <f>PartitioningPerCal!C11*(PartitioningResources!K9)/'USA Cal-Protein Intake'!Y25</f>
        <v>32.538002345730355</v>
      </c>
      <c r="D20" s="1838">
        <f>C20*SQRT((PartitioningResources!L9^2/PartitioningResources!K9^2+'USA Cal-Protein Intake'!Y26^2/'USA Cal-Protein Intake'!Y25^2))</f>
        <v>16.317040367621704</v>
      </c>
      <c r="E20" s="1839"/>
      <c r="F20" s="1439" t="s">
        <v>833</v>
      </c>
      <c r="G20" s="1440">
        <f>1000*(PartitioningResources!U9)/'USA Cal-Protein Intake'!Y25</f>
        <v>1153.2833788641551</v>
      </c>
      <c r="H20" s="1834">
        <f>G20*SQRT((PartitioningResources!V9^2/PartitioningResources!U9^2+'USA Cal-Protein Intake'!Y$26^2/'USA Cal-Protein Intake'!Y$25^2))</f>
        <v>594.51345467428757</v>
      </c>
      <c r="I20" s="1835"/>
      <c r="J20" s="1441">
        <f>'GHG Animals'!E66*'USA Cal-Protein Intake'!Y23/'USA Cal-Protein Intake'!Y24</f>
        <v>16</v>
      </c>
      <c r="K20" s="1836">
        <f>J20*SQRT('GHG Animals'!D41^2/'GHG Animals'!C41^2+'GHG Animals'!K12^2/'GHG Animals'!J12^2+('USA Cal-Protein Intake'!Y24*10%)^2/'USA Cal-Protein Intake'!Y24^2)</f>
        <v>2.7712812921102037</v>
      </c>
      <c r="L20" s="1837"/>
      <c r="M20" s="1440">
        <f>PartitioningPerCal!F11*(PartitioningResources!AE9)/'USA Cal-Protein Intake'!Y25</f>
        <v>265.11799872128893</v>
      </c>
      <c r="N20" s="1834">
        <f>M20*SQRT(PartitioningResources!AF9^2/PartitioningResources!AE9^2+'USA Cal-Protein Intake'!Y26^2/'USA Cal-Protein Intake'!Y25^2)</f>
        <v>138.33229875284681</v>
      </c>
      <c r="O20" s="1835"/>
      <c r="P20" s="1442">
        <f>2.204*1/((PartitioningResources!AY9)/'USA Cal-Protein Intake'!Y25)</f>
        <v>0.3454833151289482</v>
      </c>
      <c r="Q20" s="1442">
        <f>P20*SQRT(PartitioningResources!AZ9^2/PartitioningResources!AY9^2+'USA Cal-Protein Intake'!Y26^2/'USA Cal-Protein Intake'!Y25^2)</f>
        <v>0.146811747870221</v>
      </c>
      <c r="R20" s="1536" t="s">
        <v>916</v>
      </c>
      <c r="S20" s="1544">
        <f>PartitioningResources!AG9*PartitioningResources!B24/'USA Cal-Protein Intake'!Y25</f>
        <v>69.838164917469669</v>
      </c>
      <c r="T20" s="1542">
        <f>S20*SQRT(PartitioningResources!AH9^2/PartitioningResources!AG9^2+'USA Cal-Protein Intake'!Y26^2/'USA Cal-Protein Intake'!Y25^2)</f>
        <v>34.864634978745954</v>
      </c>
      <c r="U20" s="1546"/>
      <c r="V20" s="1547"/>
      <c r="W20" s="1547"/>
      <c r="X20" s="1617"/>
      <c r="Y20" s="1544">
        <f>PartitioningResources!AO9/'USA Cal-Protein Intake'!Y25</f>
        <v>69.838164917469669</v>
      </c>
      <c r="Z20" s="1620">
        <f t="shared" si="0"/>
        <v>34.864634978745954</v>
      </c>
    </row>
    <row r="21" spans="2:26" ht="16" thickBot="1">
      <c r="B21" s="1428" t="s">
        <v>465</v>
      </c>
      <c r="C21" s="1443">
        <f>PartitioningPerCal!C11*(PartitioningResources!K10)/'USA Cal-Protein Intake'!AA25</f>
        <v>151.84090011044918</v>
      </c>
      <c r="D21" s="1825">
        <f>C21*SQRT((PartitioningResources!L10^2/PartitioningResources!K10^2+'USA Cal-Protein Intake'!AA26^2/'USA Cal-Protein Intake'!AA25^2))</f>
        <v>64.094266479379584</v>
      </c>
      <c r="E21" s="1826"/>
      <c r="F21" s="1444" t="s">
        <v>834</v>
      </c>
      <c r="G21" s="1445">
        <f>1000*(PartitioningResources!U10)/'USA Cal-Protein Intake'!AA25</f>
        <v>2977.3175696431285</v>
      </c>
      <c r="H21" s="1830">
        <f>G21*((PartitioningResources!V10^2/PartitioningResources!U10^2+'USA Cal-Protein Intake'!AA$26^2/'USA Cal-Protein Intake'!AA$25^2))</f>
        <v>231.84131642284316</v>
      </c>
      <c r="I21" s="1831"/>
      <c r="J21" s="1446">
        <f>'GHG Animals'!E67*'USA Cal-Protein Intake'!AA23/'USA Cal-Protein Intake'!AA24</f>
        <v>32.285714285714285</v>
      </c>
      <c r="K21" s="1832">
        <f>J21*SQRT('GHG Animals'!D48^2/'GHG Animals'!C48^2+'GHG Animals'!K8^2/'GHG Animals'!J8^2+('USA Cal-Protein Intake'!AA24*10%)^2/'USA Cal-Protein Intake'!AA24^2)</f>
        <v>5.5920497501509479</v>
      </c>
      <c r="L21" s="1833"/>
      <c r="M21" s="1445">
        <f>PartitioningPerCal!F11*(PartitioningResources!AE10)/'USA Cal-Protein Intake'!AA25</f>
        <v>446.58222917857813</v>
      </c>
      <c r="N21" s="1830">
        <f>M21*SQRT(PartitioningResources!AF10^2/PartitioningResources!AE10^2+'USA Cal-Protein Intake'!AA26^2/'USA Cal-Protein Intake'!AA25^2)</f>
        <v>125.91297835127062</v>
      </c>
      <c r="O21" s="1831"/>
      <c r="P21" s="1447">
        <f>2.204*1/((PartitioningResources!AY10)/'USA Cal-Protein Intake'!AA25)</f>
        <v>0.11796585862065269</v>
      </c>
      <c r="Q21" s="1447">
        <f>P21*SQRT(PartitioningResources!AZ10^2/PartitioningResources!AY10^2+'USA Cal-Protein Intake'!AA26^2/'USA Cal-Protein Intake'!AA25^2)</f>
        <v>4.5768905512750965E-2</v>
      </c>
      <c r="R21" s="1538" t="s">
        <v>916</v>
      </c>
      <c r="S21" s="1545">
        <f>PartitioningResources!AG10*PartitioningResources!B25/'USA Cal-Protein Intake'!AA25</f>
        <v>71.75734350209953</v>
      </c>
      <c r="T21" s="1543">
        <f>S21*SQRT(PartitioningResources!AH10^2/PartitioningResources!AG10^2+'USA Cal-Protein Intake'!AA26^2/'USA Cal-Protein Intake'!AA25^2)</f>
        <v>24.323572421169629</v>
      </c>
      <c r="U21" s="1548">
        <f>PartitioningResources!AI10*PartitioningResources!B25/'USA Cal-Protein Intake'!AA25</f>
        <v>20.482062731949252</v>
      </c>
      <c r="V21" s="1549">
        <f>U21*SQRT(PartitioningResources!AJ10^2/PartitioningResources!AI10^2+'USA Cal-Protein Intake'!AA26^2/'USA Cal-Protein Intake'!AA25^2)</f>
        <v>8.2260028692051108</v>
      </c>
      <c r="W21" s="1549">
        <f>PartitioningResources!AK10*PartitioningResources!B25/'USA Cal-Protein Intake'!AA25</f>
        <v>9.8557019492029525</v>
      </c>
      <c r="X21" s="1618">
        <f>W21*SQRT(PartitioningResources!AL10^2/PartitioningResources!AK10^2+'USA Cal-Protein Intake'!AA26^2/'USA Cal-Protein Intake'!AA25^2)</f>
        <v>6.5525894822714701</v>
      </c>
      <c r="Y21" s="1545">
        <f>SUM(S21,U21,W21)</f>
        <v>102.09510818325174</v>
      </c>
      <c r="Z21" s="1621">
        <f t="shared" si="0"/>
        <v>26.499806177691738</v>
      </c>
    </row>
    <row r="22" spans="2:26">
      <c r="C22" s="938"/>
      <c r="D22" s="938"/>
      <c r="F22" s="938"/>
      <c r="G22" s="938"/>
      <c r="H22" s="938"/>
      <c r="I22" s="938"/>
      <c r="J22" s="572"/>
      <c r="K22" s="568"/>
      <c r="L22" s="938"/>
      <c r="M22" s="938"/>
      <c r="N22" s="938"/>
      <c r="O22" s="938"/>
    </row>
    <row r="24" spans="2:26">
      <c r="C24" t="s">
        <v>912</v>
      </c>
    </row>
    <row r="25" spans="2:26" ht="16" thickBot="1">
      <c r="C25" t="s">
        <v>836</v>
      </c>
      <c r="D25" t="s">
        <v>837</v>
      </c>
    </row>
    <row r="26" spans="2:26" ht="16">
      <c r="B26" s="1426" t="s">
        <v>464</v>
      </c>
      <c r="C26">
        <v>3000</v>
      </c>
      <c r="D26">
        <v>15</v>
      </c>
      <c r="I26" s="1399"/>
      <c r="J26" s="1814" t="s">
        <v>521</v>
      </c>
      <c r="K26" s="1815"/>
      <c r="L26" s="1814" t="s">
        <v>220</v>
      </c>
      <c r="M26" s="1815"/>
      <c r="N26" s="1814" t="s">
        <v>494</v>
      </c>
      <c r="O26" s="1815"/>
      <c r="P26" s="1400" t="s">
        <v>586</v>
      </c>
      <c r="Q26" s="1401"/>
      <c r="R26" s="1402"/>
    </row>
    <row r="27" spans="2:26" ht="16">
      <c r="B27" s="1427" t="s">
        <v>110</v>
      </c>
      <c r="C27">
        <v>1800</v>
      </c>
      <c r="D27">
        <v>20</v>
      </c>
      <c r="I27" s="858"/>
      <c r="J27" s="882" t="s">
        <v>740</v>
      </c>
      <c r="K27" s="1403" t="s">
        <v>257</v>
      </c>
      <c r="L27" s="882" t="s">
        <v>740</v>
      </c>
      <c r="M27" s="1403" t="s">
        <v>257</v>
      </c>
      <c r="N27" s="882" t="s">
        <v>740</v>
      </c>
      <c r="O27" s="1403" t="s">
        <v>257</v>
      </c>
      <c r="P27" s="1030"/>
      <c r="Q27" s="856"/>
      <c r="R27" s="857"/>
    </row>
    <row r="28" spans="2:26" ht="16">
      <c r="B28" s="1427" t="s">
        <v>222</v>
      </c>
      <c r="C28">
        <v>3100</v>
      </c>
      <c r="D28">
        <v>14</v>
      </c>
      <c r="I28" s="1031" t="s">
        <v>464</v>
      </c>
      <c r="J28" s="1404">
        <f>PartitioningResources!C6*PartitioningResources!B21*PartitioningPerCal!C11/'USA Cal-Protein Intake'!S25</f>
        <v>81.004513769816967</v>
      </c>
      <c r="K28" s="1405">
        <f>J28*SQRT(PartitioningResources!D6^2/PartitioningResources!C6^2+'USA Cal-Protein Intake'!S26^2/'USA Cal-Protein Intake'!S25^2)</f>
        <v>45.816878593618021</v>
      </c>
      <c r="L28" s="1404">
        <f>PartitioningResources!E6*PartitioningResources!B21*PartitioningPerCal!C11/'USA Cal-Protein Intake'!S25</f>
        <v>260.13282230043995</v>
      </c>
      <c r="M28" s="1405">
        <f>L28*SQRT(PartitioningResources!F6^2/PartitioningResources!E6^2+'USA Cal-Protein Intake'!S26^2/'USA Cal-Protein Intake'!S25^2)</f>
        <v>53.410420833661327</v>
      </c>
      <c r="N28" s="1404">
        <f>PartitioningResources!G6*PartitioningResources!B21*PartitioningPerCal!C11/'USA Cal-Protein Intake'!S25</f>
        <v>2932.0881053953599</v>
      </c>
      <c r="O28" s="1405">
        <f>N28*SQRT(PartitioningResources!H6^2/PartitioningResources!G6^2+'USA Cal-Protein Intake'!S26^2/'USA Cal-Protein Intake'!S25^2)</f>
        <v>528.02113058946281</v>
      </c>
      <c r="P28" s="1406">
        <f>N28+L28+J28</f>
        <v>3273.2254414656168</v>
      </c>
      <c r="Q28" s="1816" t="s">
        <v>849</v>
      </c>
      <c r="R28" s="1817"/>
    </row>
    <row r="29" spans="2:26" ht="16">
      <c r="B29" s="1427" t="s">
        <v>223</v>
      </c>
      <c r="C29">
        <v>1600</v>
      </c>
      <c r="D29">
        <v>13</v>
      </c>
      <c r="I29" s="1031" t="s">
        <v>465</v>
      </c>
      <c r="J29" s="1407">
        <f>PartitioningResources!C10*PartitioningResources!B25*PartitioningPerCal!C11/'USA Cal-Protein Intake'!AA25</f>
        <v>33.432158676475261</v>
      </c>
      <c r="K29" s="1405">
        <f>J29*SQRT(PartitioningResources!D10^2/PartitioningResources!C10^2+'USA Cal-Protein Intake'!AA26^2/'USA Cal-Protein Intake'!AA25^2)</f>
        <v>11.443282614040726</v>
      </c>
      <c r="L29" s="1407">
        <f>PartitioningResources!E10*PartitioningResources!B25*PartitioningPerCal!C11/'USA Cal-Protein Intake'!AA25</f>
        <v>14.989253700016675</v>
      </c>
      <c r="M29" s="1405">
        <f>L29*SQRT(PartitioningResources!F10^2/PartitioningResources!E10^2+'USA Cal-Protein Intake'!AA26^2/'USA Cal-Protein Intake'!AA25^2)</f>
        <v>5.6594780599674257</v>
      </c>
      <c r="N29" s="1407">
        <f>PartitioningResources!G10*PartitioningResources!B25*PartitioningPerCal!C11/'USA Cal-Protein Intake'!AA25</f>
        <v>103.41948773395727</v>
      </c>
      <c r="O29" s="1405">
        <f>N29*SQRT(PartitioningResources!H10^2/PartitioningResources!G10^2+'USA Cal-Protein Intake'!AA26^2/'USA Cal-Protein Intake'!AA25^2)</f>
        <v>60.926609725667419</v>
      </c>
      <c r="P29" s="1408">
        <f t="shared" ref="P29:P33" si="1">SUM(N29+L29+J29)</f>
        <v>151.84090011044921</v>
      </c>
      <c r="Q29" s="1774"/>
      <c r="R29" s="1775"/>
    </row>
    <row r="30" spans="2:26" ht="17" thickBot="1">
      <c r="B30" s="1428" t="s">
        <v>465</v>
      </c>
      <c r="C30">
        <v>650</v>
      </c>
      <c r="D30">
        <v>3.5</v>
      </c>
      <c r="I30" s="1031" t="s">
        <v>464</v>
      </c>
      <c r="J30" s="1404">
        <f>PartitioningResources!M6*PartitioningResources!B21*1000/'USA Cal-Protein Intake'!S25</f>
        <v>2871.1399781419359</v>
      </c>
      <c r="K30" s="1405">
        <f>J30*SQRT(PartitioningResources!N6^2/PartitioningResources!M6^2+'USA Cal-Protein Intake'!S26^2/'USA Cal-Protein Intake'!S25^2)</f>
        <v>1659.736143371473</v>
      </c>
      <c r="L30" s="1404">
        <f>PartitioningResources!O6*PartitioningResources!B21*1000/'USA Cal-Protein Intake'!S25</f>
        <v>26844.894941352861</v>
      </c>
      <c r="M30" s="1405">
        <f>L30*SQRT(PartitioningResources!P6^2/PartitioningResources!O6^2+'USA Cal-Protein Intake'!S26^2/'USA Cal-Protein Intake'!S25^2)</f>
        <v>6420.3140848938629</v>
      </c>
      <c r="N30" s="1404">
        <f>PartitioningResources!Q6*PartitioningResources!B21*1000/'USA Cal-Protein Intake'!S25</f>
        <v>6960.1959207952077</v>
      </c>
      <c r="O30" s="1405">
        <f>N30*SQRT(PartitioningResources!R6^2/PartitioningResources!Q6^2+'USA Cal-Protein Intake'!S26^2/'USA Cal-Protein Intake'!S25^2)</f>
        <v>1739.0759692393922</v>
      </c>
      <c r="P30" s="1406">
        <f t="shared" si="1"/>
        <v>36676.230840290009</v>
      </c>
      <c r="Q30" s="1818" t="s">
        <v>850</v>
      </c>
      <c r="R30" s="1819"/>
    </row>
    <row r="31" spans="2:26" ht="16">
      <c r="I31" s="1031" t="s">
        <v>465</v>
      </c>
      <c r="J31" s="1409">
        <f>PartitioningResources!M10*PartitioningResources!B25*1000/'USA Cal-Protein Intake'!AA25</f>
        <v>1184.9760323773344</v>
      </c>
      <c r="K31" s="1405">
        <f>J31*SQRT(PartitioningResources!N10^2/PartitioningResources!M10^2+'USA Cal-Protein Intake'!AA26^2/'USA Cal-Protein Intake'!AA25^2)</f>
        <v>429.56991402313628</v>
      </c>
      <c r="L31" s="1409">
        <f>PartitioningResources!O10*PartitioningResources!B25*1000/'USA Cal-Protein Intake'!AA25</f>
        <v>1546.844174709712</v>
      </c>
      <c r="M31" s="1405">
        <f>L31*SQRT(PartitioningResources!P10^2/PartitioningResources!O10^2+'USA Cal-Protein Intake'!AA26^2/'USA Cal-Protein Intake'!AA25^2)</f>
        <v>614.08202905044391</v>
      </c>
      <c r="N31" s="1409">
        <f>PartitioningResources!Q10*PartitioningResources!B25*1000/'USA Cal-Protein Intake'!AA25</f>
        <v>245.49736255608173</v>
      </c>
      <c r="O31" s="1405">
        <f>N31*SQRT(PartitioningResources!R10^2/PartitioningResources!Q10^2+'USA Cal-Protein Intake'!AA26^2/'USA Cal-Protein Intake'!AA25^2)</f>
        <v>150.74892517937784</v>
      </c>
      <c r="P31" s="1410">
        <f t="shared" si="1"/>
        <v>2977.3175696431281</v>
      </c>
      <c r="Q31" s="1778"/>
      <c r="R31" s="1779"/>
    </row>
    <row r="32" spans="2:26" ht="16">
      <c r="I32" s="1031" t="s">
        <v>464</v>
      </c>
      <c r="J32" s="1411">
        <f>PartitioningResources!W6*PartitioningResources!B21*PartitioningPerCal!F11/'USA Cal-Protein Intake'!S25</f>
        <v>660.02068442480834</v>
      </c>
      <c r="K32" s="1405">
        <f>J32*SQRT(PartitioningResources!X6^2/PartitioningResources!W6^2+'USA Cal-Protein Intake'!S26^2/'USA Cal-Protein Intake'!S25^2)</f>
        <v>385.24263479066366</v>
      </c>
      <c r="L32" s="1404">
        <f>PartitioningResources!Y6*PartitioningResources!B21*PartitioningPerCal!F11/'USA Cal-Protein Intake'!S25</f>
        <v>2637.3883579211947</v>
      </c>
      <c r="M32" s="1405">
        <f>L32*SQRT(PartitioningResources!Z6^2/PartitioningResources!Y6^2+'USA Cal-Protein Intake'!S26^2/'USA Cal-Protein Intake'!S25^2)</f>
        <v>541.21619183444409</v>
      </c>
      <c r="N32" s="1404">
        <f>PartitioningResources!AA6*PartitioningResources!B21*PartitioningPerCal!F11/'USA Cal-Protein Intake'!S25</f>
        <v>629.63692799375644</v>
      </c>
      <c r="O32" s="1405">
        <f>N32*SQRT(PartitioningResources!AB6^2/PartitioningResources!AA6^2+'USA Cal-Protein Intake'!S26^2/'USA Cal-Protein Intake'!S25^2)</f>
        <v>135.02586877258864</v>
      </c>
      <c r="P32" s="1406">
        <f t="shared" si="1"/>
        <v>3927.0459703397596</v>
      </c>
      <c r="Q32" s="1809" t="s">
        <v>851</v>
      </c>
      <c r="R32" s="1810"/>
    </row>
    <row r="33" spans="9:18" ht="17" thickBot="1">
      <c r="I33" s="1035" t="s">
        <v>465</v>
      </c>
      <c r="J33" s="1412">
        <f>PartitioningResources!W10*PartitioningResources!B25*PartitioningPerCal!F11/'USA Cal-Protein Intake'!AA25</f>
        <v>272.4035393157061</v>
      </c>
      <c r="K33" s="1413">
        <f>J33*SQRT(PartitioningResources!X10^2/PartitioningResources!W10^2+'USA Cal-Protein Intake'!AA26^2/'USA Cal-Protein Intake'!AA25^2)</f>
        <v>101.16778809753295</v>
      </c>
      <c r="L33" s="1412">
        <f>PartitioningResources!Y10*PartitioningResources!B25*PartitioningPerCal!F11/'USA Cal-Protein Intake'!AA25</f>
        <v>151.97037748928577</v>
      </c>
      <c r="M33" s="1413">
        <f>L33*SQRT(PartitioningResources!Z10^2/PartitioningResources!Y10^2+'USA Cal-Protein Intake'!AA26^2/'USA Cal-Protein Intake'!AA25^2)</f>
        <v>57.370164835013391</v>
      </c>
      <c r="N33" s="1412">
        <f>PartitioningResources!AA10*PartitioningResources!B25*PartitioningPerCal!F11/'USA Cal-Protein Intake'!AA25</f>
        <v>22.208312373586249</v>
      </c>
      <c r="O33" s="1413">
        <f>N33*SQRT(PartitioningResources!AB10^2/PartitioningResources!AA10^2+'USA Cal-Protein Intake'!AA26^2/'USA Cal-Protein Intake'!AA25^2)</f>
        <v>13.336504707451427</v>
      </c>
      <c r="P33" s="1414">
        <f t="shared" si="1"/>
        <v>446.58222917857813</v>
      </c>
      <c r="Q33" s="1811"/>
      <c r="R33" s="1812"/>
    </row>
    <row r="34" spans="9:18" ht="16">
      <c r="I34" s="1396"/>
      <c r="J34" s="1397"/>
      <c r="K34" s="1397"/>
      <c r="L34" s="1397"/>
      <c r="M34" s="1397"/>
      <c r="N34" s="1397"/>
      <c r="O34" s="1397"/>
      <c r="P34" s="1395"/>
      <c r="Q34" s="1813"/>
      <c r="R34" s="1813"/>
    </row>
    <row r="35" spans="9:18" ht="17" thickBot="1">
      <c r="I35" s="1396"/>
      <c r="J35" s="1397"/>
      <c r="K35" s="1397"/>
      <c r="L35" s="1397"/>
      <c r="M35" s="1397"/>
      <c r="N35" s="1397"/>
      <c r="O35" s="1397"/>
      <c r="P35" s="1395"/>
      <c r="Q35" s="1813"/>
      <c r="R35" s="1813"/>
    </row>
    <row r="36" spans="9:18" ht="16" thickBot="1">
      <c r="I36" s="1381"/>
      <c r="J36" s="1754" t="s">
        <v>702</v>
      </c>
      <c r="K36" s="1755"/>
      <c r="L36" s="1755"/>
      <c r="M36" s="1756"/>
      <c r="N36" s="1398"/>
      <c r="O36" s="1398"/>
      <c r="P36" s="1398"/>
      <c r="Q36" s="1398"/>
      <c r="R36" s="1398"/>
    </row>
    <row r="37" spans="9:18" ht="16">
      <c r="I37" s="1418"/>
      <c r="J37" s="1846" t="s">
        <v>853</v>
      </c>
      <c r="K37" s="1846"/>
      <c r="L37" s="1846"/>
      <c r="M37" s="1847"/>
    </row>
    <row r="38" spans="9:18" ht="16">
      <c r="I38" s="1419"/>
      <c r="J38" s="1422" t="s">
        <v>856</v>
      </c>
      <c r="K38" s="1422" t="s">
        <v>938</v>
      </c>
      <c r="L38" s="1422" t="s">
        <v>855</v>
      </c>
      <c r="M38" s="1416" t="s">
        <v>854</v>
      </c>
    </row>
    <row r="39" spans="9:18" ht="16">
      <c r="I39" s="1420" t="s">
        <v>699</v>
      </c>
      <c r="J39" s="1217">
        <v>218</v>
      </c>
      <c r="K39" s="1214">
        <v>128</v>
      </c>
      <c r="L39" s="1214">
        <v>271</v>
      </c>
      <c r="M39" s="1215"/>
    </row>
    <row r="40" spans="9:18" ht="16">
      <c r="I40" s="1420" t="s">
        <v>705</v>
      </c>
      <c r="J40" s="1217">
        <v>16</v>
      </c>
      <c r="K40" s="1216">
        <v>8</v>
      </c>
      <c r="L40" s="1217">
        <v>34</v>
      </c>
      <c r="M40" s="1215">
        <v>279</v>
      </c>
    </row>
    <row r="41" spans="9:18" ht="16">
      <c r="I41" s="1420" t="s">
        <v>372</v>
      </c>
      <c r="J41" s="1217">
        <v>51</v>
      </c>
      <c r="K41" s="1217">
        <v>1.4</v>
      </c>
      <c r="L41" s="1217">
        <v>8</v>
      </c>
      <c r="M41" s="1417">
        <v>554</v>
      </c>
    </row>
    <row r="42" spans="9:18" ht="17" thickBot="1">
      <c r="I42" s="1421" t="s">
        <v>706</v>
      </c>
      <c r="J42" s="1219">
        <v>33</v>
      </c>
      <c r="K42" s="1219">
        <v>21</v>
      </c>
      <c r="L42" s="1219">
        <v>87</v>
      </c>
      <c r="M42" s="1220">
        <v>294</v>
      </c>
    </row>
    <row r="43" spans="9:18" ht="16">
      <c r="L43" s="1415"/>
    </row>
  </sheetData>
  <mergeCells count="39">
    <mergeCell ref="J36:M36"/>
    <mergeCell ref="J37:M37"/>
    <mergeCell ref="P15:R15"/>
    <mergeCell ref="D16:E16"/>
    <mergeCell ref="D17:E17"/>
    <mergeCell ref="D18:E18"/>
    <mergeCell ref="H19:I19"/>
    <mergeCell ref="K19:L19"/>
    <mergeCell ref="N19:O19"/>
    <mergeCell ref="D19:E19"/>
    <mergeCell ref="H17:I17"/>
    <mergeCell ref="K17:L17"/>
    <mergeCell ref="N17:O17"/>
    <mergeCell ref="H18:I18"/>
    <mergeCell ref="K18:L18"/>
    <mergeCell ref="N18:O18"/>
    <mergeCell ref="C15:F15"/>
    <mergeCell ref="G15:I15"/>
    <mergeCell ref="D21:E21"/>
    <mergeCell ref="M15:O15"/>
    <mergeCell ref="H21:I21"/>
    <mergeCell ref="K21:L21"/>
    <mergeCell ref="N21:O21"/>
    <mergeCell ref="H20:I20"/>
    <mergeCell ref="K20:L20"/>
    <mergeCell ref="N20:O20"/>
    <mergeCell ref="D20:E20"/>
    <mergeCell ref="J15:L15"/>
    <mergeCell ref="H16:I16"/>
    <mergeCell ref="K16:L16"/>
    <mergeCell ref="N16:O16"/>
    <mergeCell ref="S15:Z15"/>
    <mergeCell ref="Q32:R33"/>
    <mergeCell ref="Q34:R35"/>
    <mergeCell ref="J26:K26"/>
    <mergeCell ref="L26:M26"/>
    <mergeCell ref="N26:O26"/>
    <mergeCell ref="Q28:R29"/>
    <mergeCell ref="Q30:R31"/>
  </mergeCells>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2:AZ64"/>
  <sheetViews>
    <sheetView zoomScaleNormal="100" zoomScalePageLayoutView="80" workbookViewId="0">
      <pane xSplit="2" ySplit="5" topLeftCell="C6" activePane="bottomRight" state="frozen"/>
      <selection pane="topRight" activeCell="C1" sqref="C1"/>
      <selection pane="bottomLeft" activeCell="A6" sqref="A6"/>
      <selection pane="bottomRight"/>
    </sheetView>
  </sheetViews>
  <sheetFormatPr baseColWidth="10" defaultColWidth="8.83203125" defaultRowHeight="15"/>
  <cols>
    <col min="1" max="1" width="29.83203125" customWidth="1"/>
    <col min="2" max="2" width="29.6640625" customWidth="1"/>
    <col min="3" max="3" width="10.1640625" customWidth="1"/>
    <col min="4" max="4" width="6.1640625" customWidth="1"/>
    <col min="5" max="5" width="12.1640625" customWidth="1"/>
    <col min="6" max="7" width="13.1640625" customWidth="1"/>
    <col min="8" max="8" width="11.83203125" style="288" customWidth="1"/>
    <col min="9" max="9" width="21.6640625" style="288" customWidth="1"/>
    <col min="10" max="10" width="10.6640625" customWidth="1"/>
    <col min="11" max="11" width="14.33203125" style="288" customWidth="1"/>
    <col min="12" max="12" width="17.83203125" style="288" customWidth="1"/>
    <col min="13" max="13" width="12.1640625" customWidth="1"/>
    <col min="14" max="14" width="14.6640625" customWidth="1"/>
    <col min="15" max="16" width="12.1640625" customWidth="1"/>
    <col min="17" max="17" width="9" customWidth="1"/>
    <col min="18" max="18" width="9.1640625" style="288" customWidth="1"/>
    <col min="19" max="19" width="8.1640625" style="288" customWidth="1"/>
    <col min="20" max="20" width="11.83203125" customWidth="1"/>
    <col min="21" max="21" width="10.83203125" style="288" customWidth="1"/>
    <col min="22" max="22" width="8.1640625" style="288" customWidth="1"/>
    <col min="23" max="23" width="12.1640625" customWidth="1"/>
    <col min="24" max="24" width="11.6640625" customWidth="1"/>
    <col min="25" max="25" width="11.1640625" customWidth="1"/>
    <col min="26" max="26" width="10.6640625" customWidth="1"/>
    <col min="27" max="27" width="12.1640625" customWidth="1"/>
    <col min="28" max="28" width="9.5" customWidth="1"/>
    <col min="29" max="29" width="7.6640625" style="288" customWidth="1"/>
    <col min="30" max="31" width="9.1640625" style="288" customWidth="1"/>
    <col min="32" max="32" width="15.1640625" style="288" customWidth="1"/>
    <col min="33" max="33" width="19.83203125" customWidth="1"/>
    <col min="34" max="34" width="16.1640625" customWidth="1"/>
    <col min="35" max="35" width="25.6640625" customWidth="1"/>
    <col min="36" max="36" width="12.5" customWidth="1"/>
    <col min="37" max="37" width="19.6640625" customWidth="1"/>
    <col min="38" max="38" width="13.1640625" customWidth="1"/>
    <col min="39" max="39" width="12.1640625" style="288" customWidth="1"/>
    <col min="40" max="40" width="11.33203125" style="288" customWidth="1"/>
    <col min="41" max="41" width="13.33203125" customWidth="1"/>
    <col min="42" max="42" width="14" customWidth="1"/>
    <col min="43" max="43" width="10.33203125" style="288" bestFit="1" customWidth="1"/>
    <col min="44" max="44" width="10.83203125" style="288" customWidth="1"/>
    <col min="45" max="45" width="10.33203125" style="288" bestFit="1" customWidth="1"/>
    <col min="46" max="46" width="11.33203125" style="288" bestFit="1" customWidth="1"/>
    <col min="47" max="48" width="12.33203125" style="288" bestFit="1" customWidth="1"/>
    <col min="49" max="49" width="11.1640625" style="288" customWidth="1"/>
    <col min="50" max="50" width="8.83203125" style="288"/>
    <col min="51" max="51" width="10.33203125" style="288" customWidth="1"/>
    <col min="52" max="52" width="10.83203125" style="288" customWidth="1"/>
  </cols>
  <sheetData>
    <row r="2" spans="1:52" ht="16" thickBot="1">
      <c r="AQ2" s="177"/>
      <c r="AR2" s="177"/>
      <c r="AS2" s="177"/>
      <c r="AT2" s="177"/>
      <c r="AU2" s="177"/>
      <c r="AV2" s="177"/>
      <c r="AW2" s="177"/>
      <c r="AX2" s="177"/>
      <c r="AY2" s="177"/>
      <c r="AZ2" s="177"/>
    </row>
    <row r="3" spans="1:52" ht="21" thickBot="1">
      <c r="B3" s="178"/>
      <c r="C3" s="1871" t="s">
        <v>179</v>
      </c>
      <c r="D3" s="1872"/>
      <c r="E3" s="1872"/>
      <c r="F3" s="1872"/>
      <c r="G3" s="1872"/>
      <c r="H3" s="1872"/>
      <c r="I3" s="1872"/>
      <c r="J3" s="1872"/>
      <c r="K3" s="1872"/>
      <c r="L3" s="1873"/>
      <c r="M3" s="1874" t="s">
        <v>180</v>
      </c>
      <c r="N3" s="1875"/>
      <c r="O3" s="1875"/>
      <c r="P3" s="1875"/>
      <c r="Q3" s="1875"/>
      <c r="R3" s="1875"/>
      <c r="S3" s="1875"/>
      <c r="T3" s="1875"/>
      <c r="U3" s="1875"/>
      <c r="V3" s="1876"/>
      <c r="W3" s="1877" t="s">
        <v>216</v>
      </c>
      <c r="X3" s="1878"/>
      <c r="Y3" s="1878"/>
      <c r="Z3" s="1878"/>
      <c r="AA3" s="1878"/>
      <c r="AB3" s="1878"/>
      <c r="AC3" s="1878"/>
      <c r="AD3" s="1878"/>
      <c r="AE3" s="1878"/>
      <c r="AF3" s="1878"/>
      <c r="AG3" s="1868" t="s">
        <v>109</v>
      </c>
      <c r="AH3" s="1869"/>
      <c r="AI3" s="1869"/>
      <c r="AJ3" s="1869"/>
      <c r="AK3" s="1869"/>
      <c r="AL3" s="1869"/>
      <c r="AM3" s="1869"/>
      <c r="AN3" s="1869"/>
      <c r="AO3" s="1869"/>
      <c r="AP3" s="1870"/>
      <c r="AQ3" s="1858" t="s">
        <v>815</v>
      </c>
      <c r="AR3" s="1859"/>
      <c r="AS3" s="1859"/>
      <c r="AT3" s="1859"/>
      <c r="AU3" s="1859"/>
      <c r="AV3" s="1859"/>
      <c r="AW3" s="1859"/>
      <c r="AX3" s="1859"/>
      <c r="AY3" s="1859"/>
      <c r="AZ3" s="1860"/>
    </row>
    <row r="4" spans="1:52" ht="42.5" customHeight="1" thickBot="1">
      <c r="B4" s="178"/>
      <c r="C4" s="1863" t="s">
        <v>114</v>
      </c>
      <c r="D4" s="1862"/>
      <c r="E4" s="1863" t="s">
        <v>62</v>
      </c>
      <c r="F4" s="1862"/>
      <c r="G4" s="1863" t="s">
        <v>152</v>
      </c>
      <c r="H4" s="1864"/>
      <c r="I4" s="1865" t="s">
        <v>672</v>
      </c>
      <c r="J4" s="1865"/>
      <c r="K4" s="1866" t="s">
        <v>805</v>
      </c>
      <c r="L4" s="1879"/>
      <c r="M4" s="1863" t="s">
        <v>114</v>
      </c>
      <c r="N4" s="1862"/>
      <c r="O4" s="1863" t="s">
        <v>62</v>
      </c>
      <c r="P4" s="1862"/>
      <c r="Q4" s="1863" t="s">
        <v>152</v>
      </c>
      <c r="R4" s="1864"/>
      <c r="S4" s="1865" t="s">
        <v>672</v>
      </c>
      <c r="T4" s="1865"/>
      <c r="U4" s="1880" t="s">
        <v>79</v>
      </c>
      <c r="V4" s="1879"/>
      <c r="W4" s="1863" t="s">
        <v>114</v>
      </c>
      <c r="X4" s="1862"/>
      <c r="Y4" s="1863" t="s">
        <v>62</v>
      </c>
      <c r="Z4" s="1862"/>
      <c r="AA4" s="1863" t="s">
        <v>152</v>
      </c>
      <c r="AB4" s="1864"/>
      <c r="AC4" s="1865" t="s">
        <v>672</v>
      </c>
      <c r="AD4" s="1865"/>
      <c r="AE4" s="1866" t="s">
        <v>79</v>
      </c>
      <c r="AF4" s="1880"/>
      <c r="AG4" s="1861" t="s">
        <v>947</v>
      </c>
      <c r="AH4" s="1862"/>
      <c r="AI4" s="1863" t="s">
        <v>62</v>
      </c>
      <c r="AJ4" s="1862"/>
      <c r="AK4" s="1863" t="s">
        <v>152</v>
      </c>
      <c r="AL4" s="1864"/>
      <c r="AM4" s="1865" t="s">
        <v>672</v>
      </c>
      <c r="AN4" s="1865"/>
      <c r="AO4" s="1866" t="s">
        <v>946</v>
      </c>
      <c r="AP4" s="1867"/>
      <c r="AQ4" s="1861" t="s">
        <v>114</v>
      </c>
      <c r="AR4" s="1862"/>
      <c r="AS4" s="1863" t="s">
        <v>62</v>
      </c>
      <c r="AT4" s="1862"/>
      <c r="AU4" s="1863" t="s">
        <v>152</v>
      </c>
      <c r="AV4" s="1864"/>
      <c r="AW4" s="1865" t="s">
        <v>672</v>
      </c>
      <c r="AX4" s="1865"/>
      <c r="AY4" s="1866" t="s">
        <v>79</v>
      </c>
      <c r="AZ4" s="1867"/>
    </row>
    <row r="5" spans="1:52" s="288" customFormat="1" ht="16" thickBot="1">
      <c r="B5" s="178"/>
      <c r="C5" s="609" t="s">
        <v>740</v>
      </c>
      <c r="D5" s="604" t="s">
        <v>257</v>
      </c>
      <c r="E5" s="607" t="s">
        <v>740</v>
      </c>
      <c r="F5" s="604" t="s">
        <v>257</v>
      </c>
      <c r="G5" s="607" t="s">
        <v>740</v>
      </c>
      <c r="H5" s="604" t="s">
        <v>257</v>
      </c>
      <c r="I5" s="610" t="s">
        <v>740</v>
      </c>
      <c r="J5" s="614" t="s">
        <v>257</v>
      </c>
      <c r="K5" s="616" t="s">
        <v>740</v>
      </c>
      <c r="L5" s="611" t="s">
        <v>257</v>
      </c>
      <c r="M5" s="609" t="s">
        <v>740</v>
      </c>
      <c r="N5" s="604" t="s">
        <v>257</v>
      </c>
      <c r="O5" s="607" t="s">
        <v>740</v>
      </c>
      <c r="P5" s="604" t="s">
        <v>257</v>
      </c>
      <c r="Q5" s="607" t="s">
        <v>740</v>
      </c>
      <c r="R5" s="604" t="s">
        <v>257</v>
      </c>
      <c r="S5" s="610" t="s">
        <v>740</v>
      </c>
      <c r="T5" s="696" t="s">
        <v>257</v>
      </c>
      <c r="U5" s="697" t="s">
        <v>740</v>
      </c>
      <c r="V5" s="611" t="s">
        <v>257</v>
      </c>
      <c r="W5" s="609" t="s">
        <v>740</v>
      </c>
      <c r="X5" s="604" t="s">
        <v>257</v>
      </c>
      <c r="Y5" s="607" t="s">
        <v>740</v>
      </c>
      <c r="Z5" s="604" t="s">
        <v>257</v>
      </c>
      <c r="AA5" s="607" t="s">
        <v>740</v>
      </c>
      <c r="AB5" s="604" t="s">
        <v>257</v>
      </c>
      <c r="AC5" s="610" t="s">
        <v>740</v>
      </c>
      <c r="AD5" s="614" t="s">
        <v>257</v>
      </c>
      <c r="AE5" s="616" t="s">
        <v>740</v>
      </c>
      <c r="AF5" s="696" t="s">
        <v>257</v>
      </c>
      <c r="AG5" s="1124" t="s">
        <v>740</v>
      </c>
      <c r="AH5" s="1125" t="s">
        <v>257</v>
      </c>
      <c r="AI5" s="1126" t="s">
        <v>740</v>
      </c>
      <c r="AJ5" s="1125" t="s">
        <v>257</v>
      </c>
      <c r="AK5" s="1126" t="s">
        <v>740</v>
      </c>
      <c r="AL5" s="1125" t="s">
        <v>257</v>
      </c>
      <c r="AM5" s="697" t="s">
        <v>740</v>
      </c>
      <c r="AN5" s="696" t="s">
        <v>257</v>
      </c>
      <c r="AO5" s="1127" t="s">
        <v>740</v>
      </c>
      <c r="AP5" s="1128" t="s">
        <v>257</v>
      </c>
      <c r="AQ5" s="1124" t="s">
        <v>740</v>
      </c>
      <c r="AR5" s="1125" t="s">
        <v>257</v>
      </c>
      <c r="AS5" s="1126" t="s">
        <v>740</v>
      </c>
      <c r="AT5" s="1125" t="s">
        <v>257</v>
      </c>
      <c r="AU5" s="1126" t="s">
        <v>740</v>
      </c>
      <c r="AV5" s="1125" t="s">
        <v>257</v>
      </c>
      <c r="AW5" s="697" t="s">
        <v>740</v>
      </c>
      <c r="AX5" s="696" t="s">
        <v>257</v>
      </c>
      <c r="AY5" s="1127" t="s">
        <v>740</v>
      </c>
      <c r="AZ5" s="1128" t="s">
        <v>257</v>
      </c>
    </row>
    <row r="6" spans="1:52" ht="19">
      <c r="B6" s="894" t="s">
        <v>464</v>
      </c>
      <c r="C6" s="804">
        <f>'Animal Partitioning'!I10*ResourceFeedMain!Q$12*B15</f>
        <v>18.327066777974579</v>
      </c>
      <c r="D6" s="806">
        <f>C6*SQRT('Animal Partitioning'!J10^2/'Animal Partitioning'!I10^2+ResourceFeedMain!R$12^2/ResourceFeedMain!Q$12^2)</f>
        <v>9.9656000719200346</v>
      </c>
      <c r="E6" s="804">
        <f>'Animal Partitioning'!G10*ResourceFeedMain!Y$12*B16</f>
        <v>58.854394447579068</v>
      </c>
      <c r="F6" s="808">
        <f>E6*SQRT('Animal Partitioning'!H10^2/'Animal Partitioning'!G10^2+ResourceFeedMain!Z$12^2/ResourceFeedMain!Y$12^2)</f>
        <v>7.8790348084285933</v>
      </c>
      <c r="G6" s="813">
        <f>'Animal Partitioning'!E10*ResourceFeedMain!AA$12*B17</f>
        <v>663.37753300000008</v>
      </c>
      <c r="H6" s="814">
        <f>G6*SQRT('Animal Partitioning'!F10^2/'Animal Partitioning'!E10^2+ResourceFeedMain!AB$12^2/ResourceFeedMain!AA$12^2)</f>
        <v>60.056632467556589</v>
      </c>
      <c r="I6" s="810">
        <f>G6+E6+C6</f>
        <v>740.55899422555376</v>
      </c>
      <c r="J6" s="777">
        <f>SQRT(D6^2+F6^2+H6^2)</f>
        <v>61.385596662808894</v>
      </c>
      <c r="K6" s="779">
        <f>I6*B$21</f>
        <v>770.18135399457594</v>
      </c>
      <c r="L6" s="810">
        <f>J6*B21</f>
        <v>63.841020529321248</v>
      </c>
      <c r="M6" s="819">
        <f>'Animal Partitioning'!I10*ResourceFeedMain!Q$17*B15</f>
        <v>2628.7923939781699</v>
      </c>
      <c r="N6" s="822">
        <f>M6*SQRT('Animal Partitioning'!J10^2/'Animal Partitioning'!I10^2+ResourceFeedMain!R$17^2/ResourceFeedMain!Q$17^2)</f>
        <v>1463.5016855646404</v>
      </c>
      <c r="O6" s="819">
        <f>'Animal Partitioning'!G10*ResourceFeedMain!Y$17*B16</f>
        <v>24578.96730087007</v>
      </c>
      <c r="P6" s="824">
        <f>O6*SQRT('Animal Partitioning'!H10^2/'Animal Partitioning'!G10^2+ResourceFeedMain!Z$17^2/ResourceFeedMain!Y$17^2)</f>
        <v>4462.6187715201786</v>
      </c>
      <c r="Q6" s="827">
        <f>'Animal Partitioning'!E10*ResourceFeedMain!AA$17*B17</f>
        <v>6372.6987316812083</v>
      </c>
      <c r="R6" s="900">
        <f>Q6*SQRT('Animal Partitioning'!F10^2/'Animal Partitioning'!E10^2+ResourceFeedMain!AB$17^2/ResourceFeedMain!AA$17^2)</f>
        <v>1245.4668356259549</v>
      </c>
      <c r="S6" s="782">
        <f>Q6+O6+M6</f>
        <v>33580.458426529447</v>
      </c>
      <c r="T6" s="782">
        <f>SQRT(R6^2+P6^2+N6^2)</f>
        <v>4858.8055242228966</v>
      </c>
      <c r="U6" s="782">
        <f>S6*B21</f>
        <v>34923.676763590629</v>
      </c>
      <c r="V6" s="782">
        <f>T6*B21</f>
        <v>5053.1577451918129</v>
      </c>
      <c r="W6" s="819">
        <f>'Animal Partitioning'!I10*ResourceFeedMain!Q$15*B15</f>
        <v>1332.2815016582115</v>
      </c>
      <c r="X6" s="806">
        <f>W6*SQRT('Animal Partitioning'!J10^2/'Animal Partitioning'!I10^2+ResourceFeedMain!R$15^2/ResourceFeedMain!Q$15^2)</f>
        <v>749.46170321030411</v>
      </c>
      <c r="Y6" s="819">
        <f>'Animal Partitioning'!G10*ResourceFeedMain!Y$15*B16</f>
        <v>5323.687279602872</v>
      </c>
      <c r="Z6" s="824">
        <f>Y6*SQRT('Animal Partitioning'!H10^2/'Animal Partitioning'!G10^2+ResourceFeedMain!Z$15^2/ResourceFeedMain!Y$15^2)</f>
        <v>711.79591241644891</v>
      </c>
      <c r="AA6" s="827">
        <f>'Animal Partitioning'!E10*ResourceFeedMain!AA$15*B17</f>
        <v>1270.9505197674603</v>
      </c>
      <c r="AB6" s="814">
        <f>AA6*SQRT('Animal Partitioning'!F10^2/'Animal Partitioning'!E10^2+ResourceFeedMain!AB$15^2/ResourceFeedMain!AA$15^2)</f>
        <v>187.45899327459327</v>
      </c>
      <c r="AC6" s="782">
        <f>AA6+Y6+W6</f>
        <v>7926.9193010285435</v>
      </c>
      <c r="AD6" s="782">
        <f>SQRT(X6^2+Z6^2+AB6^2)</f>
        <v>1050.4699613369146</v>
      </c>
      <c r="AE6" s="783">
        <f>AC6*B21</f>
        <v>8243.9960730696857</v>
      </c>
      <c r="AF6" s="782">
        <f>AD6*B21</f>
        <v>1092.4887597903912</v>
      </c>
      <c r="AG6" s="1606">
        <f>'Animal Partitioning'!I10*(ResourceFeedMain!Q$19+AO20)*B15</f>
        <v>159189.00775735735</v>
      </c>
      <c r="AH6" s="1607">
        <f>AG6*SQRT((ResourceFeedMain!R$19^2+AP$20^2)/(ResourceFeedMain!Q$19+AO$20)^2+'Animal Partitioning'!J10^2/'Animal Partitioning'!I10^2)</f>
        <v>86230.16623997908</v>
      </c>
      <c r="AI6" s="1605">
        <f>'Animal Partitioning'!G10*ResourceFeedMain!Y$19*B16</f>
        <v>325454.8572983609</v>
      </c>
      <c r="AJ6" s="1168">
        <f>AI6*SQRT('Animal Partitioning'!H10^2/'Animal Partitioning'!G10^2+ResourceFeedMain!Z$19^2/ResourceFeedMain!Y$19^2)</f>
        <v>62316.062063722609</v>
      </c>
      <c r="AK6" s="1169">
        <f>'Animal Partitioning'!E10*ResourceFeedMain!AA$19*B17</f>
        <v>255837.45038061604</v>
      </c>
      <c r="AL6" s="1170">
        <f>AK6*SQRT('Animal Partitioning'!F10^2/'Animal Partitioning'!E10^2+ResourceFeedMain!AB$19^2/ResourceFeedMain!AA$19^2)</f>
        <v>82171.728556687027</v>
      </c>
      <c r="AM6" s="1167">
        <f>AK6+AI6+AG6</f>
        <v>740481.31543633423</v>
      </c>
      <c r="AN6" s="1332">
        <f>SQRT(AH6^2+AJ6^2+AL6^2)</f>
        <v>134428.88876613541</v>
      </c>
      <c r="AO6" s="783">
        <f>AM6*B21</f>
        <v>770100.56805378757</v>
      </c>
      <c r="AP6" s="1610">
        <f>AN6*B21</f>
        <v>139806.04431678084</v>
      </c>
      <c r="AQ6" s="1605">
        <f>'Animal Partitioning'!I10*ResourceFeedMain!Q$21*B$15</f>
        <v>11817.328362349104</v>
      </c>
      <c r="AR6" s="1337">
        <f>AQ6*SQRT('Animal Partitioning'!J10^2/'Animal Partitioning'!I10^2++ResourceFeedMain!R$21^2/ResourceFeedMain!Q$21^2)</f>
        <v>6410.8372426682936</v>
      </c>
      <c r="AS6" s="1335">
        <f>'Animal Partitioning'!G10*ResourceFeedMain!Y$21*B$16</f>
        <v>36115.670038900571</v>
      </c>
      <c r="AT6" s="1334">
        <f>AS6*SQRT('Animal Partitioning'!H10^2/'Animal Partitioning'!G10^2+ResourceFeedMain!Z$21^2/ResourceFeedMain!Y$21^2)</f>
        <v>5984.6582915676445</v>
      </c>
      <c r="AU6" s="1169">
        <f>'Animal Partitioning'!E10*ResourceFeedMain!AA$21*B17</f>
        <v>70931.820859420317</v>
      </c>
      <c r="AV6" s="1170">
        <f>AU6*SQRT('Animal Partitioning'!F10^2/'Animal Partitioning'!E10^2+ResourceFeedMain!AB$21^2/ResourceFeedMain!AA$21^2)</f>
        <v>23645.418028897533</v>
      </c>
      <c r="AW6" s="1167">
        <f>AU6+AS6+AQ6</f>
        <v>118864.81926066999</v>
      </c>
      <c r="AX6" s="1167">
        <f>SQRT(AR6^2+AT6^2+AV6^2)</f>
        <v>25219.452071369924</v>
      </c>
      <c r="AY6" s="1340">
        <f>AW6*B21+AY15</f>
        <v>126452.3959510968</v>
      </c>
      <c r="AZ6" s="1341">
        <f>SQRT((AX6*B21)^2+AZ15^2)</f>
        <v>26273.50402067367</v>
      </c>
    </row>
    <row r="7" spans="1:52" ht="19">
      <c r="B7" s="895" t="s">
        <v>110</v>
      </c>
      <c r="C7" s="538">
        <f>'Animal Partitioning'!I11*ResourceFeedMain!Q$12*B15</f>
        <v>20.83658214591301</v>
      </c>
      <c r="D7" s="534">
        <f>C7*SQRT('Animal Partitioning'!J11^2/'Animal Partitioning'!I11^2+ResourceFeedMain!R$12^2/ResourceFeedMain!Q$12^2)</f>
        <v>5.7132318964199547</v>
      </c>
      <c r="E7" s="538">
        <f>'Animal Partitioning'!G11*ResourceFeedMain!Y$12*0.9521</f>
        <v>0</v>
      </c>
      <c r="F7" s="807"/>
      <c r="G7" s="815">
        <f>'Animal Partitioning'!E11*ResourceFeedMain!AA$12*0.929</f>
        <v>0</v>
      </c>
      <c r="H7" s="816"/>
      <c r="I7" s="811">
        <f>G7+E7+C7</f>
        <v>20.83658214591301</v>
      </c>
      <c r="J7" s="776">
        <f t="shared" ref="J7:J10" si="0">SQRT(D7^2+F7^2+H7^2)</f>
        <v>5.7132318964199547</v>
      </c>
      <c r="K7" s="780">
        <f>I7*B$22</f>
        <v>17.294363181107798</v>
      </c>
      <c r="L7" s="811">
        <f t="shared" ref="L7:L10" si="1">J7*B22</f>
        <v>4.7419824740285623</v>
      </c>
      <c r="M7" s="820">
        <f>'Animal Partitioning'!I11*ResourceFeedMain!Q$17*B15</f>
        <v>2988.7515184648078</v>
      </c>
      <c r="N7" s="176">
        <f>M7*SQRT('Animal Partitioning'!J11^2/'Animal Partitioning'!I11^2+ResourceFeedMain!R$17^2/ResourceFeedMain!Q$17^2)</f>
        <v>893.82877928412449</v>
      </c>
      <c r="O7" s="820">
        <f>'Animal Partitioning'!G11*ResourceFeedMain!Y$17*0.9521</f>
        <v>0</v>
      </c>
      <c r="P7" s="823"/>
      <c r="Q7" s="828">
        <f>'Animal Partitioning'!E11*ResourceFeedMain!AA$17*0.929</f>
        <v>0</v>
      </c>
      <c r="R7" s="901"/>
      <c r="S7" s="612">
        <f>Q7+O7+M7</f>
        <v>2988.7515184648078</v>
      </c>
      <c r="T7" s="612">
        <f>SQRT(R7^2+P7^2+N7^2)</f>
        <v>893.82877928412449</v>
      </c>
      <c r="U7" s="612">
        <f>S7*B22</f>
        <v>2480.6637603257905</v>
      </c>
      <c r="V7" s="612">
        <f>T7*B22</f>
        <v>741.87788680582332</v>
      </c>
      <c r="W7" s="820">
        <f>'Animal Partitioning'!I11*ResourceFeedMain!Q$15*B15</f>
        <v>1514.7100890221991</v>
      </c>
      <c r="X7" s="534">
        <f>W7*SQRT('Animal Partitioning'!J11^2/'Animal Partitioning'!I11^2+ResourceFeedMain!R$15^2/ResourceFeedMain!Q$15^2)</f>
        <v>469.20189050082377</v>
      </c>
      <c r="Y7" s="820">
        <f>'Animal Partitioning'!G11*ResourceFeedMain!Y$15*0.9521</f>
        <v>0</v>
      </c>
      <c r="Z7" s="823"/>
      <c r="AA7" s="828">
        <f>'Animal Partitioning'!E11*ResourceFeedMain!AA$15*0.929</f>
        <v>0</v>
      </c>
      <c r="AB7" s="816"/>
      <c r="AC7" s="612">
        <f>AA7+Y7+W7</f>
        <v>1514.7100890221991</v>
      </c>
      <c r="AD7" s="612">
        <f t="shared" ref="AD7:AD10" si="2">SQRT(X7^2+Z7^2+AB7^2)</f>
        <v>469.20189050082377</v>
      </c>
      <c r="AE7" s="617">
        <f>AC7*B22</f>
        <v>1257.2093738884253</v>
      </c>
      <c r="AF7" s="612">
        <f>AD7*B22</f>
        <v>389.43756911568369</v>
      </c>
      <c r="AG7" s="820">
        <f>'Animal Partitioning'!I11*(ResourceFeedMain!Q$19+AO20)*B15</f>
        <v>180986.67271998309</v>
      </c>
      <c r="AH7" s="1608">
        <f>AG7*SQRT((ResourceFeedMain!R$19^2+AP$20^2)/(ResourceFeedMain!Q$19+AO$20)^2+'Animal Partitioning'!J11^2/'Animal Partitioning'!I11^2)</f>
        <v>48874.397568047971</v>
      </c>
      <c r="AI7" s="176">
        <v>0</v>
      </c>
      <c r="AJ7" s="603">
        <v>0</v>
      </c>
      <c r="AK7" s="828">
        <v>0</v>
      </c>
      <c r="AL7" s="1129">
        <v>0</v>
      </c>
      <c r="AM7" s="612">
        <f>AK7+AI7+AG7</f>
        <v>180986.67271998309</v>
      </c>
      <c r="AN7" s="612">
        <f t="shared" ref="AN7:AN10" si="3">SQRT(AH7^2+AJ7^2+AL7^2)</f>
        <v>48874.397568047971</v>
      </c>
      <c r="AO7" s="617">
        <f>AM7*B22</f>
        <v>150218.93835758595</v>
      </c>
      <c r="AP7" s="1611">
        <f t="shared" ref="AP7:AP10" si="4">AN7*B22</f>
        <v>40565.749981479814</v>
      </c>
      <c r="AQ7" s="1333">
        <f>'Animal Partitioning'!I11*ResourceFeedMain!Q$21*B$15</f>
        <v>13435.468760513089</v>
      </c>
      <c r="AR7" s="1338">
        <f>AQ7*SQRT('Animal Partitioning'!J11^2/'Animal Partitioning'!I11^2+ResourceFeedMain!R$21^2/ResourceFeedMain!Q$21^2)</f>
        <v>3649.9632262424489</v>
      </c>
      <c r="AS7" s="1333">
        <v>0</v>
      </c>
      <c r="AT7" s="1129">
        <v>0</v>
      </c>
      <c r="AU7" s="828">
        <f>'Animal Partitioning'!O11*ResourceFeedMain!AK$19*0.929</f>
        <v>0</v>
      </c>
      <c r="AV7" s="1129">
        <v>0</v>
      </c>
      <c r="AW7" s="612">
        <f>AU7+AS7+AQ7</f>
        <v>13435.468760513089</v>
      </c>
      <c r="AX7" s="612">
        <f t="shared" ref="AX7:AX10" si="5">SQRT(AR7^2+AT7^2+AV7^2)</f>
        <v>3649.9632262424489</v>
      </c>
      <c r="AY7" s="617">
        <f>AW7*B22+AY16</f>
        <v>13721.967331225864</v>
      </c>
      <c r="AZ7" s="1130">
        <f>SQRT((AX7*B22)^2+AZ16^2)</f>
        <v>3110.893967922771</v>
      </c>
    </row>
    <row r="8" spans="1:52" ht="19">
      <c r="B8" s="895" t="s">
        <v>222</v>
      </c>
      <c r="C8" s="538">
        <f>'Animal Partitioning'!I12*ResourceFeedMain!Q$12*B15</f>
        <v>17.718699416050114</v>
      </c>
      <c r="D8" s="534">
        <f>C8*SQRT('Animal Partitioning'!J12^2/'Animal Partitioning'!I12^2+ResourceFeedMain!R$12^2/ResourceFeedMain!Q$12^2)</f>
        <v>8.0270121924359934</v>
      </c>
      <c r="E8" s="538">
        <f>'Animal Partitioning'!G12*ResourceFeedMain!Y$12*0.9521</f>
        <v>0</v>
      </c>
      <c r="F8" s="807"/>
      <c r="G8" s="815">
        <f>'Animal Partitioning'!E12*ResourceFeedMain!AA$12*0.929</f>
        <v>0</v>
      </c>
      <c r="H8" s="816"/>
      <c r="I8" s="811">
        <f>G8+E8+C8</f>
        <v>17.718699416050114</v>
      </c>
      <c r="J8" s="776">
        <f t="shared" si="0"/>
        <v>8.0270121924359934</v>
      </c>
      <c r="K8" s="780">
        <f>I8*B$23</f>
        <v>16.124016468605603</v>
      </c>
      <c r="L8" s="811">
        <f t="shared" si="1"/>
        <v>7.3045810951167542</v>
      </c>
      <c r="M8" s="820">
        <f>'Animal Partitioning'!I12*ResourceFeedMain!Q$17*B15</f>
        <v>2541.5295759208034</v>
      </c>
      <c r="N8" s="176">
        <f>M8*SQRT('Animal Partitioning'!J12^2/'Animal Partitioning'!I12^2+ResourceFeedMain!R$17^2/ResourceFeedMain!Q$17^2)</f>
        <v>1190.6992727038003</v>
      </c>
      <c r="O8" s="820">
        <f>'Animal Partitioning'!G12*ResourceFeedMain!Y$17*0.9521</f>
        <v>0</v>
      </c>
      <c r="P8" s="823"/>
      <c r="Q8" s="828">
        <f>'Animal Partitioning'!E12*ResourceFeedMain!AA$17*0.929</f>
        <v>0</v>
      </c>
      <c r="R8" s="901"/>
      <c r="S8" s="612">
        <f>Q8+O8+M8</f>
        <v>2541.5295759208034</v>
      </c>
      <c r="T8" s="612">
        <f>SQRT(R8^2+P8^2+N8^2)</f>
        <v>1190.6992727038003</v>
      </c>
      <c r="U8" s="612">
        <f>S8*B23</f>
        <v>2312.7919140879312</v>
      </c>
      <c r="V8" s="612">
        <f>T8*B23</f>
        <v>1083.5363381604582</v>
      </c>
      <c r="W8" s="820">
        <f>'Animal Partitioning'!I12*ResourceFeedMain!Q$15*B15</f>
        <v>1288.0563895699722</v>
      </c>
      <c r="X8" s="534">
        <f>W8*SQRT('Animal Partitioning'!J12^2/'Animal Partitioning'!I12^2+ResourceFeedMain!R$15^2/ResourceFeedMain!Q$15^2)</f>
        <v>612.3398043657827</v>
      </c>
      <c r="Y8" s="820">
        <f>'Animal Partitioning'!G12*ResourceFeedMain!Y$15*0.9521</f>
        <v>0</v>
      </c>
      <c r="Z8" s="823"/>
      <c r="AA8" s="828">
        <f>'Animal Partitioning'!E12*ResourceFeedMain!AA$15*0.929</f>
        <v>0</v>
      </c>
      <c r="AB8" s="816"/>
      <c r="AC8" s="612">
        <f>AA8+Y8+W8</f>
        <v>1288.0563895699722</v>
      </c>
      <c r="AD8" s="612">
        <f t="shared" si="2"/>
        <v>612.3398043657827</v>
      </c>
      <c r="AE8" s="617">
        <f>AC8*B23</f>
        <v>1172.1313145086747</v>
      </c>
      <c r="AF8" s="612">
        <f>AD8*B23</f>
        <v>557.22922197286232</v>
      </c>
      <c r="AG8" s="820">
        <f>'Animal Partitioning'!I12*(ResourceFeedMain!Q$19+AO20)*B15</f>
        <v>153904.7253421754</v>
      </c>
      <c r="AH8" s="1608">
        <f>AG8*SQRT((ResourceFeedMain!R$19^2+AP$20^2)/(ResourceFeedMain!Q$19+AO$20)^2+'Animal Partitioning'!J12^2/'Animal Partitioning'!I12^2)</f>
        <v>69338.130396611145</v>
      </c>
      <c r="AI8" s="176">
        <v>0</v>
      </c>
      <c r="AJ8" s="603">
        <v>0</v>
      </c>
      <c r="AK8" s="828">
        <v>0</v>
      </c>
      <c r="AL8" s="1129">
        <v>0</v>
      </c>
      <c r="AM8" s="612">
        <f>AK8+AI8+AG8</f>
        <v>153904.7253421754</v>
      </c>
      <c r="AN8" s="612">
        <f t="shared" si="3"/>
        <v>69338.130396611145</v>
      </c>
      <c r="AO8" s="617">
        <f>AM8*B23</f>
        <v>140053.30006137962</v>
      </c>
      <c r="AP8" s="1611">
        <f t="shared" si="4"/>
        <v>63097.698660916147</v>
      </c>
      <c r="AQ8" s="1333">
        <f>'Animal Partitioning'!I12*ResourceFeedMain!Q$21*B$15</f>
        <v>11425.051902188139</v>
      </c>
      <c r="AR8" s="1338">
        <f>AQ8*SQRT(('Animal Partitioning'!J12^2/'Animal Partitioning'!I12^2+ResourceFeedMain!R$21^2/ResourceFeedMain!Q$21^2))</f>
        <v>5158.4160555310154</v>
      </c>
      <c r="AS8" s="1333">
        <v>0</v>
      </c>
      <c r="AT8" s="1129">
        <v>0</v>
      </c>
      <c r="AU8" s="828">
        <f>'Animal Partitioning'!O12*ResourceFeedMain!AK$19*0.929</f>
        <v>0</v>
      </c>
      <c r="AV8" s="1129">
        <v>0</v>
      </c>
      <c r="AW8" s="612">
        <f>AU8+AS8+AQ8</f>
        <v>11425.051902188139</v>
      </c>
      <c r="AX8" s="612">
        <f t="shared" si="5"/>
        <v>5158.4160555310154</v>
      </c>
      <c r="AY8" s="617">
        <f>AW8*B23+AY17</f>
        <v>12793.372320991208</v>
      </c>
      <c r="AZ8" s="1130">
        <f>SQRT((AX8*B23)+AY17^2)</f>
        <v>2397.5542372632663</v>
      </c>
    </row>
    <row r="9" spans="1:52" ht="19">
      <c r="B9" s="895" t="s">
        <v>223</v>
      </c>
      <c r="C9" s="538">
        <f>'Animal Partitioning'!I13*ResourceFeedMain!Q$12*B15</f>
        <v>3.2699745703440124</v>
      </c>
      <c r="D9" s="534">
        <f>C9*SQRT('Animal Partitioning'!J13^2/'Animal Partitioning'!I13^2+ResourceFeedMain!R$12^2/ResourceFeedMain!Q$12^2)</f>
        <v>1.5679645329027061</v>
      </c>
      <c r="E9" s="538">
        <f>'Animal Partitioning'!G13*ResourceFeedMain!Y$12*0.9521</f>
        <v>0</v>
      </c>
      <c r="F9" s="807"/>
      <c r="G9" s="815">
        <f>'Animal Partitioning'!E13*ResourceFeedMain!AA$12*0.929</f>
        <v>0</v>
      </c>
      <c r="H9" s="816"/>
      <c r="I9" s="811">
        <f>G9+E9+C9</f>
        <v>3.2699745703440124</v>
      </c>
      <c r="J9" s="776">
        <f t="shared" si="0"/>
        <v>1.5679645329027061</v>
      </c>
      <c r="K9" s="780">
        <f>I9*B$24</f>
        <v>2.7467786390889701</v>
      </c>
      <c r="L9" s="811">
        <f t="shared" si="1"/>
        <v>1.3170902076382731</v>
      </c>
      <c r="M9" s="820">
        <f>'Animal Partitioning'!I13*ResourceFeedMain!Q$17*B15</f>
        <v>469.03764705834561</v>
      </c>
      <c r="N9" s="176">
        <f>M9*SQRT('Animal Partitioning'!J13^2/'Animal Partitioning'!I13^2+ResourceFeedMain!R$17^2/ResourceFeedMain!Q$17^2)</f>
        <v>231.77374051568614</v>
      </c>
      <c r="O9" s="820">
        <f>'Animal Partitioning'!G13*ResourceFeedMain!Y$17*0.9521</f>
        <v>0</v>
      </c>
      <c r="P9" s="823"/>
      <c r="Q9" s="828">
        <f>'Animal Partitioning'!E13*ResourceFeedMain!AA$17*0.929</f>
        <v>0</v>
      </c>
      <c r="R9" s="901"/>
      <c r="S9" s="612">
        <f>Q9+O9+M9</f>
        <v>469.03764705834561</v>
      </c>
      <c r="T9" s="612">
        <f>SQRT(R9^2+P9^2+N9^2)</f>
        <v>231.77374051568614</v>
      </c>
      <c r="U9" s="612">
        <f>S9*B24</f>
        <v>393.99162352901033</v>
      </c>
      <c r="V9" s="612">
        <f>T9*B24</f>
        <v>194.68994203317635</v>
      </c>
      <c r="W9" s="820">
        <f>'Animal Partitioning'!I13*ResourceFeedMain!Q$15*B15</f>
        <v>237.70997747428669</v>
      </c>
      <c r="X9" s="534">
        <f>W9*SQRT('Animal Partitioning'!J13^2/'Animal Partitioning'!I13^2+ResourceFeedMain!R$15^2/ResourceFeedMain!Q$15^2)</f>
        <v>119.02023786449476</v>
      </c>
      <c r="Y9" s="820">
        <f>'Animal Partitioning'!G13*ResourceFeedMain!Y$15*0.9521</f>
        <v>0</v>
      </c>
      <c r="Z9" s="823"/>
      <c r="AA9" s="828">
        <f>'Animal Partitioning'!E13*ResourceFeedMain!AA$15*0.929</f>
        <v>0</v>
      </c>
      <c r="AB9" s="816"/>
      <c r="AC9" s="612">
        <f>AA9+Y9+W9</f>
        <v>237.70997747428669</v>
      </c>
      <c r="AD9" s="612">
        <f t="shared" si="2"/>
        <v>119.02023786449476</v>
      </c>
      <c r="AE9" s="617">
        <f>AC9*B24</f>
        <v>199.67638107840082</v>
      </c>
      <c r="AF9" s="612">
        <f>AD9*B24</f>
        <v>99.976999806175598</v>
      </c>
      <c r="AG9" s="820">
        <f>'Animal Partitioning'!I13*(ResourceFeedMain!Q$19+AO20)*B15</f>
        <v>28403.017981603181</v>
      </c>
      <c r="AH9" s="1608">
        <f>AG9*SQRT((ResourceFeedMain!R$19^2+AP$20^2)/(ResourceFeedMain!Q$19+AO$20)^2+'Animal Partitioning'!J13^2/'Animal Partitioning'!I13^2)</f>
        <v>13552.320507134727</v>
      </c>
      <c r="AI9" s="176">
        <v>0</v>
      </c>
      <c r="AJ9" s="603">
        <v>0</v>
      </c>
      <c r="AK9" s="828">
        <v>0</v>
      </c>
      <c r="AL9" s="1129">
        <v>0</v>
      </c>
      <c r="AM9" s="612">
        <f>AK9+AI9+AG9</f>
        <v>28403.017981603181</v>
      </c>
      <c r="AN9" s="612">
        <f t="shared" si="3"/>
        <v>13552.320507134727</v>
      </c>
      <c r="AO9" s="617">
        <f>AM9*B24</f>
        <v>23858.53510454667</v>
      </c>
      <c r="AP9" s="1611">
        <f t="shared" si="4"/>
        <v>11383.94922599317</v>
      </c>
      <c r="AQ9" s="1333">
        <f>'Animal Partitioning'!I13*ResourceFeedMain!Q$21*B$15</f>
        <v>2108.4859733651924</v>
      </c>
      <c r="AR9" s="1338">
        <f>AQ9*SQRT(('Animal Partitioning'!J13^2/'Animal Partitioning'!I13^2+ResourceFeedMain!R$21^2/ResourceFeedMain!Q$21^2))</f>
        <v>1007.9903287313397</v>
      </c>
      <c r="AS9" s="1333">
        <v>0</v>
      </c>
      <c r="AT9" s="1129">
        <v>0</v>
      </c>
      <c r="AU9" s="828">
        <f>'Animal Partitioning'!O13*ResourceFeedMain!AK$19*0.929</f>
        <v>0</v>
      </c>
      <c r="AV9" s="1129">
        <v>0</v>
      </c>
      <c r="AW9" s="612">
        <f>AU9+AS9+AQ9</f>
        <v>2108.4859733651924</v>
      </c>
      <c r="AX9" s="612">
        <f t="shared" si="5"/>
        <v>1007.9903287313397</v>
      </c>
      <c r="AY9" s="617">
        <f>AW9*B24+AY18</f>
        <v>2179.3925776267615</v>
      </c>
      <c r="AZ9" s="1130">
        <f>SQRT((AX9*B24)^2+AZ18^2)</f>
        <v>869.09464410854321</v>
      </c>
    </row>
    <row r="10" spans="1:52" ht="20" thickBot="1">
      <c r="B10" s="896" t="s">
        <v>465</v>
      </c>
      <c r="C10" s="805">
        <f>'Animal Partitioning'!I14*ResourceFeedMain!Q$12*B15</f>
        <v>15.893597330276711</v>
      </c>
      <c r="D10" s="601">
        <f>C10*SQRT('Animal Partitioning'!J14^2/'Animal Partitioning'!I14^2+ResourceFeedMain!R$12^2/ResourceFeedMain!Q$12^2)</f>
        <v>4.9246108490756013</v>
      </c>
      <c r="E10" s="805">
        <f>'Animal Partitioning'!G14*ResourceFeedMain!Y$12*B16</f>
        <v>7.1258683860297527</v>
      </c>
      <c r="F10" s="809">
        <f>E10*SQRT('Animal Partitioning'!H14^2/'Animal Partitioning'!G14^2+ResourceFeedMain!Z$12^2/ResourceFeedMain!Y$12^2)</f>
        <v>2.4828971948727161</v>
      </c>
      <c r="G10" s="817">
        <f>'Animal Partitioning'!E14*ResourceFeedMain!AA$12*B17</f>
        <v>49.165467000000007</v>
      </c>
      <c r="H10" s="818">
        <f>G10*SQRT('Animal Partitioning'!F14^2/'Animal Partitioning'!E14^2+ResourceFeedMain!AB$12^2/ResourceFeedMain!AA$12^2)</f>
        <v>28.067921441559243</v>
      </c>
      <c r="I10" s="812">
        <f>G10+E10+C10</f>
        <v>72.184932716306463</v>
      </c>
      <c r="J10" s="778">
        <f t="shared" si="0"/>
        <v>28.604628725866746</v>
      </c>
      <c r="K10" s="781">
        <f>I10*B$25</f>
        <v>72.545857379887991</v>
      </c>
      <c r="L10" s="812">
        <f t="shared" si="1"/>
        <v>28.747651869496078</v>
      </c>
      <c r="M10" s="821">
        <f>'Animal Partitioning'!I14*ResourceFeedMain!Q$17*B15</f>
        <v>2279.7411217487029</v>
      </c>
      <c r="N10" s="537">
        <f>M10*SQRT('Animal Partitioning'!J14^2/'Animal Partitioning'!I14^2+ResourceFeedMain!R$17^2/ResourceFeedMain!Q$17^2)</f>
        <v>757.01209340571768</v>
      </c>
      <c r="O10" s="821">
        <f>'Animal Partitioning'!G14*ResourceFeedMain!Y$17*B16</f>
        <v>2975.9287763385282</v>
      </c>
      <c r="P10" s="825">
        <f>O10*SQRT('Animal Partitioning'!H14^2/'Animal Partitioning'!G14^2+ResourceFeedMain!Z$17^2/ResourceFeedMain!Y$17^2)</f>
        <v>1099.279863408223</v>
      </c>
      <c r="Q10" s="829">
        <f>'Animal Partitioning'!E14*ResourceFeedMain!AA$17*B17</f>
        <v>472.30527656928399</v>
      </c>
      <c r="R10" s="902">
        <f>Q10*SQRT('Animal Partitioning'!F14^2/'Animal Partitioning'!E14^2+ResourceFeedMain!AB$17^2/ResourceFeedMain!AA$17^2)</f>
        <v>281.76953076132713</v>
      </c>
      <c r="S10" s="613">
        <f>Q10+O10+M10</f>
        <v>5727.9751746565153</v>
      </c>
      <c r="T10" s="613">
        <f>SQRT(R10^2+P10^2+N10^2)</f>
        <v>1364.1398741048392</v>
      </c>
      <c r="U10" s="613">
        <f>S10*B25</f>
        <v>5756.6150505297974</v>
      </c>
      <c r="V10" s="826">
        <f>T10*B25</f>
        <v>1370.9605734753634</v>
      </c>
      <c r="W10" s="821">
        <f>'Animal Partitioning'!I14*ResourceFeedMain!Q$15*B15</f>
        <v>1155.381053305254</v>
      </c>
      <c r="X10" s="601">
        <f>W10*SQRT('Animal Partitioning'!J14^2/'Animal Partitioning'!I14^2+ResourceFeedMain!R$15^2/ResourceFeedMain!Q$15^2)</f>
        <v>394.82634569660155</v>
      </c>
      <c r="Y10" s="821">
        <f>'Animal Partitioning'!G14*ResourceFeedMain!Y$15*B16</f>
        <v>644.57200246312789</v>
      </c>
      <c r="Z10" s="825">
        <f>Y10*SQRT('Animal Partitioning'!H14^2/'Animal Partitioning'!G14^2+ResourceFeedMain!Z$15^2/ResourceFeedMain!Y$15^2)</f>
        <v>224.5489883102758</v>
      </c>
      <c r="AA10" s="829">
        <f>'Animal Partitioning'!E14*ResourceFeedMain!AA$15*B17</f>
        <v>94.195043892540014</v>
      </c>
      <c r="AB10" s="818">
        <f>AA10*SQRT('Animal Partitioning'!F14^2/'Animal Partitioning'!E14^2+ResourceFeedMain!AB$15^2/ResourceFeedMain!AA$15^2)</f>
        <v>54.881907870069639</v>
      </c>
      <c r="AC10" s="613">
        <f>AA10+Y10+W10</f>
        <v>1894.1480996609218</v>
      </c>
      <c r="AD10" s="613">
        <f t="shared" si="2"/>
        <v>457.51733870833738</v>
      </c>
      <c r="AE10" s="784">
        <f>AC10*B25</f>
        <v>1903.6188401592262</v>
      </c>
      <c r="AF10" s="1123">
        <f>AD10*B25</f>
        <v>459.80492540187902</v>
      </c>
      <c r="AG10" s="1134">
        <f>'Animal Partitioning'!I14*(ResourceFeedMain!Q$19+AO20)*B15</f>
        <v>138051.8780966294</v>
      </c>
      <c r="AH10" s="1609">
        <f>AG10*SQRT((ResourceFeedMain!R$19^2+AP$20^2)/(ResourceFeedMain!Q$19+AO$20)^2+'Animal Partitioning'!J14^2/'Animal Partitioning'!I14^2)</f>
        <v>42269.274334941241</v>
      </c>
      <c r="AI10" s="1135">
        <f>'Animal Partitioning'!G14*ResourceFeedMain!Y$19*B16</f>
        <v>39404.848193075079</v>
      </c>
      <c r="AJ10" s="1136">
        <f>AI10*SQRT('Animal Partitioning'!H14^2/'Animal Partitioning'!G14^2+ResourceFeedMain!Z$19^2/ResourceFeedMain!Y$19^2)</f>
        <v>14751.662036481139</v>
      </c>
      <c r="AK10" s="1137">
        <f>'Animal Partitioning'!E14*ResourceFeedMain!AA$19*B17</f>
        <v>18961.099974503231</v>
      </c>
      <c r="AL10" s="1138">
        <f>AK10*SQRT('Animal Partitioning'!F14^2/'Animal Partitioning'!E14^2+ResourceFeedMain!AB$19^2/ResourceFeedMain!AA$19^2)</f>
        <v>12301.02209995902</v>
      </c>
      <c r="AM10" s="1131">
        <f>AK10+AI10+AG10</f>
        <v>196417.82626420772</v>
      </c>
      <c r="AN10" s="1131">
        <f t="shared" si="3"/>
        <v>46428.635887184551</v>
      </c>
      <c r="AO10" s="1132">
        <f>AM10*B25</f>
        <v>197399.91539552875</v>
      </c>
      <c r="AP10" s="1612">
        <f t="shared" si="4"/>
        <v>46660.779066620467</v>
      </c>
      <c r="AQ10" s="1336">
        <f>'Animal Partitioning'!I14*ResourceFeedMain!Q$21*B$15</f>
        <v>10248.222521705238</v>
      </c>
      <c r="AR10" s="1339">
        <f>AQ10*SQRT(('Animal Partitioning'!J14^2/'Animal Partitioning'!I14^2+ResourceFeedMain!R$21^2/ResourceFeedMain!Q$21^2))</f>
        <v>3152.5124669287711</v>
      </c>
      <c r="AS10" s="1336">
        <f>'Animal Partitioning'!G14*ResourceFeedMain!Y$21*B$16</f>
        <v>4372.7492872211451</v>
      </c>
      <c r="AT10" s="1138">
        <f>AS10*SQRT('Animal Partitioning'!H14^2/'Animal Partitioning'!G14^2+ResourceFeedMain!Z$21^2/ResourceFeedMain!Y$21^2)</f>
        <v>1582.3286073870654</v>
      </c>
      <c r="AU10" s="1137">
        <f>'Animal Partitioning'!E14*ResourceFeedMain!AA$19*B17</f>
        <v>18961.099974503231</v>
      </c>
      <c r="AV10" s="1138">
        <f>AU10*SQRT('Animal Partitioning'!F14^2/'Animal Partitioning'!E14^2+ResourceFeedMain!AB$21^2/ResourceFeedMain!AA$21^2)</f>
        <v>12416.855378810045</v>
      </c>
      <c r="AW10" s="1131">
        <f>AU10+AS10+AQ10</f>
        <v>33582.071783429616</v>
      </c>
      <c r="AX10" s="1131">
        <f t="shared" si="5"/>
        <v>12908.152314494153</v>
      </c>
      <c r="AY10" s="1132">
        <f>AW10*B25+AY19</f>
        <v>36124.120777346761</v>
      </c>
      <c r="AZ10" s="1133">
        <f>SQRT((AX10*B25)^2+AZ19^2)</f>
        <v>12993.638548182187</v>
      </c>
    </row>
    <row r="11" spans="1:52" ht="19">
      <c r="B11" s="898" t="s">
        <v>586</v>
      </c>
      <c r="C11" s="606">
        <f>SUM(C6:C10)</f>
        <v>76.045920240558431</v>
      </c>
      <c r="D11" s="606"/>
      <c r="E11" s="606">
        <f>SUM(E6:E10)</f>
        <v>65.980262833608819</v>
      </c>
      <c r="F11" s="606"/>
      <c r="G11" s="606">
        <f>SUM(G6:G10)</f>
        <v>712.54300000000012</v>
      </c>
      <c r="H11" s="606"/>
      <c r="I11" s="606">
        <f>SUM(I6:I10)</f>
        <v>854.56918307416731</v>
      </c>
      <c r="J11" s="606"/>
      <c r="K11" s="606"/>
      <c r="L11" s="606"/>
      <c r="M11" s="606">
        <f>SUM(M6:M10)</f>
        <v>10907.852257170829</v>
      </c>
      <c r="N11" s="606"/>
      <c r="O11" s="606">
        <f>SUM(O6:O10)</f>
        <v>27554.896077208599</v>
      </c>
      <c r="P11" s="606"/>
      <c r="Q11" s="606">
        <f>SUM(Q6:Q10)</f>
        <v>6845.004008250492</v>
      </c>
      <c r="R11" s="606"/>
      <c r="S11" s="606">
        <f>SUM(S6:S10)</f>
        <v>45307.752342629916</v>
      </c>
      <c r="T11" s="606"/>
      <c r="U11" s="606">
        <f>SUM(U6:U10)</f>
        <v>45867.739112063158</v>
      </c>
      <c r="V11" s="606"/>
      <c r="W11" s="606">
        <f>SUM(W6:W10)</f>
        <v>5528.1390110299235</v>
      </c>
      <c r="X11" s="606"/>
      <c r="Y11" s="606">
        <f>SUM(Y6:Y10)</f>
        <v>5968.2592820660002</v>
      </c>
      <c r="Z11" s="606"/>
      <c r="AA11" s="606">
        <f>SUM(AA6:AA10)</f>
        <v>1365.1455636600003</v>
      </c>
      <c r="AB11" s="606"/>
      <c r="AC11" s="606">
        <f>SUM(AC6:AC10)</f>
        <v>12861.543856755925</v>
      </c>
      <c r="AD11" s="606"/>
      <c r="AE11" s="606">
        <f>SUM(AE6:AE10)</f>
        <v>12776.631982704414</v>
      </c>
      <c r="AF11" s="606"/>
      <c r="AG11" s="1654">
        <f>SUM(AG6:AG10)</f>
        <v>660535.30189774837</v>
      </c>
      <c r="AH11" s="1655"/>
      <c r="AI11" s="1656">
        <f>SUM(AI6:AI10)</f>
        <v>364859.70549143601</v>
      </c>
      <c r="AJ11" s="1656"/>
      <c r="AK11" s="1656">
        <f>SUM(AK6:AK10)</f>
        <v>274798.55035511928</v>
      </c>
      <c r="AL11" s="1656"/>
      <c r="AM11" s="1655"/>
      <c r="AN11" s="1655"/>
      <c r="AO11" s="1656">
        <f>SUM(AO6:AO10)</f>
        <v>1281631.2569728286</v>
      </c>
      <c r="AP11" s="1657"/>
      <c r="AQ11" s="1559"/>
      <c r="AR11" s="1560"/>
      <c r="AS11" s="1560"/>
      <c r="AT11" s="1560"/>
      <c r="AU11" s="1560"/>
      <c r="AV11" s="1560"/>
      <c r="AW11" s="1560"/>
      <c r="AX11" s="1560"/>
      <c r="AY11" s="1560"/>
      <c r="AZ11" s="1561"/>
    </row>
    <row r="12" spans="1:52" ht="19">
      <c r="B12" s="897"/>
      <c r="E12" t="s">
        <v>842</v>
      </c>
      <c r="F12">
        <f>C10/I10</f>
        <v>0.22017887573214254</v>
      </c>
      <c r="I12" s="628"/>
      <c r="J12" s="628"/>
      <c r="K12" s="628"/>
      <c r="AG12" s="450"/>
      <c r="AH12" s="1651"/>
      <c r="AI12" s="1651"/>
      <c r="AJ12" s="1633"/>
      <c r="AK12" s="1651"/>
      <c r="AL12" s="177"/>
      <c r="AM12" s="807">
        <f>AJ17+AI12+AK12</f>
        <v>0</v>
      </c>
      <c r="AN12" s="177"/>
      <c r="AO12" s="177"/>
      <c r="AP12" s="911"/>
      <c r="AQ12" s="450"/>
      <c r="AR12" s="177"/>
      <c r="AS12" s="177"/>
      <c r="AT12" s="177"/>
      <c r="AU12" s="177"/>
      <c r="AV12" s="177"/>
      <c r="AW12" s="177"/>
      <c r="AX12" s="177"/>
      <c r="AY12" s="177"/>
      <c r="AZ12" s="911"/>
    </row>
    <row r="13" spans="1:52" ht="16" customHeight="1" thickBot="1">
      <c r="E13" t="s">
        <v>843</v>
      </c>
      <c r="F13">
        <f>E10/I10</f>
        <v>9.8716839067164913E-2</v>
      </c>
      <c r="AC13" s="893"/>
      <c r="AG13" s="450"/>
      <c r="AH13" s="1651"/>
      <c r="AI13" s="1651"/>
      <c r="AJ13" s="177"/>
      <c r="AK13" s="1651"/>
      <c r="AL13" s="177"/>
      <c r="AM13" s="807">
        <f>AJ21+AI13+AK13</f>
        <v>0</v>
      </c>
      <c r="AN13" s="177"/>
      <c r="AO13" s="177"/>
      <c r="AP13" s="911"/>
      <c r="AQ13" s="450"/>
      <c r="AR13" s="177"/>
      <c r="AS13" s="177"/>
      <c r="AT13" s="177"/>
      <c r="AU13" s="177"/>
      <c r="AV13" s="1563"/>
      <c r="AW13" s="1563"/>
      <c r="AX13" s="177"/>
      <c r="AY13" s="177"/>
      <c r="AZ13" s="911"/>
    </row>
    <row r="14" spans="1:52" ht="15" customHeight="1">
      <c r="A14" s="249" t="s">
        <v>230</v>
      </c>
      <c r="E14" t="s">
        <v>844</v>
      </c>
      <c r="F14">
        <f>G10/I10</f>
        <v>0.68110428520069266</v>
      </c>
      <c r="M14" s="628"/>
      <c r="N14" s="449" t="s">
        <v>71</v>
      </c>
      <c r="O14" s="507"/>
      <c r="P14" s="507"/>
      <c r="AG14" s="450"/>
      <c r="AH14" s="1652"/>
      <c r="AI14" s="1652"/>
      <c r="AJ14" s="177"/>
      <c r="AK14" s="1652"/>
      <c r="AL14" s="177"/>
      <c r="AM14" s="177"/>
      <c r="AN14" s="1555" t="s">
        <v>950</v>
      </c>
      <c r="AO14" s="1562" t="s">
        <v>924</v>
      </c>
      <c r="AP14" s="1658" t="s">
        <v>257</v>
      </c>
      <c r="AQ14" s="1564"/>
      <c r="AR14" s="1174"/>
      <c r="AV14" s="177"/>
      <c r="AW14" s="177"/>
      <c r="AX14" s="1555" t="s">
        <v>925</v>
      </c>
      <c r="AY14" s="1562" t="s">
        <v>926</v>
      </c>
      <c r="AZ14" s="1568" t="s">
        <v>257</v>
      </c>
    </row>
    <row r="15" spans="1:52" ht="15" customHeight="1">
      <c r="A15" s="608" t="s">
        <v>115</v>
      </c>
      <c r="B15" s="615">
        <v>0.98070000000000002</v>
      </c>
      <c r="C15" s="938" t="s">
        <v>8</v>
      </c>
      <c r="N15" s="690" t="s">
        <v>157</v>
      </c>
      <c r="O15" s="692">
        <f>comments!D17</f>
        <v>112634.12693538501</v>
      </c>
      <c r="P15" s="691"/>
      <c r="U15" s="391"/>
      <c r="AG15" s="450"/>
      <c r="AH15" s="1563"/>
      <c r="AI15" s="177"/>
      <c r="AJ15" s="177"/>
      <c r="AK15" s="177"/>
      <c r="AL15" s="177"/>
      <c r="AM15" s="177"/>
      <c r="AN15" s="1659" t="s">
        <v>464</v>
      </c>
      <c r="AO15" s="1569">
        <f>'Animal Partitioning'!I10*PartitioningResources!AO$20*B21</f>
        <v>17302.431119999997</v>
      </c>
      <c r="AP15" s="1530">
        <f>AO15*SQRT('Animal Partitioning'!J10^2/'Animal Partitioning'!I10^2+PartitioningResources!AP$20^2/PartitioningResources!AO$20^2)</f>
        <v>9337.7735197982183</v>
      </c>
      <c r="AQ15" s="450"/>
      <c r="AR15" s="177"/>
      <c r="AV15" s="177"/>
      <c r="AW15" s="177"/>
      <c r="AX15" s="1556" t="s">
        <v>464</v>
      </c>
      <c r="AY15" s="1569">
        <f>'Animal Partitioning'!I10*PartitioningResources!AY$20*B21</f>
        <v>2832.9839199999997</v>
      </c>
      <c r="AZ15" s="1530">
        <f>AY15*SQRT('Animal Partitioning'!J10^2/'Animal Partitioning'!I10^2+PartitioningResources!AZ$20^2/PartitioningResources!AY$20^2)</f>
        <v>1541.7381429323939</v>
      </c>
    </row>
    <row r="16" spans="1:52" ht="19" customHeight="1">
      <c r="A16" s="608" t="s">
        <v>7</v>
      </c>
      <c r="B16" s="615">
        <v>0.95209999999999995</v>
      </c>
      <c r="C16" s="938" t="s">
        <v>9</v>
      </c>
      <c r="N16" s="288"/>
      <c r="O16" s="288"/>
      <c r="AG16" s="450"/>
      <c r="AH16" s="177"/>
      <c r="AI16" s="177"/>
      <c r="AJ16" s="177"/>
      <c r="AK16" s="1262"/>
      <c r="AL16" s="177"/>
      <c r="AM16" s="177"/>
      <c r="AN16" s="1557" t="s">
        <v>110</v>
      </c>
      <c r="AO16" s="1569">
        <f>'Animal Partitioning'!I11*PartitioningResources!AO$20*B22</f>
        <v>15699.48486</v>
      </c>
      <c r="AP16" s="1530">
        <f>AO16*SQRT('Animal Partitioning'!J11^2/'Animal Partitioning'!I11^2+PartitioningResources!AP$20^2/PartitioningResources!AO$20^2)</f>
        <v>4176.0765532240712</v>
      </c>
      <c r="AQ16" s="450"/>
      <c r="AR16" s="177"/>
      <c r="AV16" s="177"/>
      <c r="AW16" s="177"/>
      <c r="AX16" s="1557" t="s">
        <v>110</v>
      </c>
      <c r="AY16" s="1569">
        <f>'Animal Partitioning'!I11*PartitioningResources!AY$20*B22</f>
        <v>2570.52826</v>
      </c>
      <c r="AZ16" s="1530">
        <f>AY16*SQRT('Animal Partitioning'!J11^2/'Animal Partitioning'!I11^2+PartitioningResources!AZ$20^2/PartitioningResources!AY$20^2)</f>
        <v>707.08978415063439</v>
      </c>
    </row>
    <row r="17" spans="1:52" ht="15" customHeight="1">
      <c r="A17" s="608" t="s">
        <v>151</v>
      </c>
      <c r="B17" s="615">
        <v>0.92900000000000005</v>
      </c>
      <c r="C17" s="938" t="s">
        <v>10</v>
      </c>
      <c r="M17" s="449" t="s">
        <v>156</v>
      </c>
      <c r="N17" s="674"/>
      <c r="O17" s="674"/>
      <c r="P17" s="507"/>
      <c r="AG17" s="450"/>
      <c r="AH17" s="823"/>
      <c r="AI17" s="1636"/>
      <c r="AJ17" s="823"/>
      <c r="AK17" s="177"/>
      <c r="AL17" s="177"/>
      <c r="AM17" s="177"/>
      <c r="AN17" s="1557" t="s">
        <v>222</v>
      </c>
      <c r="AO17" s="1569">
        <f>'Animal Partitioning'!I12*PartitioningResources!AO$20*B23</f>
        <v>14637.066990000001</v>
      </c>
      <c r="AP17" s="1530">
        <f>AO17*SQRT('Animal Partitioning'!J12^2/'Animal Partitioning'!I12^2+PartitioningResources!AP$20^2/PartitioningResources!AO$20^2)</f>
        <v>6559.0814026590242</v>
      </c>
      <c r="AQ17" s="450"/>
      <c r="AR17" s="177"/>
      <c r="AV17" s="177"/>
      <c r="AW17" s="177"/>
      <c r="AX17" s="1557" t="s">
        <v>222</v>
      </c>
      <c r="AY17" s="1569">
        <f>'Animal Partitioning'!I12*PartitioningResources!AY$20*B23</f>
        <v>2396.5750900000003</v>
      </c>
      <c r="AZ17" s="1530">
        <f>AY17*SQRT('Animal Partitioning'!J12^2/'Animal Partitioning'!I12^2+PartitioningResources!AZ$20^2/PartitioningResources!AY$20^2)</f>
        <v>1086.9907612144018</v>
      </c>
    </row>
    <row r="18" spans="1:52" s="288" customFormat="1" ht="15" customHeight="1">
      <c r="A18" s="608"/>
      <c r="M18" s="690"/>
      <c r="N18" s="126"/>
      <c r="O18" s="126"/>
      <c r="P18" s="698">
        <f>U11/O15</f>
        <v>0.40722772360437592</v>
      </c>
      <c r="AG18" s="450"/>
      <c r="AH18" s="823"/>
      <c r="AI18" s="1636"/>
      <c r="AJ18" s="823"/>
      <c r="AK18" s="177"/>
      <c r="AL18" s="177"/>
      <c r="AM18" s="177"/>
      <c r="AN18" s="1557" t="s">
        <v>223</v>
      </c>
      <c r="AO18" s="1569">
        <f>'Animal Partitioning'!I13*PartitioningResources!AO$20*B24</f>
        <v>2493.4719599999999</v>
      </c>
      <c r="AP18" s="1530">
        <f>AO18*SQRT('Animal Partitioning'!J13^2/'Animal Partitioning'!I13^2+PartitioningResources!AP$20^2/PartitioningResources!AO$20^2)</f>
        <v>1184.0676131889961</v>
      </c>
      <c r="AQ18" s="450"/>
      <c r="AR18" s="177"/>
      <c r="AV18" s="177"/>
      <c r="AW18" s="177"/>
      <c r="AX18" s="1557" t="s">
        <v>223</v>
      </c>
      <c r="AY18" s="1569">
        <f>'Animal Partitioning'!I13*PartitioningResources!AY$20*B24</f>
        <v>408.26435999999995</v>
      </c>
      <c r="AZ18" s="1530">
        <f>AY18*SQRT('Animal Partitioning'!J13^2/'Animal Partitioning'!I13^2+PartitioningResources!AZ$20^2/PartitioningResources!AY$20^2)</f>
        <v>195.9706591080573</v>
      </c>
    </row>
    <row r="19" spans="1:52" ht="16.25" customHeight="1">
      <c r="A19" s="618" t="s">
        <v>806</v>
      </c>
      <c r="B19" s="532"/>
      <c r="M19" s="288"/>
      <c r="N19" s="689"/>
      <c r="O19" s="689"/>
      <c r="P19" s="288"/>
      <c r="AG19" s="450"/>
      <c r="AH19" s="823"/>
      <c r="AI19" s="1636"/>
      <c r="AJ19" s="823"/>
      <c r="AK19" s="177"/>
      <c r="AL19" s="177"/>
      <c r="AM19" s="177"/>
      <c r="AN19" s="1558" t="s">
        <v>465</v>
      </c>
      <c r="AO19" s="1569">
        <f>'Animal Partitioning'!I14*PartitioningResources!AO$20*B25</f>
        <v>14500.036484999997</v>
      </c>
      <c r="AP19" s="1530">
        <f>AO19*SQRT('Animal Partitioning'!J14^2/'Animal Partitioning'!I14^2+PartitioningResources!AP$20^2/PartitioningResources!AO$20^2)</f>
        <v>4388.0578249337868</v>
      </c>
      <c r="AQ19" s="450"/>
      <c r="AR19" s="177"/>
      <c r="AV19" s="177"/>
      <c r="AW19" s="177"/>
      <c r="AX19" s="1558" t="s">
        <v>465</v>
      </c>
      <c r="AY19" s="1569">
        <f>'Animal Partitioning'!I14*PartitioningResources!AY$20*B25</f>
        <v>2374.1386349999993</v>
      </c>
      <c r="AZ19" s="1530">
        <f>AY19*SQRT('Animal Partitioning'!J14^2/'Animal Partitioning'!I14^2+PartitioningResources!AZ$20^2/PartitioningResources!AY$20^2)</f>
        <v>737.48022005964935</v>
      </c>
    </row>
    <row r="20" spans="1:52" s="288" customFormat="1" ht="16.25" customHeight="1">
      <c r="A20" s="532" t="s">
        <v>231</v>
      </c>
      <c r="B20" s="532"/>
      <c r="M20" s="288" t="s">
        <v>101</v>
      </c>
      <c r="N20" s="689"/>
      <c r="AG20" s="450"/>
      <c r="AH20" s="823"/>
      <c r="AI20" s="1636"/>
      <c r="AJ20" s="823"/>
      <c r="AK20" s="177"/>
      <c r="AL20" s="177"/>
      <c r="AM20" s="177"/>
      <c r="AN20" s="1570" t="s">
        <v>586</v>
      </c>
      <c r="AO20" s="1631">
        <f>69033</f>
        <v>69033</v>
      </c>
      <c r="AP20" s="1632">
        <v>6609</v>
      </c>
      <c r="AQ20" s="450"/>
      <c r="AR20" s="177"/>
      <c r="AV20" s="177"/>
      <c r="AW20" s="177"/>
      <c r="AX20" s="1570"/>
      <c r="AY20" s="1631">
        <v>11303</v>
      </c>
      <c r="AZ20" s="1632">
        <v>1341</v>
      </c>
    </row>
    <row r="21" spans="1:52" ht="16" customHeight="1">
      <c r="A21" s="540" t="s">
        <v>464</v>
      </c>
      <c r="B21" s="1139">
        <v>1.04</v>
      </c>
      <c r="M21" s="509" t="s">
        <v>82</v>
      </c>
      <c r="N21" s="674" t="s">
        <v>73</v>
      </c>
      <c r="O21" s="707"/>
      <c r="P21" s="674" t="s">
        <v>72</v>
      </c>
      <c r="Q21" s="507"/>
      <c r="R21" s="507"/>
      <c r="W21" s="899"/>
      <c r="AG21" s="450"/>
      <c r="AH21" s="177"/>
      <c r="AI21" s="1636"/>
      <c r="AJ21" s="823"/>
      <c r="AK21" s="177"/>
      <c r="AL21" s="177"/>
      <c r="AM21" s="177"/>
      <c r="AN21" s="1660"/>
      <c r="AO21" s="1661"/>
      <c r="AP21" s="1662"/>
      <c r="AQ21" s="450"/>
      <c r="AR21" s="177"/>
      <c r="AS21" s="177"/>
      <c r="AT21" s="177"/>
      <c r="AU21" s="177"/>
      <c r="AV21" s="177"/>
      <c r="AW21" s="177"/>
      <c r="AX21" s="1571" t="s">
        <v>927</v>
      </c>
      <c r="AY21" s="1572">
        <f>SUM(AY15:AY19)</f>
        <v>10582.490264999999</v>
      </c>
      <c r="AZ21" s="1573"/>
    </row>
    <row r="22" spans="1:52">
      <c r="A22" s="540" t="s">
        <v>110</v>
      </c>
      <c r="B22" s="1139">
        <v>0.83</v>
      </c>
      <c r="M22" s="450">
        <v>2140</v>
      </c>
      <c r="N22" s="177">
        <f>M22*3.78/1000*365</f>
        <v>2952.558</v>
      </c>
      <c r="O22" s="177"/>
      <c r="P22" s="708">
        <f>N22/O15</f>
        <v>2.6213706985040143E-2</v>
      </c>
      <c r="Q22" s="326" t="s">
        <v>125</v>
      </c>
      <c r="R22" s="326"/>
      <c r="AF22" s="177"/>
      <c r="AG22" s="450"/>
      <c r="AH22" s="177"/>
      <c r="AI22" s="177"/>
      <c r="AJ22" s="823"/>
      <c r="AK22" s="177"/>
      <c r="AL22" s="177"/>
      <c r="AM22" s="177"/>
      <c r="AN22" s="177"/>
      <c r="AO22" s="177"/>
      <c r="AP22" s="1176"/>
      <c r="AQ22" s="450"/>
      <c r="AR22" s="177"/>
      <c r="AS22" s="177"/>
      <c r="AT22" s="177"/>
      <c r="AU22" s="177"/>
      <c r="AV22" s="177"/>
      <c r="AW22" s="177"/>
      <c r="AX22" s="177"/>
      <c r="AY22" s="177"/>
      <c r="AZ22" s="911"/>
    </row>
    <row r="23" spans="1:52">
      <c r="A23" s="540" t="s">
        <v>222</v>
      </c>
      <c r="B23" s="1139">
        <v>0.91</v>
      </c>
      <c r="M23" s="690"/>
      <c r="N23" s="126"/>
      <c r="O23" s="126"/>
      <c r="P23" s="709">
        <f>N22/U11</f>
        <v>6.4371125700928233E-2</v>
      </c>
      <c r="Q23" s="691" t="s">
        <v>126</v>
      </c>
      <c r="R23" s="691"/>
      <c r="AF23" s="177"/>
      <c r="AG23" s="450"/>
      <c r="AH23" s="177"/>
      <c r="AI23" s="177"/>
      <c r="AJ23" s="1512"/>
      <c r="AK23" s="177"/>
      <c r="AL23" s="177"/>
      <c r="AM23" s="177"/>
      <c r="AN23" s="177"/>
      <c r="AO23" s="177"/>
      <c r="AP23" s="1176"/>
      <c r="AQ23" s="450"/>
      <c r="AR23" s="177"/>
      <c r="AS23" s="177"/>
      <c r="AT23" s="177"/>
      <c r="AU23" s="177"/>
      <c r="AV23" s="177"/>
      <c r="AW23" s="177"/>
      <c r="AX23" s="177"/>
      <c r="AY23" s="177"/>
      <c r="AZ23" s="911"/>
    </row>
    <row r="24" spans="1:52">
      <c r="A24" s="540" t="s">
        <v>223</v>
      </c>
      <c r="B24" s="1139">
        <v>0.84</v>
      </c>
      <c r="M24" s="288"/>
      <c r="N24" s="689"/>
      <c r="O24" s="689"/>
      <c r="P24" s="288"/>
      <c r="AF24" s="177"/>
      <c r="AG24" s="912"/>
      <c r="AH24" s="126"/>
      <c r="AI24" s="126"/>
      <c r="AJ24" s="1177"/>
      <c r="AK24" s="126"/>
      <c r="AL24" s="126"/>
      <c r="AM24" s="126"/>
      <c r="AN24" s="126"/>
      <c r="AO24" s="126"/>
      <c r="AP24" s="1178"/>
      <c r="AQ24" s="912"/>
      <c r="AR24" s="126"/>
      <c r="AS24" s="126"/>
      <c r="AT24" s="126"/>
      <c r="AU24" s="126"/>
      <c r="AV24" s="126"/>
      <c r="AW24" s="126"/>
      <c r="AX24" s="126"/>
      <c r="AY24" s="126"/>
      <c r="AZ24" s="913"/>
    </row>
    <row r="25" spans="1:52">
      <c r="A25" s="540" t="s">
        <v>465</v>
      </c>
      <c r="B25" s="1139">
        <v>1.0049999999999999</v>
      </c>
      <c r="L25" s="608" t="s">
        <v>217</v>
      </c>
      <c r="M25" s="699" t="s">
        <v>65</v>
      </c>
      <c r="AF25" s="177"/>
      <c r="AG25" s="177"/>
      <c r="AH25" s="177"/>
      <c r="AI25" s="1653"/>
      <c r="AJ25" s="1174"/>
      <c r="AK25" s="177"/>
      <c r="AL25" s="177"/>
      <c r="AM25" s="177"/>
      <c r="AP25" s="1175"/>
    </row>
    <row r="26" spans="1:52">
      <c r="A26" s="177"/>
      <c r="D26" s="177"/>
      <c r="E26" s="177"/>
      <c r="F26" s="177"/>
      <c r="G26" s="177"/>
      <c r="H26" s="177"/>
      <c r="I26" s="177"/>
      <c r="J26" s="177"/>
      <c r="K26" s="177"/>
      <c r="L26" s="177"/>
      <c r="M26" s="177"/>
      <c r="N26" s="177"/>
      <c r="O26" s="177"/>
      <c r="P26" s="177"/>
      <c r="Q26" s="177"/>
      <c r="R26" s="177"/>
      <c r="S26" s="177"/>
      <c r="T26" s="177"/>
      <c r="U26" s="177"/>
      <c r="V26" s="177"/>
      <c r="W26" s="177"/>
      <c r="X26" s="177"/>
      <c r="Y26" s="177"/>
      <c r="AI26" s="628"/>
      <c r="AJ26" s="1174"/>
      <c r="AP26" s="1175"/>
    </row>
    <row r="27" spans="1:52">
      <c r="A27" s="177"/>
      <c r="D27" s="177"/>
      <c r="E27" s="177"/>
      <c r="F27" s="177"/>
      <c r="G27" s="177"/>
      <c r="H27" s="177"/>
      <c r="I27" s="177"/>
      <c r="J27" s="177"/>
      <c r="K27" s="177"/>
      <c r="L27" s="177"/>
      <c r="M27" s="177"/>
      <c r="N27" s="177"/>
      <c r="O27" s="177"/>
      <c r="P27" s="177"/>
      <c r="Q27" s="177"/>
      <c r="R27" s="177"/>
      <c r="S27" s="177"/>
      <c r="T27" s="177"/>
      <c r="U27" s="177"/>
      <c r="V27" s="177"/>
      <c r="W27" s="177"/>
      <c r="X27" s="177"/>
      <c r="Y27" s="177"/>
      <c r="AG27" s="938"/>
      <c r="AH27" s="938"/>
      <c r="AI27" s="628"/>
      <c r="AJ27" s="1174"/>
      <c r="AP27" s="1175"/>
    </row>
    <row r="28" spans="1:52">
      <c r="D28" s="177"/>
      <c r="E28" s="177"/>
      <c r="F28" s="177"/>
      <c r="G28" s="177"/>
      <c r="H28" s="177"/>
      <c r="I28" s="177"/>
      <c r="J28" s="177"/>
      <c r="K28" s="177"/>
      <c r="L28" s="177"/>
      <c r="M28" s="177"/>
      <c r="N28" s="177"/>
      <c r="O28" s="177"/>
      <c r="P28" s="177"/>
      <c r="Q28" s="177"/>
      <c r="R28" s="177"/>
      <c r="S28" s="177"/>
      <c r="T28" s="177"/>
      <c r="U28" s="177"/>
      <c r="V28" s="177"/>
      <c r="W28" s="177"/>
      <c r="X28" s="177"/>
      <c r="Y28" s="177"/>
      <c r="AG28" s="938"/>
      <c r="AH28" s="938"/>
      <c r="AJ28" s="1174"/>
      <c r="AP28" s="1175"/>
    </row>
    <row r="29" spans="1:52">
      <c r="D29" s="177"/>
      <c r="E29" s="177"/>
      <c r="F29" s="177"/>
      <c r="G29" s="177"/>
      <c r="H29" s="177"/>
      <c r="I29" s="177"/>
      <c r="J29" s="177"/>
      <c r="K29" s="177"/>
      <c r="L29" s="177"/>
      <c r="M29" s="177"/>
      <c r="N29" s="177"/>
      <c r="O29" s="177"/>
      <c r="P29" s="177"/>
      <c r="Q29" s="177"/>
      <c r="R29" s="177"/>
      <c r="S29" s="177"/>
      <c r="T29" s="177"/>
      <c r="U29" s="177"/>
      <c r="V29" s="177"/>
      <c r="W29" s="177"/>
      <c r="X29" s="177"/>
      <c r="Y29" s="177"/>
      <c r="AG29" s="938"/>
      <c r="AH29" s="938"/>
    </row>
    <row r="30" spans="1:52">
      <c r="C30" s="1101"/>
      <c r="D30" s="1119"/>
      <c r="E30" s="1119"/>
      <c r="F30" s="1119"/>
      <c r="G30" s="1119"/>
      <c r="H30" s="1119"/>
      <c r="I30" s="1119"/>
      <c r="J30" s="1119"/>
      <c r="K30" s="1119"/>
      <c r="L30" s="1119"/>
      <c r="M30" s="1119"/>
      <c r="N30" s="1119"/>
      <c r="O30" s="1119"/>
      <c r="P30" s="1119"/>
      <c r="Q30" s="1119"/>
      <c r="R30" s="1119"/>
      <c r="S30" s="1119"/>
      <c r="T30" s="1119"/>
      <c r="U30" s="1119"/>
      <c r="V30" s="1119"/>
      <c r="W30" s="1119"/>
      <c r="X30" s="1119"/>
      <c r="Y30" s="1119"/>
      <c r="Z30" s="1101"/>
      <c r="AA30" s="1119"/>
      <c r="AB30" s="1119"/>
      <c r="AC30" s="1119"/>
      <c r="AD30" s="1119"/>
      <c r="AE30" s="1119"/>
      <c r="AF30" s="177"/>
      <c r="AG30" s="628"/>
      <c r="AH30" s="938"/>
    </row>
    <row r="31" spans="1:52">
      <c r="C31" s="1101"/>
      <c r="D31" s="1102"/>
      <c r="E31" s="1103"/>
      <c r="F31" s="1687"/>
      <c r="G31" s="1687"/>
      <c r="H31" s="1687"/>
      <c r="I31" s="1687"/>
      <c r="J31" s="1687"/>
      <c r="K31" s="1687"/>
      <c r="L31" s="1687"/>
      <c r="M31" s="1104"/>
      <c r="N31" s="1688"/>
      <c r="O31" s="1688"/>
      <c r="P31" s="1688"/>
      <c r="Q31" s="1104"/>
      <c r="R31" s="1688"/>
      <c r="S31" s="1688"/>
      <c r="T31" s="1688"/>
      <c r="U31" s="1688"/>
      <c r="V31" s="1688"/>
      <c r="W31" s="1688"/>
      <c r="X31" s="1104"/>
      <c r="Y31" s="1104"/>
      <c r="Z31" s="1104"/>
      <c r="AA31" s="1105"/>
      <c r="AB31" s="1106"/>
      <c r="AC31" s="1106"/>
      <c r="AD31" s="1106"/>
      <c r="AE31" s="1106"/>
      <c r="AF31" s="177"/>
    </row>
    <row r="32" spans="1:52" ht="19" customHeight="1">
      <c r="C32" s="1101"/>
      <c r="D32" s="1689"/>
      <c r="E32" s="1689"/>
      <c r="F32" s="1690"/>
      <c r="G32" s="1690"/>
      <c r="H32" s="1691"/>
      <c r="I32" s="1691"/>
      <c r="J32" s="1688"/>
      <c r="K32" s="1688"/>
      <c r="L32" s="1104"/>
      <c r="M32" s="1104"/>
      <c r="N32" s="1692"/>
      <c r="O32" s="1692"/>
      <c r="P32" s="1692"/>
      <c r="Q32" s="1104"/>
      <c r="R32" s="1663"/>
      <c r="S32" s="1108"/>
      <c r="T32" s="1109"/>
      <c r="U32" s="1110"/>
      <c r="V32" s="1111"/>
      <c r="W32" s="1111"/>
      <c r="X32" s="1104"/>
      <c r="Y32" s="1104"/>
      <c r="Z32" s="1104"/>
      <c r="AA32" s="1105"/>
      <c r="AB32" s="1113"/>
      <c r="AC32" s="1113"/>
      <c r="AD32" s="1142"/>
      <c r="AE32" s="1104"/>
      <c r="AF32" s="177"/>
    </row>
    <row r="33" spans="3:42" ht="18.75" customHeight="1">
      <c r="C33" s="1101"/>
      <c r="D33" s="1689"/>
      <c r="E33" s="1689"/>
      <c r="F33" s="1664"/>
      <c r="G33" s="1664"/>
      <c r="H33" s="1664"/>
      <c r="I33" s="1664"/>
      <c r="J33" s="1664"/>
      <c r="K33" s="1664"/>
      <c r="L33" s="1104"/>
      <c r="M33" s="1104"/>
      <c r="N33" s="1665"/>
      <c r="O33" s="1107"/>
      <c r="P33" s="1115"/>
      <c r="Q33" s="1104"/>
      <c r="R33" s="1663"/>
      <c r="S33" s="1108"/>
      <c r="T33" s="1109"/>
      <c r="U33" s="1110"/>
      <c r="V33" s="1111"/>
      <c r="W33" s="1111"/>
      <c r="X33" s="1104"/>
      <c r="Y33" s="1112"/>
      <c r="Z33" s="1104"/>
      <c r="AA33" s="1105"/>
      <c r="AB33" s="1113"/>
      <c r="AC33" s="1113"/>
      <c r="AD33" s="1142"/>
      <c r="AE33" s="1104"/>
      <c r="AF33" s="177"/>
    </row>
    <row r="34" spans="3:42" ht="16" customHeight="1">
      <c r="C34" s="1101"/>
      <c r="D34" s="1119"/>
      <c r="E34" s="1666"/>
      <c r="F34" s="1104"/>
      <c r="G34" s="1104"/>
      <c r="H34" s="1104"/>
      <c r="I34" s="1104"/>
      <c r="J34" s="1104"/>
      <c r="K34" s="1104"/>
      <c r="L34" s="1104"/>
      <c r="M34" s="1104"/>
      <c r="N34" s="1665"/>
      <c r="O34" s="1107"/>
      <c r="P34" s="1115"/>
      <c r="Q34" s="1104"/>
      <c r="R34" s="1667"/>
      <c r="S34" s="1668"/>
      <c r="T34" s="1109"/>
      <c r="U34" s="1110"/>
      <c r="V34" s="1111"/>
      <c r="W34" s="1111"/>
      <c r="X34" s="1104"/>
      <c r="Y34" s="1104"/>
      <c r="Z34" s="1104"/>
      <c r="AA34" s="1105"/>
      <c r="AB34" s="1105"/>
      <c r="AC34" s="1105"/>
      <c r="AD34" s="1142"/>
      <c r="AE34" s="1104"/>
      <c r="AF34" s="177"/>
    </row>
    <row r="35" spans="3:42">
      <c r="C35" s="1101"/>
      <c r="D35" s="1119"/>
      <c r="E35" s="1114"/>
      <c r="F35" s="1104"/>
      <c r="G35" s="1104"/>
      <c r="H35" s="1104"/>
      <c r="I35" s="1104"/>
      <c r="J35" s="1104"/>
      <c r="K35" s="1104"/>
      <c r="L35" s="1104"/>
      <c r="M35" s="1104"/>
      <c r="N35" s="1112"/>
      <c r="O35" s="1107"/>
      <c r="P35" s="1115"/>
      <c r="Q35" s="1104"/>
      <c r="R35" s="1669"/>
      <c r="S35" s="1669"/>
      <c r="T35" s="1669"/>
      <c r="U35" s="1119"/>
      <c r="V35" s="1104"/>
      <c r="W35" s="1104"/>
      <c r="X35" s="1104"/>
      <c r="Y35" s="1104"/>
      <c r="Z35" s="1104"/>
      <c r="AA35" s="1105"/>
      <c r="AB35" s="1119"/>
      <c r="AC35" s="1119"/>
      <c r="AD35" s="1119"/>
      <c r="AE35" s="1104"/>
      <c r="AF35" s="177"/>
    </row>
    <row r="36" spans="3:42" ht="20" customHeight="1">
      <c r="C36" s="1101"/>
      <c r="D36" s="1119"/>
      <c r="E36" s="1116"/>
      <c r="F36" s="1122"/>
      <c r="G36" s="1122"/>
      <c r="H36" s="1104"/>
      <c r="I36" s="1104"/>
      <c r="J36" s="1104"/>
      <c r="K36" s="1104"/>
      <c r="L36" s="1122"/>
      <c r="M36" s="1144"/>
      <c r="N36" s="1120"/>
      <c r="O36" s="1670"/>
      <c r="P36" s="1671"/>
      <c r="Q36" s="1102"/>
      <c r="R36" s="1690"/>
      <c r="S36" s="1690"/>
      <c r="T36" s="1691"/>
      <c r="U36" s="1691"/>
      <c r="V36" s="1688"/>
      <c r="W36" s="1688"/>
      <c r="X36" s="1144"/>
      <c r="Y36" s="1144"/>
      <c r="Z36" s="1144"/>
      <c r="AA36" s="1102"/>
      <c r="AB36" s="1117"/>
      <c r="AC36" s="1117"/>
      <c r="AD36" s="1117"/>
      <c r="AE36" s="1117"/>
      <c r="AF36" s="177"/>
    </row>
    <row r="37" spans="3:42">
      <c r="C37" s="1101"/>
      <c r="D37" s="1119"/>
      <c r="E37" s="1116"/>
      <c r="F37" s="1104"/>
      <c r="G37" s="1104"/>
      <c r="H37" s="1104"/>
      <c r="I37" s="1104"/>
      <c r="J37" s="1104"/>
      <c r="K37" s="1104"/>
      <c r="L37" s="1104"/>
      <c r="M37" s="1118"/>
      <c r="N37" s="1119"/>
      <c r="O37" s="1119"/>
      <c r="P37" s="1119"/>
      <c r="Q37" s="1119"/>
      <c r="R37" s="1664"/>
      <c r="S37" s="1664"/>
      <c r="T37" s="1664"/>
      <c r="U37" s="1664"/>
      <c r="V37" s="1664"/>
      <c r="W37" s="1664"/>
      <c r="X37" s="1118"/>
      <c r="Y37" s="1118"/>
      <c r="Z37" s="1118"/>
      <c r="AA37" s="1119"/>
      <c r="AB37" s="1117"/>
      <c r="AC37" s="1117"/>
      <c r="AD37" s="1117"/>
      <c r="AE37" s="1640"/>
      <c r="AF37" s="1466"/>
      <c r="AG37" s="1641"/>
      <c r="AH37" s="1641"/>
      <c r="AI37" s="1641"/>
      <c r="AJ37" s="1641"/>
      <c r="AK37" s="1641"/>
      <c r="AL37" s="1641"/>
      <c r="AM37" s="1641"/>
      <c r="AN37" s="1641"/>
      <c r="AO37" s="1641"/>
      <c r="AP37" s="1641"/>
    </row>
    <row r="38" spans="3:42">
      <c r="C38" s="1101"/>
      <c r="D38" s="1119"/>
      <c r="E38" s="1116"/>
      <c r="F38" s="1104"/>
      <c r="G38" s="1104"/>
      <c r="H38" s="1104"/>
      <c r="I38" s="1104"/>
      <c r="J38" s="1104"/>
      <c r="K38" s="1104"/>
      <c r="L38" s="1104"/>
      <c r="M38" s="1118"/>
      <c r="N38" s="1112"/>
      <c r="O38" s="1112"/>
      <c r="P38" s="1119"/>
      <c r="Q38" s="1119"/>
      <c r="R38" s="1672"/>
      <c r="S38" s="1672"/>
      <c r="T38" s="1672"/>
      <c r="U38" s="1672"/>
      <c r="V38" s="1672"/>
      <c r="W38" s="1672"/>
      <c r="X38" s="1120"/>
      <c r="Y38" s="1118"/>
      <c r="Z38" s="1118"/>
      <c r="AA38" s="1119"/>
      <c r="AB38" s="1119"/>
      <c r="AC38" s="1143"/>
      <c r="AD38" s="1119"/>
      <c r="AE38" s="1642"/>
      <c r="AF38" s="1466"/>
      <c r="AG38" s="1641"/>
      <c r="AH38" s="1641"/>
      <c r="AI38" s="1641"/>
      <c r="AJ38" s="1641"/>
      <c r="AK38" s="1641"/>
      <c r="AL38" s="1641"/>
      <c r="AM38" s="1641"/>
      <c r="AN38" s="1641"/>
      <c r="AO38" s="1641"/>
      <c r="AP38" s="1641"/>
    </row>
    <row r="39" spans="3:42">
      <c r="C39" s="1101"/>
      <c r="D39" s="1119"/>
      <c r="E39" s="1116"/>
      <c r="F39" s="1107"/>
      <c r="G39" s="1107"/>
      <c r="H39" s="1107"/>
      <c r="I39" s="1107"/>
      <c r="J39" s="1673"/>
      <c r="K39" s="1673"/>
      <c r="L39" s="1104"/>
      <c r="M39" s="1118"/>
      <c r="N39" s="1119"/>
      <c r="O39" s="1120"/>
      <c r="P39" s="1119"/>
      <c r="Q39" s="1119"/>
      <c r="R39" s="1672"/>
      <c r="S39" s="1672"/>
      <c r="T39" s="1672"/>
      <c r="U39" s="1672"/>
      <c r="V39" s="1672"/>
      <c r="W39" s="1672"/>
      <c r="X39" s="1120"/>
      <c r="Y39" s="1118"/>
      <c r="Z39" s="1118"/>
      <c r="AA39" s="1119"/>
      <c r="AB39" s="1119"/>
      <c r="AC39" s="1119"/>
      <c r="AD39" s="1119"/>
      <c r="AE39" s="1642"/>
      <c r="AF39" s="1466"/>
      <c r="AG39" s="1466"/>
      <c r="AH39" s="1466"/>
      <c r="AI39" s="1466"/>
      <c r="AJ39" s="1466"/>
      <c r="AK39" s="1466"/>
      <c r="AL39" s="1466"/>
      <c r="AM39" s="1466"/>
      <c r="AN39" s="1466"/>
      <c r="AO39" s="1466"/>
      <c r="AP39" s="1466"/>
    </row>
    <row r="40" spans="3:42">
      <c r="C40" s="1101"/>
      <c r="D40" s="1119"/>
      <c r="E40" s="1116"/>
      <c r="F40" s="1107"/>
      <c r="G40" s="1107"/>
      <c r="H40" s="1107"/>
      <c r="I40" s="1107"/>
      <c r="J40" s="1673"/>
      <c r="K40" s="1673"/>
      <c r="L40" s="1104"/>
      <c r="M40" s="1118"/>
      <c r="N40" s="1119"/>
      <c r="O40" s="1112"/>
      <c r="P40" s="1119"/>
      <c r="Q40" s="1119"/>
      <c r="R40" s="1119"/>
      <c r="S40" s="1119"/>
      <c r="T40" s="1119"/>
      <c r="U40" s="1119"/>
      <c r="V40" s="1119"/>
      <c r="W40" s="1119"/>
      <c r="X40" s="1119"/>
      <c r="Y40" s="1119"/>
      <c r="Z40" s="1119"/>
      <c r="AA40" s="1101"/>
      <c r="AB40" s="1101"/>
      <c r="AC40" s="1101"/>
      <c r="AD40" s="1101"/>
      <c r="AE40" s="1642"/>
      <c r="AF40" s="1466"/>
      <c r="AG40" s="1466"/>
      <c r="AH40" s="1466"/>
      <c r="AI40" s="1466"/>
      <c r="AJ40" s="1466"/>
      <c r="AK40" s="1466"/>
      <c r="AL40" s="1466"/>
      <c r="AM40" s="1466"/>
      <c r="AN40" s="1466"/>
      <c r="AO40" s="1466"/>
      <c r="AP40" s="1466"/>
    </row>
    <row r="41" spans="3:42">
      <c r="C41" s="1101"/>
      <c r="D41" s="1118"/>
      <c r="E41" s="1121"/>
      <c r="F41" s="1118"/>
      <c r="G41" s="1118"/>
      <c r="H41" s="1118"/>
      <c r="I41" s="1118"/>
      <c r="J41" s="1118"/>
      <c r="K41" s="1118"/>
      <c r="L41" s="1118"/>
      <c r="M41" s="1118"/>
      <c r="N41" s="1119"/>
      <c r="O41" s="1119"/>
      <c r="P41" s="1119"/>
      <c r="Q41" s="1119"/>
      <c r="R41" s="1119"/>
      <c r="S41" s="1119"/>
      <c r="T41" s="1119"/>
      <c r="U41" s="1119"/>
      <c r="V41" s="1119"/>
      <c r="W41" s="1119"/>
      <c r="X41" s="1119"/>
      <c r="Y41" s="1119"/>
      <c r="Z41" s="1119"/>
      <c r="AA41" s="1119"/>
      <c r="AB41" s="1119"/>
      <c r="AC41" s="1119"/>
      <c r="AD41" s="1119"/>
      <c r="AE41" s="1642"/>
      <c r="AF41" s="1466"/>
      <c r="AG41" s="1466"/>
      <c r="AH41" s="1466"/>
      <c r="AI41" s="1466"/>
      <c r="AJ41" s="1466"/>
      <c r="AK41" s="1466"/>
      <c r="AL41" s="1466"/>
      <c r="AM41" s="1466"/>
      <c r="AN41" s="1466"/>
      <c r="AO41" s="1466"/>
      <c r="AP41" s="1466"/>
    </row>
    <row r="42" spans="3:42" ht="19" customHeight="1">
      <c r="C42" s="1101"/>
      <c r="D42" s="1118"/>
      <c r="E42" s="1674"/>
      <c r="F42" s="1687"/>
      <c r="G42" s="1687"/>
      <c r="H42" s="1687"/>
      <c r="I42" s="1687"/>
      <c r="J42" s="1687"/>
      <c r="K42" s="1687"/>
      <c r="L42" s="1687"/>
      <c r="M42" s="1675"/>
      <c r="N42" s="1687"/>
      <c r="O42" s="1687"/>
      <c r="P42" s="1687"/>
      <c r="Q42" s="1687"/>
      <c r="R42" s="1687"/>
      <c r="S42" s="1687"/>
      <c r="T42" s="1687"/>
      <c r="U42" s="1687"/>
      <c r="V42" s="177"/>
      <c r="W42" s="1693"/>
      <c r="X42" s="1119"/>
      <c r="Y42" s="1141"/>
      <c r="Z42" s="1141"/>
      <c r="AA42" s="1141"/>
      <c r="AB42" s="1141"/>
      <c r="AC42" s="1119"/>
      <c r="AD42" s="1119"/>
      <c r="AE42" s="1642"/>
      <c r="AF42" s="1466"/>
      <c r="AG42" s="1466"/>
      <c r="AH42" s="1466"/>
      <c r="AI42" s="1466"/>
      <c r="AJ42" s="1466"/>
      <c r="AK42" s="1466"/>
      <c r="AL42" s="1466"/>
      <c r="AM42" s="1466"/>
      <c r="AN42" s="1466"/>
      <c r="AO42" s="1466"/>
      <c r="AP42" s="1466"/>
    </row>
    <row r="43" spans="3:42" ht="19">
      <c r="C43" s="1101"/>
      <c r="D43" s="1118"/>
      <c r="E43" s="1674"/>
      <c r="F43" s="1690"/>
      <c r="G43" s="1690"/>
      <c r="H43" s="1691"/>
      <c r="I43" s="1691"/>
      <c r="J43" s="1688"/>
      <c r="K43" s="1688"/>
      <c r="L43" s="1688"/>
      <c r="M43" s="1688"/>
      <c r="N43" s="1690"/>
      <c r="O43" s="1690"/>
      <c r="P43" s="1691"/>
      <c r="Q43" s="1691"/>
      <c r="R43" s="1688"/>
      <c r="S43" s="1688"/>
      <c r="T43" s="1688"/>
      <c r="U43" s="1688"/>
      <c r="V43" s="1676"/>
      <c r="W43" s="1693"/>
      <c r="X43" s="1119"/>
      <c r="Y43" s="1141"/>
      <c r="Z43" s="1141"/>
      <c r="AA43" s="1141"/>
      <c r="AB43" s="1141"/>
      <c r="AC43" s="1119"/>
      <c r="AD43" s="1119"/>
      <c r="AE43" s="1642"/>
      <c r="AF43" s="1466"/>
      <c r="AG43" s="1466"/>
      <c r="AH43" s="1466"/>
      <c r="AI43" s="1633"/>
      <c r="AJ43" s="1633"/>
      <c r="AK43" s="1637"/>
      <c r="AL43" s="1637"/>
      <c r="AM43" s="1637"/>
      <c r="AN43" s="1637"/>
      <c r="AO43" s="1643"/>
      <c r="AP43" s="1466"/>
    </row>
    <row r="44" spans="3:42" ht="16">
      <c r="C44" s="1101"/>
      <c r="D44" s="1118"/>
      <c r="E44" s="1114"/>
      <c r="F44" s="1664"/>
      <c r="G44" s="1664"/>
      <c r="H44" s="1664"/>
      <c r="I44" s="1664"/>
      <c r="J44" s="1664"/>
      <c r="K44" s="1664"/>
      <c r="L44" s="1664"/>
      <c r="M44" s="1664"/>
      <c r="N44" s="1664"/>
      <c r="O44" s="1664"/>
      <c r="P44" s="1664"/>
      <c r="Q44" s="1664"/>
      <c r="R44" s="1664"/>
      <c r="S44" s="1664"/>
      <c r="T44" s="1677"/>
      <c r="U44" s="1664"/>
      <c r="V44" s="1678"/>
      <c r="W44" s="1693"/>
      <c r="X44" s="1119"/>
      <c r="Y44" s="1119"/>
      <c r="Z44" s="1119"/>
      <c r="AA44" s="1140"/>
      <c r="AB44" s="1119"/>
      <c r="AC44" s="1119"/>
      <c r="AD44" s="1119"/>
      <c r="AE44" s="1642"/>
      <c r="AF44" s="1644"/>
      <c r="AG44" s="1645"/>
      <c r="AH44" s="1634"/>
      <c r="AI44" s="1646"/>
      <c r="AJ44" s="1647"/>
      <c r="AK44" s="1643"/>
      <c r="AL44" s="1643"/>
      <c r="AM44" s="1643"/>
      <c r="AN44" s="1643"/>
      <c r="AO44" s="1638"/>
      <c r="AP44" s="1466"/>
    </row>
    <row r="45" spans="3:42" ht="15" customHeight="1">
      <c r="C45" s="1101"/>
      <c r="D45" s="1118"/>
      <c r="E45" s="1666"/>
      <c r="F45" s="1679"/>
      <c r="G45" s="1680"/>
      <c r="H45" s="1680"/>
      <c r="I45" s="1679"/>
      <c r="J45" s="1680"/>
      <c r="K45" s="1681"/>
      <c r="L45" s="1104"/>
      <c r="M45" s="1104"/>
      <c r="N45" s="1680"/>
      <c r="O45" s="1680"/>
      <c r="P45" s="1680"/>
      <c r="Q45" s="1680"/>
      <c r="R45" s="1682"/>
      <c r="S45" s="1680"/>
      <c r="T45" s="1680"/>
      <c r="U45" s="1104"/>
      <c r="V45" s="1676"/>
      <c r="W45" s="1693"/>
      <c r="X45" s="1119"/>
      <c r="Y45" s="1119"/>
      <c r="Z45" s="1119"/>
      <c r="AA45" s="1119"/>
      <c r="AB45" s="1119"/>
      <c r="AC45" s="1119"/>
      <c r="AD45" s="1119"/>
      <c r="AE45" s="1642"/>
      <c r="AF45" s="1644"/>
      <c r="AG45" s="1645"/>
      <c r="AH45" s="1635"/>
      <c r="AI45" s="1647"/>
      <c r="AJ45" s="1647"/>
      <c r="AK45" s="1643"/>
      <c r="AL45" s="1648"/>
      <c r="AM45" s="1643"/>
      <c r="AN45" s="1643"/>
      <c r="AO45" s="1638"/>
      <c r="AP45" s="1466"/>
    </row>
    <row r="46" spans="3:42" ht="15" customHeight="1">
      <c r="C46" s="1101"/>
      <c r="D46" s="1118"/>
      <c r="E46" s="1114"/>
      <c r="F46" s="1679"/>
      <c r="G46" s="1680"/>
      <c r="H46" s="1680"/>
      <c r="I46" s="1679"/>
      <c r="J46" s="1680"/>
      <c r="K46" s="1681"/>
      <c r="L46" s="1104"/>
      <c r="M46" s="1104"/>
      <c r="N46" s="1680"/>
      <c r="O46" s="1680"/>
      <c r="P46" s="1680"/>
      <c r="Q46" s="1680"/>
      <c r="R46" s="1680"/>
      <c r="S46" s="1680"/>
      <c r="T46" s="1680"/>
      <c r="U46" s="1104"/>
      <c r="V46" s="1676"/>
      <c r="W46" s="1693"/>
      <c r="X46" s="1119"/>
      <c r="Y46" s="1119"/>
      <c r="Z46" s="1119"/>
      <c r="AA46" s="1119"/>
      <c r="AB46" s="1119"/>
      <c r="AC46" s="1119"/>
      <c r="AD46" s="1119"/>
      <c r="AE46" s="1642"/>
      <c r="AF46" s="1644"/>
      <c r="AG46" s="1645"/>
      <c r="AH46" s="1635"/>
      <c r="AI46" s="1647"/>
      <c r="AJ46" s="1647"/>
      <c r="AK46" s="1078"/>
      <c r="AL46" s="1649"/>
      <c r="AM46" s="1643"/>
      <c r="AN46" s="1643"/>
      <c r="AO46" s="1638"/>
      <c r="AP46" s="1466"/>
    </row>
    <row r="47" spans="3:42" ht="16">
      <c r="C47" s="1101"/>
      <c r="D47" s="1118"/>
      <c r="E47" s="1116"/>
      <c r="F47" s="1683"/>
      <c r="G47" s="1684"/>
      <c r="H47" s="1684"/>
      <c r="I47" s="1683"/>
      <c r="J47" s="1684"/>
      <c r="K47" s="1683"/>
      <c r="L47" s="1122"/>
      <c r="M47" s="1122"/>
      <c r="N47" s="1685"/>
      <c r="O47" s="1685"/>
      <c r="P47" s="1685"/>
      <c r="Q47" s="1685"/>
      <c r="R47" s="1685"/>
      <c r="S47" s="1685"/>
      <c r="T47" s="1685"/>
      <c r="U47" s="1122"/>
      <c r="V47" s="1686"/>
      <c r="W47" s="1693"/>
      <c r="X47" s="1119"/>
      <c r="Y47" s="1119"/>
      <c r="Z47" s="1119"/>
      <c r="AA47" s="1119"/>
      <c r="AB47" s="1119"/>
      <c r="AC47" s="1119"/>
      <c r="AD47" s="1119"/>
      <c r="AE47" s="1642"/>
      <c r="AF47" s="1644"/>
      <c r="AG47" s="1645"/>
      <c r="AH47" s="1634"/>
      <c r="AI47" s="1647"/>
      <c r="AJ47" s="1647"/>
      <c r="AK47" s="1643"/>
      <c r="AL47" s="1643"/>
      <c r="AM47" s="1643"/>
      <c r="AN47" s="1643"/>
      <c r="AO47" s="1638"/>
      <c r="AP47" s="1466"/>
    </row>
    <row r="48" spans="3:42" ht="15" customHeight="1">
      <c r="C48" s="1101"/>
      <c r="D48" s="1118"/>
      <c r="E48" s="1116"/>
      <c r="F48" s="1683"/>
      <c r="G48" s="1684"/>
      <c r="H48" s="1684"/>
      <c r="I48" s="1683"/>
      <c r="J48" s="1684"/>
      <c r="K48" s="1683"/>
      <c r="L48" s="1122"/>
      <c r="M48" s="1122"/>
      <c r="N48" s="1685"/>
      <c r="O48" s="1685"/>
      <c r="P48" s="1685"/>
      <c r="Q48" s="1685"/>
      <c r="R48" s="1685"/>
      <c r="S48" s="1685"/>
      <c r="T48" s="1685"/>
      <c r="U48" s="1122"/>
      <c r="V48" s="1686"/>
      <c r="W48" s="1693"/>
      <c r="X48" s="1119"/>
      <c r="Y48" s="1119"/>
      <c r="Z48" s="1119"/>
      <c r="AA48" s="1119"/>
      <c r="AB48" s="1119"/>
      <c r="AC48" s="1119"/>
      <c r="AD48" s="1119"/>
      <c r="AE48" s="1642"/>
      <c r="AF48" s="1644"/>
      <c r="AG48" s="1645"/>
      <c r="AH48" s="1635"/>
      <c r="AI48" s="1647"/>
      <c r="AJ48" s="1647"/>
      <c r="AK48" s="1643"/>
      <c r="AL48" s="1649"/>
      <c r="AM48" s="1643"/>
      <c r="AN48" s="1643"/>
      <c r="AO48" s="1638"/>
      <c r="AP48" s="1466"/>
    </row>
    <row r="49" spans="3:42" ht="16">
      <c r="C49" s="1101"/>
      <c r="D49" s="1118"/>
      <c r="E49" s="1116"/>
      <c r="F49" s="1683"/>
      <c r="G49" s="1684"/>
      <c r="H49" s="1684"/>
      <c r="I49" s="1683"/>
      <c r="J49" s="1684"/>
      <c r="K49" s="1683"/>
      <c r="L49" s="1122"/>
      <c r="M49" s="1122"/>
      <c r="N49" s="1685"/>
      <c r="O49" s="1685"/>
      <c r="P49" s="1685"/>
      <c r="Q49" s="1685"/>
      <c r="R49" s="1685"/>
      <c r="S49" s="1685"/>
      <c r="T49" s="1685"/>
      <c r="U49" s="1122"/>
      <c r="V49" s="1686"/>
      <c r="W49" s="1693"/>
      <c r="X49" s="1119"/>
      <c r="Y49" s="1119"/>
      <c r="Z49" s="1101"/>
      <c r="AA49" s="1101"/>
      <c r="AB49" s="1101"/>
      <c r="AC49" s="1101"/>
      <c r="AD49" s="1101"/>
      <c r="AE49" s="1642"/>
      <c r="AF49" s="1644"/>
      <c r="AG49" s="1645"/>
      <c r="AH49" s="1635"/>
      <c r="AI49" s="1647"/>
      <c r="AJ49" s="1647"/>
      <c r="AK49" s="1643"/>
      <c r="AL49" s="1643"/>
      <c r="AM49" s="1643"/>
      <c r="AN49" s="1643"/>
      <c r="AO49" s="1638"/>
      <c r="AP49" s="1466"/>
    </row>
    <row r="50" spans="3:42" ht="16">
      <c r="D50" s="180"/>
      <c r="E50" s="180"/>
      <c r="F50" s="180"/>
      <c r="G50" s="180"/>
      <c r="H50" s="180"/>
      <c r="I50" s="180"/>
      <c r="J50" s="180"/>
      <c r="K50" s="180"/>
      <c r="L50" s="1094"/>
      <c r="M50" s="180"/>
      <c r="N50" s="180"/>
      <c r="O50" s="180"/>
      <c r="P50" s="180"/>
      <c r="Q50" s="180"/>
      <c r="R50" s="180"/>
      <c r="S50" s="1094"/>
      <c r="T50" s="180"/>
      <c r="U50" s="180"/>
      <c r="V50" s="180"/>
      <c r="W50" s="180"/>
      <c r="X50" s="180"/>
      <c r="Y50" s="180"/>
      <c r="Z50" s="175"/>
      <c r="AA50" s="175"/>
      <c r="AB50" s="175"/>
      <c r="AC50" s="175"/>
      <c r="AD50" s="175"/>
      <c r="AE50" s="1650"/>
      <c r="AF50" s="1644"/>
      <c r="AG50" s="1645"/>
      <c r="AH50" s="1634"/>
      <c r="AI50" s="1647"/>
      <c r="AJ50" s="1647"/>
      <c r="AK50" s="1643"/>
      <c r="AL50" s="1648"/>
      <c r="AM50" s="1643"/>
      <c r="AN50" s="1643"/>
      <c r="AO50" s="1638"/>
      <c r="AP50" s="1466"/>
    </row>
    <row r="51" spans="3:42" ht="16">
      <c r="D51" s="180"/>
      <c r="E51" s="1098"/>
      <c r="F51" s="1098"/>
      <c r="G51" s="1098"/>
      <c r="H51" s="1098"/>
      <c r="I51" s="1098"/>
      <c r="J51" s="1098"/>
      <c r="K51" s="1098"/>
      <c r="L51" s="1098"/>
      <c r="M51" s="1098"/>
      <c r="N51" s="1098"/>
      <c r="O51" s="1098"/>
      <c r="P51" s="1098"/>
      <c r="Q51" s="1098"/>
      <c r="R51" s="1098"/>
      <c r="S51" s="1098"/>
      <c r="T51" s="180"/>
      <c r="U51" s="180"/>
      <c r="V51" s="180"/>
      <c r="W51" s="180"/>
      <c r="X51" s="180"/>
      <c r="Y51" s="180"/>
      <c r="Z51" s="175"/>
      <c r="AA51" s="175"/>
      <c r="AB51" s="175"/>
      <c r="AC51" s="175"/>
      <c r="AD51" s="175"/>
      <c r="AE51" s="1650"/>
      <c r="AF51" s="1644"/>
      <c r="AG51" s="1645"/>
      <c r="AH51" s="1635"/>
      <c r="AI51" s="1647"/>
      <c r="AJ51" s="1647"/>
      <c r="AK51" s="1078"/>
      <c r="AL51" s="1649"/>
      <c r="AM51" s="1643"/>
      <c r="AN51" s="1643"/>
      <c r="AO51" s="1638"/>
      <c r="AP51" s="1466"/>
    </row>
    <row r="52" spans="3:42" ht="15" customHeight="1">
      <c r="AE52" s="1466"/>
      <c r="AF52" s="1644"/>
      <c r="AG52" s="1645"/>
      <c r="AH52" s="1635"/>
      <c r="AI52" s="1647"/>
      <c r="AJ52" s="1647"/>
      <c r="AK52" s="1643"/>
      <c r="AL52" s="1643"/>
      <c r="AM52" s="1643"/>
      <c r="AN52" s="1643"/>
      <c r="AO52" s="1638"/>
      <c r="AP52" s="1466"/>
    </row>
    <row r="53" spans="3:42" ht="19">
      <c r="AE53" s="1466"/>
      <c r="AF53" s="1466"/>
      <c r="AG53" s="1639"/>
      <c r="AH53" s="1639"/>
      <c r="AI53" s="1636"/>
      <c r="AJ53" s="1636"/>
      <c r="AK53" s="1643"/>
      <c r="AL53" s="1649"/>
      <c r="AM53" s="1643"/>
      <c r="AN53" s="1643"/>
      <c r="AO53" s="1638"/>
      <c r="AP53" s="1466"/>
    </row>
    <row r="54" spans="3:42">
      <c r="AE54" s="1466"/>
      <c r="AF54" s="1466"/>
      <c r="AG54" s="1466"/>
      <c r="AH54" s="1466"/>
      <c r="AI54" s="1466"/>
      <c r="AJ54" s="1466"/>
      <c r="AK54" s="1643"/>
      <c r="AL54" s="1643"/>
      <c r="AM54" s="1643"/>
      <c r="AN54" s="1643"/>
      <c r="AO54" s="1638"/>
      <c r="AP54" s="1466"/>
    </row>
    <row r="55" spans="3:42">
      <c r="AE55" s="1466"/>
      <c r="AF55" s="1466"/>
      <c r="AG55" s="1466"/>
      <c r="AH55" s="1466"/>
      <c r="AI55" s="1466"/>
      <c r="AJ55" s="1466"/>
      <c r="AK55" s="1643"/>
      <c r="AL55" s="1648"/>
      <c r="AM55" s="1643"/>
      <c r="AN55" s="1643"/>
      <c r="AO55" s="1638"/>
      <c r="AP55" s="1466"/>
    </row>
    <row r="56" spans="3:42">
      <c r="AE56" s="1466"/>
      <c r="AF56" s="1466"/>
      <c r="AG56" s="1466"/>
      <c r="AH56" s="1466"/>
      <c r="AI56" s="1466"/>
      <c r="AJ56" s="1466"/>
      <c r="AK56" s="1078"/>
      <c r="AL56" s="1649"/>
      <c r="AM56" s="1643"/>
      <c r="AN56" s="1643"/>
      <c r="AO56" s="1638"/>
      <c r="AP56" s="1466"/>
    </row>
    <row r="57" spans="3:42">
      <c r="AE57" s="1466"/>
      <c r="AF57" s="1466"/>
      <c r="AG57" s="1466"/>
      <c r="AH57" s="1466"/>
      <c r="AI57" s="1466"/>
      <c r="AJ57" s="1466"/>
      <c r="AK57" s="1643"/>
      <c r="AL57" s="1643"/>
      <c r="AM57" s="1643"/>
      <c r="AN57" s="1643"/>
      <c r="AO57" s="1638"/>
      <c r="AP57" s="1466"/>
    </row>
    <row r="58" spans="3:42">
      <c r="AE58" s="1466"/>
      <c r="AF58" s="1466"/>
      <c r="AG58" s="1466"/>
      <c r="AH58" s="1466"/>
      <c r="AI58" s="1466"/>
      <c r="AJ58" s="1466"/>
      <c r="AK58" s="1643"/>
      <c r="AL58" s="1649"/>
      <c r="AM58" s="1643"/>
      <c r="AN58" s="1643"/>
      <c r="AO58" s="1638"/>
      <c r="AP58" s="1466"/>
    </row>
    <row r="59" spans="3:42">
      <c r="AE59" s="1466"/>
      <c r="AF59" s="1466"/>
      <c r="AG59" s="1466"/>
      <c r="AH59" s="1466"/>
      <c r="AI59" s="1466"/>
      <c r="AJ59" s="1466"/>
      <c r="AK59" s="1643"/>
      <c r="AL59" s="1643"/>
      <c r="AM59" s="1643"/>
      <c r="AN59" s="1643"/>
      <c r="AO59" s="1638"/>
      <c r="AP59" s="1466"/>
    </row>
    <row r="60" spans="3:42">
      <c r="AE60" s="1466"/>
      <c r="AF60" s="1466"/>
      <c r="AG60" s="1466"/>
      <c r="AH60" s="1466"/>
      <c r="AI60" s="1466"/>
      <c r="AJ60" s="1466"/>
      <c r="AK60" s="1643"/>
      <c r="AL60" s="1648"/>
      <c r="AM60" s="1643"/>
      <c r="AN60" s="1643"/>
      <c r="AO60" s="1638"/>
      <c r="AP60" s="1466"/>
    </row>
    <row r="61" spans="3:42">
      <c r="AE61" s="1466"/>
      <c r="AF61" s="1466"/>
      <c r="AG61" s="1466"/>
      <c r="AH61" s="1466"/>
      <c r="AI61" s="1466"/>
      <c r="AJ61" s="1466"/>
      <c r="AK61" s="1078"/>
      <c r="AL61" s="1649"/>
      <c r="AM61" s="1643"/>
      <c r="AN61" s="1643"/>
      <c r="AO61" s="1638"/>
      <c r="AP61" s="1466"/>
    </row>
    <row r="62" spans="3:42">
      <c r="AE62" s="1466"/>
      <c r="AF62" s="1466"/>
      <c r="AG62" s="1466"/>
      <c r="AH62" s="1466"/>
      <c r="AI62" s="1466"/>
      <c r="AJ62" s="1466"/>
      <c r="AK62" s="1643"/>
      <c r="AL62" s="1643"/>
      <c r="AM62" s="1643"/>
      <c r="AN62" s="1643"/>
      <c r="AO62" s="1638"/>
      <c r="AP62" s="1466"/>
    </row>
    <row r="63" spans="3:42">
      <c r="AE63" s="1466"/>
      <c r="AF63" s="1466"/>
      <c r="AG63" s="1466"/>
      <c r="AH63" s="1466"/>
      <c r="AI63" s="1466"/>
      <c r="AJ63" s="1466"/>
      <c r="AK63" s="1643"/>
      <c r="AL63" s="1649"/>
      <c r="AM63" s="1643"/>
      <c r="AN63" s="1643"/>
      <c r="AO63" s="1638"/>
      <c r="AP63" s="1466"/>
    </row>
    <row r="64" spans="3:42">
      <c r="AE64" s="177"/>
      <c r="AF64" s="177"/>
      <c r="AG64" s="177"/>
      <c r="AH64" s="177"/>
      <c r="AI64" s="177"/>
      <c r="AJ64" s="177"/>
      <c r="AK64" s="177"/>
      <c r="AL64" s="177"/>
      <c r="AM64" s="177"/>
      <c r="AN64" s="177"/>
      <c r="AO64" s="177"/>
      <c r="AP64" s="177"/>
    </row>
  </sheetData>
  <mergeCells count="30">
    <mergeCell ref="I4:J4"/>
    <mergeCell ref="S4:T4"/>
    <mergeCell ref="AE4:AF4"/>
    <mergeCell ref="AK4:AL4"/>
    <mergeCell ref="AO4:AP4"/>
    <mergeCell ref="AM4:AN4"/>
    <mergeCell ref="Q4:R4"/>
    <mergeCell ref="U4:V4"/>
    <mergeCell ref="AG3:AP3"/>
    <mergeCell ref="AG4:AH4"/>
    <mergeCell ref="AI4:AJ4"/>
    <mergeCell ref="C3:L3"/>
    <mergeCell ref="M3:V3"/>
    <mergeCell ref="W3:AF3"/>
    <mergeCell ref="C4:D4"/>
    <mergeCell ref="E4:F4"/>
    <mergeCell ref="M4:N4"/>
    <mergeCell ref="O4:P4"/>
    <mergeCell ref="G4:H4"/>
    <mergeCell ref="K4:L4"/>
    <mergeCell ref="W4:X4"/>
    <mergeCell ref="Y4:Z4"/>
    <mergeCell ref="AA4:AB4"/>
    <mergeCell ref="AC4:AD4"/>
    <mergeCell ref="AQ3:AZ3"/>
    <mergeCell ref="AQ4:AR4"/>
    <mergeCell ref="AS4:AT4"/>
    <mergeCell ref="AU4:AV4"/>
    <mergeCell ref="AW4:AX4"/>
    <mergeCell ref="AY4:AZ4"/>
  </mergeCells>
  <phoneticPr fontId="107" type="noConversion"/>
  <pageMargins left="0.7" right="0.7" top="0.75" bottom="0.75" header="0.3" footer="0.3"/>
  <pageSetup orientation="portrait" verticalDpi="0"/>
  <ignoredErrors>
    <ignoredError sqref="E7:E9 O7:O9 Y7:Y9" unlockedFormula="1"/>
  </ignoredErrors>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2060"/>
  </sheetPr>
  <dimension ref="A1:BYC56"/>
  <sheetViews>
    <sheetView zoomScaleNormal="100" zoomScalePageLayoutView="90" workbookViewId="0">
      <pane xSplit="2" ySplit="3" topLeftCell="N4" activePane="bottomRight" state="frozen"/>
      <selection pane="topRight" activeCell="C1" sqref="C1"/>
      <selection pane="bottomLeft" activeCell="A4" sqref="A4"/>
      <selection pane="bottomRight" activeCell="Y12" sqref="Y12"/>
    </sheetView>
  </sheetViews>
  <sheetFormatPr baseColWidth="10" defaultColWidth="8.83203125" defaultRowHeight="14"/>
  <cols>
    <col min="1" max="1" width="7.33203125" style="180" customWidth="1"/>
    <col min="2" max="2" width="23" style="180" customWidth="1"/>
    <col min="3" max="3" width="13.5" style="175" customWidth="1"/>
    <col min="4" max="4" width="11" style="175" customWidth="1"/>
    <col min="5" max="5" width="9.33203125" style="175" customWidth="1"/>
    <col min="6" max="6" width="12.6640625" style="175" customWidth="1"/>
    <col min="7" max="7" width="12.83203125" style="175" customWidth="1"/>
    <col min="8" max="8" width="10.6640625" style="175" customWidth="1"/>
    <col min="9" max="9" width="10.1640625" style="175" customWidth="1"/>
    <col min="10" max="10" width="13.33203125" style="175" customWidth="1"/>
    <col min="11" max="11" width="10" style="175" customWidth="1"/>
    <col min="12" max="12" width="13.33203125" style="175" customWidth="1"/>
    <col min="13" max="13" width="11.5" style="175" customWidth="1"/>
    <col min="14" max="14" width="9.33203125" style="175" customWidth="1"/>
    <col min="15" max="15" width="11.5" style="175" customWidth="1"/>
    <col min="16" max="16" width="10.6640625" style="175" customWidth="1"/>
    <col min="17" max="17" width="14.33203125" style="175" customWidth="1"/>
    <col min="18" max="18" width="13.83203125" style="175" customWidth="1"/>
    <col min="19" max="19" width="12.6640625" style="175" customWidth="1"/>
    <col min="20" max="20" width="11.1640625" style="175" customWidth="1"/>
    <col min="21" max="21" width="10" style="175" bestFit="1" customWidth="1"/>
    <col min="22" max="22" width="7.6640625" style="175" customWidth="1"/>
    <col min="23" max="23" width="16.33203125" style="175" customWidth="1"/>
    <col min="24" max="24" width="8.83203125" style="175"/>
    <col min="25" max="25" width="11" style="175" customWidth="1"/>
    <col min="26" max="26" width="9.33203125" style="175" bestFit="1" customWidth="1"/>
    <col min="27" max="27" width="12.1640625" style="175" bestFit="1" customWidth="1"/>
    <col min="28" max="28" width="8.83203125" style="175"/>
    <col min="29" max="30" width="11" style="175" bestFit="1" customWidth="1"/>
    <col min="31" max="31" width="15.1640625" style="175" customWidth="1"/>
    <col min="32" max="32" width="12.1640625" style="175" bestFit="1" customWidth="1"/>
    <col min="33" max="16384" width="8.83203125" style="175"/>
  </cols>
  <sheetData>
    <row r="1" spans="1:2005" ht="21" customHeight="1" thickBot="1">
      <c r="C1" s="1891" t="s">
        <v>521</v>
      </c>
      <c r="D1" s="1891"/>
      <c r="E1" s="1891"/>
      <c r="F1" s="1891"/>
      <c r="G1" s="1891"/>
      <c r="H1" s="1891"/>
      <c r="I1" s="1891"/>
      <c r="J1" s="1891"/>
      <c r="K1" s="1891"/>
      <c r="L1" s="1891"/>
      <c r="M1" s="1891"/>
      <c r="N1" s="1891"/>
      <c r="O1" s="1891"/>
      <c r="P1" s="1891"/>
      <c r="Q1" s="1918" t="s">
        <v>111</v>
      </c>
      <c r="R1" s="1919"/>
      <c r="S1" s="602"/>
      <c r="T1" s="1913" t="s">
        <v>220</v>
      </c>
      <c r="U1" s="1913"/>
      <c r="V1" s="1913"/>
      <c r="W1" s="1913"/>
      <c r="X1" s="1913"/>
      <c r="Y1" s="1913"/>
      <c r="Z1" s="1914"/>
      <c r="AA1" s="1887"/>
      <c r="AB1" s="1888"/>
      <c r="AC1" s="1904" t="s">
        <v>69</v>
      </c>
      <c r="AD1" s="1905"/>
      <c r="AE1" s="1883" t="s">
        <v>57</v>
      </c>
      <c r="AG1" s="180"/>
    </row>
    <row r="2" spans="1:2005" ht="37.5" customHeight="1" thickBot="1">
      <c r="C2" s="1899" t="s">
        <v>315</v>
      </c>
      <c r="D2" s="1900"/>
      <c r="E2" s="1901" t="s">
        <v>316</v>
      </c>
      <c r="F2" s="1900"/>
      <c r="G2" s="1901" t="s">
        <v>261</v>
      </c>
      <c r="H2" s="1900"/>
      <c r="I2" s="1901" t="s">
        <v>262</v>
      </c>
      <c r="J2" s="1902"/>
      <c r="K2" s="1897" t="s">
        <v>333</v>
      </c>
      <c r="L2" s="1898"/>
      <c r="M2" s="1910" t="s">
        <v>371</v>
      </c>
      <c r="N2" s="1911"/>
      <c r="O2" s="1889" t="s">
        <v>372</v>
      </c>
      <c r="P2" s="1890"/>
      <c r="Q2" s="1920"/>
      <c r="R2" s="1921"/>
      <c r="S2" s="1892" t="s">
        <v>317</v>
      </c>
      <c r="T2" s="1893"/>
      <c r="U2" s="1894" t="s">
        <v>518</v>
      </c>
      <c r="V2" s="1893"/>
      <c r="W2" s="1895" t="s">
        <v>524</v>
      </c>
      <c r="X2" s="1896"/>
      <c r="Y2" s="1916" t="s">
        <v>586</v>
      </c>
      <c r="Z2" s="1917"/>
      <c r="AA2" s="1903" t="s">
        <v>494</v>
      </c>
      <c r="AB2" s="1903"/>
      <c r="AC2" s="1906"/>
      <c r="AD2" s="1907"/>
      <c r="AE2" s="1884"/>
    </row>
    <row r="3" spans="1:2005" s="309" customFormat="1" ht="27" customHeight="1">
      <c r="A3" s="308"/>
      <c r="B3" s="308"/>
      <c r="C3" s="311" t="s">
        <v>740</v>
      </c>
      <c r="D3" s="312" t="s">
        <v>257</v>
      </c>
      <c r="E3" s="311" t="s">
        <v>740</v>
      </c>
      <c r="F3" s="311" t="s">
        <v>257</v>
      </c>
      <c r="G3" s="310" t="s">
        <v>740</v>
      </c>
      <c r="H3" s="312" t="s">
        <v>257</v>
      </c>
      <c r="I3" s="311" t="s">
        <v>740</v>
      </c>
      <c r="J3" s="311" t="s">
        <v>257</v>
      </c>
      <c r="K3" s="410" t="s">
        <v>740</v>
      </c>
      <c r="L3" s="414" t="s">
        <v>257</v>
      </c>
      <c r="M3" s="310" t="s">
        <v>740</v>
      </c>
      <c r="N3" s="311" t="s">
        <v>257</v>
      </c>
      <c r="O3" s="314" t="s">
        <v>740</v>
      </c>
      <c r="P3" s="316" t="s">
        <v>257</v>
      </c>
      <c r="Q3" s="639" t="s">
        <v>740</v>
      </c>
      <c r="R3" s="640" t="s">
        <v>257</v>
      </c>
      <c r="S3" s="316" t="s">
        <v>740</v>
      </c>
      <c r="T3" s="316" t="s">
        <v>257</v>
      </c>
      <c r="U3" s="314" t="s">
        <v>740</v>
      </c>
      <c r="V3" s="315" t="s">
        <v>257</v>
      </c>
      <c r="W3" s="314" t="s">
        <v>740</v>
      </c>
      <c r="X3" s="316" t="s">
        <v>257</v>
      </c>
      <c r="Y3" s="630" t="s">
        <v>740</v>
      </c>
      <c r="Z3" s="631" t="s">
        <v>257</v>
      </c>
      <c r="AA3" s="316" t="s">
        <v>740</v>
      </c>
      <c r="AB3" s="316" t="s">
        <v>257</v>
      </c>
      <c r="AC3" s="630" t="s">
        <v>740</v>
      </c>
      <c r="AD3" s="1595" t="s">
        <v>257</v>
      </c>
      <c r="AE3" s="1598"/>
      <c r="AF3" s="600"/>
      <c r="AG3" s="600"/>
      <c r="AH3" s="600"/>
      <c r="AI3" s="600"/>
      <c r="AJ3" s="600"/>
      <c r="AK3" s="600"/>
      <c r="AL3" s="600"/>
      <c r="AM3" s="600"/>
      <c r="AN3" s="600"/>
      <c r="AO3" s="600"/>
      <c r="AP3" s="600"/>
      <c r="AQ3" s="600"/>
      <c r="AR3" s="600"/>
      <c r="AS3" s="600"/>
      <c r="AT3" s="600"/>
      <c r="AU3" s="600"/>
      <c r="AV3" s="600"/>
      <c r="AW3" s="600"/>
      <c r="AX3" s="600"/>
      <c r="AY3" s="600"/>
      <c r="AZ3" s="600"/>
      <c r="BA3" s="600"/>
      <c r="BB3" s="600"/>
      <c r="BC3" s="600"/>
      <c r="BD3" s="600"/>
      <c r="BE3" s="600"/>
      <c r="BF3" s="600"/>
      <c r="BG3" s="600"/>
      <c r="BH3" s="600"/>
      <c r="BI3" s="600"/>
      <c r="BJ3" s="600"/>
      <c r="BK3" s="600"/>
      <c r="BL3" s="600"/>
      <c r="BM3" s="600"/>
      <c r="BN3" s="600"/>
      <c r="BO3" s="600"/>
      <c r="BP3" s="600"/>
      <c r="BQ3" s="600"/>
      <c r="BR3" s="600"/>
      <c r="BS3" s="600"/>
      <c r="BT3" s="600"/>
      <c r="BU3" s="600"/>
      <c r="BV3" s="600"/>
      <c r="BW3" s="600"/>
      <c r="BX3" s="600"/>
      <c r="BY3" s="600"/>
      <c r="BZ3" s="600"/>
      <c r="CA3" s="600"/>
      <c r="CB3" s="600"/>
      <c r="CC3" s="600"/>
      <c r="CD3" s="600"/>
      <c r="CE3" s="600"/>
      <c r="CF3" s="600"/>
      <c r="CG3" s="600"/>
      <c r="CH3" s="600"/>
      <c r="CI3" s="600"/>
      <c r="CJ3" s="600"/>
      <c r="CK3" s="600"/>
      <c r="CL3" s="600"/>
      <c r="CM3" s="600"/>
      <c r="CN3" s="600"/>
      <c r="CO3" s="600"/>
      <c r="CP3" s="600"/>
      <c r="CQ3" s="600"/>
      <c r="CR3" s="600"/>
      <c r="CS3" s="600"/>
      <c r="CT3" s="600"/>
      <c r="CU3" s="600"/>
      <c r="CV3" s="600"/>
      <c r="CW3" s="600"/>
      <c r="CX3" s="600"/>
      <c r="CY3" s="600"/>
      <c r="CZ3" s="600"/>
      <c r="DA3" s="600"/>
      <c r="DB3" s="600"/>
      <c r="DC3" s="600"/>
      <c r="DD3" s="600"/>
      <c r="DE3" s="600"/>
      <c r="DF3" s="600"/>
      <c r="DG3" s="600"/>
      <c r="DH3" s="600"/>
      <c r="DI3" s="600"/>
      <c r="DJ3" s="600"/>
      <c r="DK3" s="600"/>
      <c r="DL3" s="600"/>
      <c r="DM3" s="600"/>
      <c r="DN3" s="600"/>
      <c r="DO3" s="600"/>
      <c r="DP3" s="600"/>
      <c r="DQ3" s="600"/>
      <c r="DR3" s="600"/>
      <c r="DS3" s="600"/>
      <c r="DT3" s="600"/>
      <c r="DU3" s="600"/>
      <c r="DV3" s="600"/>
      <c r="DW3" s="600"/>
      <c r="DX3" s="600"/>
      <c r="DY3" s="600"/>
      <c r="DZ3" s="600"/>
      <c r="EA3" s="600"/>
      <c r="EB3" s="600"/>
      <c r="EC3" s="600"/>
      <c r="ED3" s="600"/>
      <c r="EE3" s="600"/>
      <c r="EF3" s="600"/>
      <c r="EG3" s="600"/>
      <c r="EH3" s="600"/>
      <c r="EI3" s="600"/>
      <c r="EJ3" s="600"/>
      <c r="EK3" s="600"/>
      <c r="EL3" s="600"/>
      <c r="EM3" s="600"/>
      <c r="EN3" s="600"/>
      <c r="EO3" s="600"/>
      <c r="EP3" s="600"/>
      <c r="EQ3" s="600"/>
      <c r="ER3" s="600"/>
      <c r="ES3" s="600"/>
      <c r="ET3" s="600"/>
      <c r="EU3" s="600"/>
      <c r="EV3" s="600"/>
      <c r="EW3" s="600"/>
      <c r="EX3" s="600"/>
      <c r="EY3" s="600"/>
      <c r="EZ3" s="600"/>
      <c r="FA3" s="600"/>
      <c r="FB3" s="600"/>
      <c r="FC3" s="600"/>
      <c r="FD3" s="600"/>
      <c r="FE3" s="600"/>
      <c r="FF3" s="600"/>
      <c r="FG3" s="600"/>
      <c r="FH3" s="600"/>
      <c r="FI3" s="600"/>
      <c r="FJ3" s="600"/>
      <c r="FK3" s="600"/>
      <c r="FL3" s="600"/>
      <c r="FM3" s="600"/>
      <c r="FN3" s="600"/>
      <c r="FO3" s="600"/>
      <c r="FP3" s="600"/>
      <c r="FQ3" s="600"/>
      <c r="FR3" s="600"/>
      <c r="FS3" s="600"/>
      <c r="FT3" s="600"/>
      <c r="FU3" s="600"/>
      <c r="FV3" s="600"/>
      <c r="FW3" s="600"/>
      <c r="FX3" s="600"/>
      <c r="FY3" s="600"/>
      <c r="FZ3" s="600"/>
      <c r="GA3" s="600"/>
      <c r="GB3" s="600"/>
      <c r="GC3" s="600"/>
      <c r="GD3" s="600"/>
      <c r="GE3" s="600"/>
      <c r="GF3" s="600"/>
      <c r="GG3" s="600"/>
      <c r="GH3" s="600"/>
      <c r="GI3" s="600"/>
      <c r="GJ3" s="600"/>
      <c r="GK3" s="600"/>
      <c r="GL3" s="600"/>
      <c r="GM3" s="600"/>
      <c r="GN3" s="600"/>
      <c r="GO3" s="600"/>
      <c r="GP3" s="600"/>
      <c r="GQ3" s="600"/>
      <c r="GR3" s="600"/>
      <c r="GS3" s="600"/>
      <c r="GT3" s="600"/>
      <c r="GU3" s="600"/>
      <c r="GV3" s="600"/>
      <c r="GW3" s="600"/>
      <c r="GX3" s="600"/>
      <c r="GY3" s="600"/>
      <c r="GZ3" s="600"/>
      <c r="HA3" s="600"/>
      <c r="HB3" s="600"/>
      <c r="HC3" s="600"/>
      <c r="HD3" s="600"/>
      <c r="HE3" s="600"/>
      <c r="HF3" s="600"/>
      <c r="HG3" s="600"/>
      <c r="HH3" s="600"/>
      <c r="HI3" s="600"/>
      <c r="HJ3" s="600"/>
      <c r="HK3" s="600"/>
      <c r="HL3" s="600"/>
      <c r="HM3" s="600"/>
      <c r="HN3" s="600"/>
      <c r="HO3" s="600"/>
      <c r="HP3" s="600"/>
      <c r="HQ3" s="600"/>
      <c r="HR3" s="600"/>
      <c r="HS3" s="600"/>
      <c r="HT3" s="600"/>
      <c r="HU3" s="600"/>
      <c r="HV3" s="600"/>
      <c r="HW3" s="600"/>
      <c r="HX3" s="600"/>
      <c r="HY3" s="600"/>
      <c r="HZ3" s="600"/>
      <c r="IA3" s="600"/>
      <c r="IB3" s="600"/>
      <c r="IC3" s="600"/>
      <c r="ID3" s="600"/>
      <c r="IE3" s="600"/>
      <c r="IF3" s="600"/>
      <c r="IG3" s="600"/>
      <c r="IH3" s="600"/>
      <c r="II3" s="600"/>
      <c r="IJ3" s="600"/>
      <c r="IK3" s="600"/>
      <c r="IL3" s="600"/>
      <c r="IM3" s="600"/>
      <c r="IN3" s="600"/>
      <c r="IO3" s="600"/>
      <c r="IP3" s="600"/>
      <c r="IQ3" s="600"/>
      <c r="IR3" s="600"/>
      <c r="IS3" s="600"/>
      <c r="IT3" s="600"/>
      <c r="IU3" s="600"/>
      <c r="IV3" s="600"/>
      <c r="IW3" s="600"/>
      <c r="IX3" s="600"/>
      <c r="IY3" s="600"/>
      <c r="IZ3" s="600"/>
      <c r="JA3" s="600"/>
      <c r="JB3" s="600"/>
      <c r="JC3" s="600"/>
      <c r="JD3" s="600"/>
      <c r="JE3" s="600"/>
      <c r="JF3" s="600"/>
      <c r="JG3" s="600"/>
      <c r="JH3" s="600"/>
      <c r="JI3" s="600"/>
      <c r="JJ3" s="600"/>
      <c r="JK3" s="600"/>
      <c r="JL3" s="600"/>
      <c r="JM3" s="600"/>
      <c r="JN3" s="600"/>
      <c r="JO3" s="600"/>
      <c r="JP3" s="600"/>
      <c r="JQ3" s="600"/>
      <c r="JR3" s="600"/>
      <c r="JS3" s="600"/>
      <c r="JT3" s="600"/>
      <c r="JU3" s="600"/>
      <c r="JV3" s="600"/>
      <c r="JW3" s="600"/>
      <c r="JX3" s="600"/>
      <c r="JY3" s="600"/>
      <c r="JZ3" s="600"/>
      <c r="KA3" s="600"/>
      <c r="KB3" s="600"/>
      <c r="KC3" s="600"/>
      <c r="KD3" s="600"/>
      <c r="KE3" s="600"/>
      <c r="KF3" s="600"/>
      <c r="KG3" s="600"/>
      <c r="KH3" s="600"/>
      <c r="KI3" s="600"/>
      <c r="KJ3" s="600"/>
      <c r="KK3" s="600"/>
      <c r="KL3" s="600"/>
      <c r="KM3" s="600"/>
      <c r="KN3" s="600"/>
      <c r="KO3" s="600"/>
      <c r="KP3" s="600"/>
      <c r="KQ3" s="600"/>
      <c r="KR3" s="600"/>
      <c r="KS3" s="600"/>
      <c r="KT3" s="600"/>
      <c r="KU3" s="600"/>
      <c r="KV3" s="600"/>
      <c r="KW3" s="600"/>
      <c r="KX3" s="600"/>
      <c r="KY3" s="600"/>
      <c r="KZ3" s="600"/>
      <c r="LA3" s="600"/>
      <c r="LB3" s="600"/>
      <c r="LC3" s="600"/>
      <c r="LD3" s="600"/>
      <c r="LE3" s="600"/>
      <c r="LF3" s="600"/>
      <c r="LG3" s="600"/>
      <c r="LH3" s="600"/>
      <c r="LI3" s="600"/>
      <c r="LJ3" s="600"/>
      <c r="LK3" s="600"/>
      <c r="LL3" s="600"/>
      <c r="LM3" s="600"/>
      <c r="LN3" s="600"/>
      <c r="LO3" s="600"/>
      <c r="LP3" s="600"/>
      <c r="LQ3" s="600"/>
      <c r="LR3" s="600"/>
      <c r="LS3" s="600"/>
      <c r="LT3" s="600"/>
      <c r="LU3" s="600"/>
      <c r="LV3" s="600"/>
      <c r="LW3" s="600"/>
      <c r="LX3" s="600"/>
      <c r="LY3" s="600"/>
      <c r="LZ3" s="600"/>
      <c r="MA3" s="600"/>
      <c r="MB3" s="600"/>
      <c r="MC3" s="600"/>
      <c r="MD3" s="600"/>
      <c r="ME3" s="600"/>
      <c r="MF3" s="600"/>
      <c r="MG3" s="600"/>
      <c r="MH3" s="600"/>
      <c r="MI3" s="600"/>
      <c r="MJ3" s="600"/>
      <c r="MK3" s="600"/>
      <c r="ML3" s="600"/>
      <c r="MM3" s="600"/>
      <c r="MN3" s="600"/>
      <c r="MO3" s="600"/>
      <c r="MP3" s="600"/>
      <c r="MQ3" s="600"/>
      <c r="MR3" s="600"/>
      <c r="MS3" s="600"/>
      <c r="MT3" s="600"/>
      <c r="MU3" s="600"/>
      <c r="MV3" s="600"/>
      <c r="MW3" s="600"/>
      <c r="MX3" s="600"/>
      <c r="MY3" s="600"/>
      <c r="MZ3" s="600"/>
      <c r="NA3" s="600"/>
      <c r="NB3" s="600"/>
      <c r="NC3" s="600"/>
      <c r="ND3" s="600"/>
      <c r="NE3" s="600"/>
      <c r="NF3" s="600"/>
      <c r="NG3" s="600"/>
      <c r="NH3" s="600"/>
      <c r="NI3" s="600"/>
      <c r="NJ3" s="600"/>
      <c r="NK3" s="600"/>
      <c r="NL3" s="600"/>
      <c r="NM3" s="600"/>
      <c r="NN3" s="600"/>
      <c r="NO3" s="600"/>
      <c r="NP3" s="600"/>
      <c r="NQ3" s="600"/>
      <c r="NR3" s="600"/>
      <c r="NS3" s="600"/>
      <c r="NT3" s="600"/>
      <c r="NU3" s="600"/>
      <c r="NV3" s="600"/>
      <c r="NW3" s="600"/>
      <c r="NX3" s="600"/>
      <c r="NY3" s="600"/>
      <c r="NZ3" s="600"/>
      <c r="OA3" s="600"/>
      <c r="OB3" s="600"/>
      <c r="OC3" s="600"/>
      <c r="OD3" s="600"/>
      <c r="OE3" s="600"/>
      <c r="OF3" s="600"/>
      <c r="OG3" s="600"/>
      <c r="OH3" s="600"/>
      <c r="OI3" s="600"/>
      <c r="OJ3" s="600"/>
      <c r="OK3" s="600"/>
      <c r="OL3" s="600"/>
      <c r="OM3" s="600"/>
      <c r="ON3" s="600"/>
      <c r="OO3" s="600"/>
      <c r="OP3" s="600"/>
      <c r="OQ3" s="600"/>
      <c r="OR3" s="600"/>
      <c r="OS3" s="600"/>
      <c r="OT3" s="600"/>
      <c r="OU3" s="600"/>
      <c r="OV3" s="600"/>
      <c r="OW3" s="600"/>
      <c r="OX3" s="600"/>
      <c r="OY3" s="600"/>
      <c r="OZ3" s="600"/>
      <c r="PA3" s="600"/>
      <c r="PB3" s="600"/>
      <c r="PC3" s="600"/>
      <c r="PD3" s="600"/>
      <c r="PE3" s="600"/>
      <c r="PF3" s="600"/>
      <c r="PG3" s="600"/>
      <c r="PH3" s="600"/>
      <c r="PI3" s="600"/>
      <c r="PJ3" s="600"/>
      <c r="PK3" s="600"/>
      <c r="PL3" s="600"/>
      <c r="PM3" s="600"/>
      <c r="PN3" s="600"/>
      <c r="PO3" s="600"/>
      <c r="PP3" s="600"/>
      <c r="PQ3" s="600"/>
      <c r="PR3" s="600"/>
      <c r="PS3" s="600"/>
      <c r="PT3" s="600"/>
      <c r="PU3" s="600"/>
      <c r="PV3" s="600"/>
      <c r="PW3" s="600"/>
      <c r="PX3" s="600"/>
      <c r="PY3" s="600"/>
      <c r="PZ3" s="600"/>
      <c r="QA3" s="600"/>
      <c r="QB3" s="600"/>
      <c r="QC3" s="600"/>
      <c r="QD3" s="600"/>
      <c r="QE3" s="600"/>
      <c r="QF3" s="600"/>
      <c r="QG3" s="600"/>
      <c r="QH3" s="600"/>
      <c r="QI3" s="600"/>
      <c r="QJ3" s="600"/>
      <c r="QK3" s="600"/>
      <c r="QL3" s="600"/>
      <c r="QM3" s="600"/>
      <c r="QN3" s="600"/>
      <c r="QO3" s="600"/>
      <c r="QP3" s="600"/>
      <c r="QQ3" s="600"/>
      <c r="QR3" s="600"/>
      <c r="QS3" s="600"/>
      <c r="QT3" s="600"/>
      <c r="QU3" s="600"/>
      <c r="QV3" s="600"/>
      <c r="QW3" s="600"/>
      <c r="QX3" s="600"/>
      <c r="QY3" s="600"/>
      <c r="QZ3" s="600"/>
      <c r="RA3" s="600"/>
      <c r="RB3" s="600"/>
      <c r="RC3" s="600"/>
      <c r="RD3" s="600"/>
      <c r="RE3" s="600"/>
      <c r="RF3" s="600"/>
      <c r="RG3" s="600"/>
      <c r="RH3" s="600"/>
      <c r="RI3" s="600"/>
      <c r="RJ3" s="600"/>
      <c r="RK3" s="600"/>
      <c r="RL3" s="600"/>
      <c r="RM3" s="600"/>
      <c r="RN3" s="600"/>
      <c r="RO3" s="600"/>
      <c r="RP3" s="600"/>
      <c r="RQ3" s="600"/>
      <c r="RR3" s="600"/>
      <c r="RS3" s="600"/>
      <c r="RT3" s="600"/>
      <c r="RU3" s="600"/>
      <c r="RV3" s="600"/>
      <c r="RW3" s="600"/>
      <c r="RX3" s="600"/>
      <c r="RY3" s="600"/>
      <c r="RZ3" s="600"/>
      <c r="SA3" s="600"/>
      <c r="SB3" s="600"/>
      <c r="SC3" s="600"/>
      <c r="SD3" s="600"/>
      <c r="SE3" s="600"/>
      <c r="SF3" s="600"/>
      <c r="SG3" s="600"/>
      <c r="SH3" s="600"/>
      <c r="SI3" s="600"/>
      <c r="SJ3" s="600"/>
      <c r="SK3" s="600"/>
      <c r="SL3" s="600"/>
      <c r="SM3" s="600"/>
      <c r="SN3" s="600"/>
      <c r="SO3" s="600"/>
      <c r="SP3" s="600"/>
      <c r="SQ3" s="600"/>
      <c r="SR3" s="600"/>
      <c r="SS3" s="600"/>
      <c r="ST3" s="600"/>
      <c r="SU3" s="600"/>
      <c r="SV3" s="600"/>
      <c r="SW3" s="600"/>
      <c r="SX3" s="600"/>
      <c r="SY3" s="600"/>
      <c r="SZ3" s="600"/>
      <c r="TA3" s="600"/>
      <c r="TB3" s="600"/>
      <c r="TC3" s="600"/>
      <c r="TD3" s="600"/>
      <c r="TE3" s="600"/>
      <c r="TF3" s="600"/>
      <c r="TG3" s="600"/>
      <c r="TH3" s="600"/>
      <c r="TI3" s="600"/>
      <c r="TJ3" s="600"/>
      <c r="TK3" s="600"/>
      <c r="TL3" s="600"/>
      <c r="TM3" s="600"/>
      <c r="TN3" s="600"/>
      <c r="TO3" s="600"/>
      <c r="TP3" s="600"/>
      <c r="TQ3" s="600"/>
      <c r="TR3" s="600"/>
      <c r="TS3" s="600"/>
      <c r="TT3" s="600"/>
      <c r="TU3" s="600"/>
      <c r="TV3" s="600"/>
      <c r="TW3" s="600"/>
      <c r="TX3" s="600"/>
      <c r="TY3" s="600"/>
      <c r="TZ3" s="600"/>
      <c r="UA3" s="600"/>
      <c r="UB3" s="600"/>
      <c r="UC3" s="600"/>
      <c r="UD3" s="600"/>
      <c r="UE3" s="600"/>
      <c r="UF3" s="600"/>
      <c r="UG3" s="600"/>
      <c r="UH3" s="600"/>
      <c r="UI3" s="600"/>
      <c r="UJ3" s="600"/>
      <c r="UK3" s="600"/>
      <c r="UL3" s="600"/>
      <c r="UM3" s="600"/>
      <c r="UN3" s="600"/>
      <c r="UO3" s="600"/>
      <c r="UP3" s="600"/>
      <c r="UQ3" s="600"/>
      <c r="UR3" s="600"/>
      <c r="US3" s="600"/>
      <c r="UT3" s="600"/>
      <c r="UU3" s="600"/>
      <c r="UV3" s="600"/>
      <c r="UW3" s="600"/>
      <c r="UX3" s="600"/>
      <c r="UY3" s="600"/>
      <c r="UZ3" s="600"/>
      <c r="VA3" s="600"/>
      <c r="VB3" s="600"/>
      <c r="VC3" s="600"/>
      <c r="VD3" s="600"/>
      <c r="VE3" s="600"/>
      <c r="VF3" s="600"/>
      <c r="VG3" s="600"/>
      <c r="VH3" s="600"/>
      <c r="VI3" s="600"/>
      <c r="VJ3" s="600"/>
      <c r="VK3" s="600"/>
      <c r="VL3" s="600"/>
      <c r="VM3" s="600"/>
      <c r="VN3" s="600"/>
      <c r="VO3" s="600"/>
      <c r="VP3" s="600"/>
      <c r="VQ3" s="600"/>
      <c r="VR3" s="600"/>
      <c r="VS3" s="600"/>
      <c r="VT3" s="600"/>
      <c r="VU3" s="600"/>
      <c r="VV3" s="600"/>
      <c r="VW3" s="600"/>
      <c r="VX3" s="600"/>
      <c r="VY3" s="600"/>
      <c r="VZ3" s="600"/>
      <c r="WA3" s="600"/>
      <c r="WB3" s="600"/>
      <c r="WC3" s="600"/>
      <c r="WD3" s="600"/>
      <c r="WE3" s="600"/>
      <c r="WF3" s="600"/>
      <c r="WG3" s="600"/>
      <c r="WH3" s="600"/>
      <c r="WI3" s="600"/>
      <c r="WJ3" s="600"/>
      <c r="WK3" s="600"/>
      <c r="WL3" s="600"/>
      <c r="WM3" s="600"/>
      <c r="WN3" s="600"/>
      <c r="WO3" s="600"/>
      <c r="WP3" s="600"/>
      <c r="WQ3" s="600"/>
      <c r="WR3" s="600"/>
      <c r="WS3" s="600"/>
      <c r="WT3" s="600"/>
      <c r="WU3" s="600"/>
      <c r="WV3" s="600"/>
      <c r="WW3" s="600"/>
      <c r="WX3" s="600"/>
      <c r="WY3" s="600"/>
      <c r="WZ3" s="600"/>
      <c r="XA3" s="600"/>
      <c r="XB3" s="600"/>
      <c r="XC3" s="600"/>
      <c r="XD3" s="600"/>
      <c r="XE3" s="600"/>
      <c r="XF3" s="600"/>
      <c r="XG3" s="600"/>
      <c r="XH3" s="600"/>
      <c r="XI3" s="600"/>
      <c r="XJ3" s="600"/>
      <c r="XK3" s="600"/>
      <c r="XL3" s="600"/>
      <c r="XM3" s="600"/>
      <c r="XN3" s="600"/>
      <c r="XO3" s="600"/>
      <c r="XP3" s="600"/>
      <c r="XQ3" s="600"/>
      <c r="XR3" s="600"/>
      <c r="XS3" s="600"/>
      <c r="XT3" s="600"/>
      <c r="XU3" s="600"/>
      <c r="XV3" s="600"/>
      <c r="XW3" s="600"/>
      <c r="XX3" s="600"/>
      <c r="XY3" s="600"/>
      <c r="XZ3" s="600"/>
      <c r="YA3" s="600"/>
      <c r="YB3" s="600"/>
      <c r="YC3" s="600"/>
      <c r="YD3" s="600"/>
      <c r="YE3" s="600"/>
      <c r="YF3" s="600"/>
      <c r="YG3" s="600"/>
      <c r="YH3" s="600"/>
      <c r="YI3" s="600"/>
      <c r="YJ3" s="600"/>
      <c r="YK3" s="600"/>
      <c r="YL3" s="600"/>
      <c r="YM3" s="600"/>
      <c r="YN3" s="600"/>
      <c r="YO3" s="600"/>
      <c r="YP3" s="600"/>
      <c r="YQ3" s="600"/>
      <c r="YR3" s="600"/>
      <c r="YS3" s="600"/>
      <c r="YT3" s="600"/>
      <c r="YU3" s="600"/>
      <c r="YV3" s="600"/>
      <c r="YW3" s="600"/>
      <c r="YX3" s="600"/>
      <c r="YY3" s="600"/>
      <c r="YZ3" s="600"/>
      <c r="ZA3" s="600"/>
      <c r="ZB3" s="600"/>
      <c r="ZC3" s="600"/>
      <c r="ZD3" s="600"/>
      <c r="ZE3" s="600"/>
      <c r="ZF3" s="600"/>
      <c r="ZG3" s="600"/>
      <c r="ZH3" s="600"/>
      <c r="ZI3" s="600"/>
      <c r="ZJ3" s="600"/>
      <c r="ZK3" s="600"/>
      <c r="ZL3" s="600"/>
      <c r="ZM3" s="600"/>
      <c r="ZN3" s="600"/>
      <c r="ZO3" s="600"/>
      <c r="ZP3" s="600"/>
      <c r="ZQ3" s="600"/>
      <c r="ZR3" s="600"/>
      <c r="ZS3" s="600"/>
      <c r="ZT3" s="600"/>
      <c r="ZU3" s="600"/>
      <c r="ZV3" s="600"/>
      <c r="ZW3" s="600"/>
      <c r="ZX3" s="600"/>
      <c r="ZY3" s="600"/>
      <c r="ZZ3" s="600"/>
      <c r="AAA3" s="600"/>
      <c r="AAB3" s="600"/>
      <c r="AAC3" s="600"/>
      <c r="AAD3" s="600"/>
      <c r="AAE3" s="600"/>
      <c r="AAF3" s="600"/>
      <c r="AAG3" s="600"/>
      <c r="AAH3" s="600"/>
      <c r="AAI3" s="600"/>
      <c r="AAJ3" s="600"/>
      <c r="AAK3" s="600"/>
      <c r="AAL3" s="600"/>
      <c r="AAM3" s="600"/>
      <c r="AAN3" s="600"/>
      <c r="AAO3" s="600"/>
      <c r="AAP3" s="600"/>
      <c r="AAQ3" s="600"/>
      <c r="AAR3" s="600"/>
      <c r="AAS3" s="600"/>
      <c r="AAT3" s="600"/>
      <c r="AAU3" s="600"/>
      <c r="AAV3" s="600"/>
      <c r="AAW3" s="600"/>
      <c r="AAX3" s="600"/>
      <c r="AAY3" s="600"/>
      <c r="AAZ3" s="600"/>
      <c r="ABA3" s="600"/>
      <c r="ABB3" s="600"/>
      <c r="ABC3" s="600"/>
      <c r="ABD3" s="600"/>
      <c r="ABE3" s="600"/>
      <c r="ABF3" s="600"/>
      <c r="ABG3" s="600"/>
      <c r="ABH3" s="600"/>
      <c r="ABI3" s="600"/>
      <c r="ABJ3" s="600"/>
      <c r="ABK3" s="600"/>
      <c r="ABL3" s="600"/>
      <c r="ABM3" s="600"/>
      <c r="ABN3" s="600"/>
      <c r="ABO3" s="600"/>
      <c r="ABP3" s="600"/>
      <c r="ABQ3" s="600"/>
      <c r="ABR3" s="600"/>
      <c r="ABS3" s="600"/>
      <c r="ABT3" s="600"/>
      <c r="ABU3" s="600"/>
      <c r="ABV3" s="600"/>
      <c r="ABW3" s="600"/>
      <c r="ABX3" s="600"/>
      <c r="ABY3" s="600"/>
      <c r="ABZ3" s="600"/>
      <c r="ACA3" s="600"/>
      <c r="ACB3" s="600"/>
      <c r="ACC3" s="600"/>
      <c r="ACD3" s="600"/>
      <c r="ACE3" s="600"/>
      <c r="ACF3" s="600"/>
      <c r="ACG3" s="600"/>
      <c r="ACH3" s="600"/>
      <c r="ACI3" s="600"/>
      <c r="ACJ3" s="600"/>
      <c r="ACK3" s="600"/>
      <c r="ACL3" s="600"/>
      <c r="ACM3" s="600"/>
      <c r="ACN3" s="600"/>
      <c r="ACO3" s="600"/>
      <c r="ACP3" s="600"/>
      <c r="ACQ3" s="600"/>
      <c r="ACR3" s="600"/>
      <c r="ACS3" s="600"/>
      <c r="ACT3" s="600"/>
      <c r="ACU3" s="600"/>
      <c r="ACV3" s="600"/>
      <c r="ACW3" s="600"/>
      <c r="ACX3" s="600"/>
      <c r="ACY3" s="600"/>
      <c r="ACZ3" s="600"/>
      <c r="ADA3" s="600"/>
      <c r="ADB3" s="600"/>
      <c r="ADC3" s="600"/>
      <c r="ADD3" s="600"/>
      <c r="ADE3" s="600"/>
      <c r="ADF3" s="600"/>
      <c r="ADG3" s="600"/>
      <c r="ADH3" s="600"/>
      <c r="ADI3" s="600"/>
      <c r="ADJ3" s="600"/>
      <c r="ADK3" s="600"/>
      <c r="ADL3" s="600"/>
      <c r="ADM3" s="600"/>
      <c r="ADN3" s="600"/>
      <c r="ADO3" s="600"/>
      <c r="ADP3" s="600"/>
      <c r="ADQ3" s="600"/>
      <c r="ADR3" s="600"/>
      <c r="ADS3" s="600"/>
      <c r="ADT3" s="600"/>
      <c r="ADU3" s="600"/>
      <c r="ADV3" s="600"/>
      <c r="ADW3" s="600"/>
      <c r="ADX3" s="600"/>
      <c r="ADY3" s="600"/>
      <c r="ADZ3" s="600"/>
      <c r="AEA3" s="600"/>
      <c r="AEB3" s="600"/>
      <c r="AEC3" s="600"/>
      <c r="AED3" s="600"/>
      <c r="AEE3" s="600"/>
      <c r="AEF3" s="600"/>
      <c r="AEG3" s="600"/>
      <c r="AEH3" s="600"/>
      <c r="AEI3" s="600"/>
      <c r="AEJ3" s="600"/>
      <c r="AEK3" s="600"/>
      <c r="AEL3" s="600"/>
      <c r="AEM3" s="600"/>
      <c r="AEN3" s="600"/>
      <c r="AEO3" s="600"/>
      <c r="AEP3" s="600"/>
      <c r="AEQ3" s="600"/>
      <c r="AER3" s="600"/>
      <c r="AES3" s="600"/>
      <c r="AET3" s="600"/>
      <c r="AEU3" s="600"/>
      <c r="AEV3" s="600"/>
      <c r="AEW3" s="600"/>
      <c r="AEX3" s="600"/>
      <c r="AEY3" s="600"/>
      <c r="AEZ3" s="600"/>
      <c r="AFA3" s="600"/>
      <c r="AFB3" s="600"/>
      <c r="AFC3" s="600"/>
      <c r="AFD3" s="600"/>
      <c r="AFE3" s="600"/>
      <c r="AFF3" s="600"/>
      <c r="AFG3" s="600"/>
      <c r="AFH3" s="600"/>
      <c r="AFI3" s="600"/>
      <c r="AFJ3" s="600"/>
      <c r="AFK3" s="600"/>
      <c r="AFL3" s="600"/>
      <c r="AFM3" s="600"/>
      <c r="AFN3" s="600"/>
      <c r="AFO3" s="600"/>
      <c r="AFP3" s="600"/>
      <c r="AFQ3" s="600"/>
      <c r="AFR3" s="600"/>
      <c r="AFS3" s="600"/>
      <c r="AFT3" s="600"/>
      <c r="AFU3" s="600"/>
      <c r="AFV3" s="600"/>
      <c r="AFW3" s="600"/>
      <c r="AFX3" s="600"/>
      <c r="AFY3" s="600"/>
      <c r="AFZ3" s="600"/>
      <c r="AGA3" s="600"/>
      <c r="AGB3" s="600"/>
      <c r="AGC3" s="600"/>
      <c r="AGD3" s="600"/>
      <c r="AGE3" s="600"/>
      <c r="AGF3" s="600"/>
      <c r="AGG3" s="600"/>
      <c r="AGH3" s="600"/>
      <c r="AGI3" s="600"/>
      <c r="AGJ3" s="600"/>
      <c r="AGK3" s="600"/>
      <c r="AGL3" s="600"/>
      <c r="AGM3" s="600"/>
      <c r="AGN3" s="600"/>
      <c r="AGO3" s="600"/>
      <c r="AGP3" s="600"/>
      <c r="AGQ3" s="600"/>
      <c r="AGR3" s="600"/>
      <c r="AGS3" s="600"/>
      <c r="AGT3" s="600"/>
      <c r="AGU3" s="600"/>
      <c r="AGV3" s="600"/>
      <c r="AGW3" s="600"/>
      <c r="AGX3" s="600"/>
      <c r="AGY3" s="600"/>
      <c r="AGZ3" s="600"/>
      <c r="AHA3" s="600"/>
      <c r="AHB3" s="600"/>
      <c r="AHC3" s="600"/>
      <c r="AHD3" s="600"/>
      <c r="AHE3" s="600"/>
      <c r="AHF3" s="600"/>
      <c r="AHG3" s="600"/>
      <c r="AHH3" s="600"/>
      <c r="AHI3" s="600"/>
      <c r="AHJ3" s="600"/>
      <c r="AHK3" s="600"/>
      <c r="AHL3" s="600"/>
      <c r="AHM3" s="600"/>
      <c r="AHN3" s="600"/>
      <c r="AHO3" s="600"/>
      <c r="AHP3" s="600"/>
      <c r="AHQ3" s="600"/>
      <c r="AHR3" s="600"/>
      <c r="AHS3" s="600"/>
      <c r="AHT3" s="600"/>
      <c r="AHU3" s="600"/>
      <c r="AHV3" s="600"/>
      <c r="AHW3" s="600"/>
      <c r="AHX3" s="600"/>
      <c r="AHY3" s="600"/>
      <c r="AHZ3" s="600"/>
      <c r="AIA3" s="600"/>
      <c r="AIB3" s="600"/>
      <c r="AIC3" s="600"/>
      <c r="AID3" s="600"/>
      <c r="AIE3" s="600"/>
      <c r="AIF3" s="600"/>
      <c r="AIG3" s="600"/>
      <c r="AIH3" s="600"/>
      <c r="AII3" s="600"/>
      <c r="AIJ3" s="600"/>
      <c r="AIK3" s="600"/>
      <c r="AIL3" s="600"/>
      <c r="AIM3" s="600"/>
      <c r="AIN3" s="600"/>
      <c r="AIO3" s="600"/>
      <c r="AIP3" s="600"/>
      <c r="AIQ3" s="600"/>
      <c r="AIR3" s="600"/>
      <c r="AIS3" s="600"/>
      <c r="AIT3" s="600"/>
      <c r="AIU3" s="600"/>
      <c r="AIV3" s="600"/>
      <c r="AIW3" s="600"/>
      <c r="AIX3" s="600"/>
      <c r="AIY3" s="600"/>
      <c r="AIZ3" s="600"/>
      <c r="AJA3" s="600"/>
      <c r="AJB3" s="600"/>
      <c r="AJC3" s="600"/>
      <c r="AJD3" s="600"/>
      <c r="AJE3" s="600"/>
      <c r="AJF3" s="600"/>
      <c r="AJG3" s="600"/>
      <c r="AJH3" s="600"/>
      <c r="AJI3" s="600"/>
      <c r="AJJ3" s="600"/>
      <c r="AJK3" s="600"/>
      <c r="AJL3" s="600"/>
      <c r="AJM3" s="600"/>
      <c r="AJN3" s="600"/>
      <c r="AJO3" s="600"/>
      <c r="AJP3" s="600"/>
      <c r="AJQ3" s="600"/>
      <c r="AJR3" s="600"/>
      <c r="AJS3" s="600"/>
      <c r="AJT3" s="600"/>
      <c r="AJU3" s="600"/>
      <c r="AJV3" s="600"/>
      <c r="AJW3" s="600"/>
      <c r="AJX3" s="600"/>
      <c r="AJY3" s="600"/>
      <c r="AJZ3" s="600"/>
      <c r="AKA3" s="600"/>
      <c r="AKB3" s="600"/>
      <c r="AKC3" s="600"/>
      <c r="AKD3" s="600"/>
      <c r="AKE3" s="600"/>
      <c r="AKF3" s="600"/>
      <c r="AKG3" s="600"/>
      <c r="AKH3" s="600"/>
      <c r="AKI3" s="600"/>
      <c r="AKJ3" s="600"/>
      <c r="AKK3" s="600"/>
      <c r="AKL3" s="600"/>
      <c r="AKM3" s="600"/>
      <c r="AKN3" s="600"/>
      <c r="AKO3" s="600"/>
      <c r="AKP3" s="600"/>
      <c r="AKQ3" s="600"/>
      <c r="AKR3" s="600"/>
      <c r="AKS3" s="600"/>
      <c r="AKT3" s="600"/>
      <c r="AKU3" s="600"/>
      <c r="AKV3" s="600"/>
      <c r="AKW3" s="600"/>
      <c r="AKX3" s="600"/>
      <c r="AKY3" s="600"/>
      <c r="AKZ3" s="600"/>
      <c r="ALA3" s="600"/>
      <c r="ALB3" s="600"/>
      <c r="ALC3" s="600"/>
      <c r="ALD3" s="600"/>
      <c r="ALE3" s="600"/>
      <c r="ALF3" s="600"/>
      <c r="ALG3" s="600"/>
      <c r="ALH3" s="600"/>
      <c r="ALI3" s="600"/>
      <c r="ALJ3" s="600"/>
      <c r="ALK3" s="600"/>
      <c r="ALL3" s="600"/>
      <c r="ALM3" s="600"/>
      <c r="ALN3" s="600"/>
      <c r="ALO3" s="600"/>
      <c r="ALP3" s="600"/>
      <c r="ALQ3" s="600"/>
      <c r="ALR3" s="600"/>
      <c r="ALS3" s="600"/>
      <c r="ALT3" s="600"/>
      <c r="ALU3" s="600"/>
      <c r="ALV3" s="600"/>
      <c r="ALW3" s="600"/>
      <c r="ALX3" s="600"/>
      <c r="ALY3" s="600"/>
      <c r="ALZ3" s="600"/>
      <c r="AMA3" s="600"/>
      <c r="AMB3" s="600"/>
      <c r="AMC3" s="600"/>
      <c r="AMD3" s="600"/>
      <c r="AME3" s="600"/>
      <c r="AMF3" s="600"/>
      <c r="AMG3" s="600"/>
      <c r="AMH3" s="600"/>
      <c r="AMI3" s="600"/>
      <c r="AMJ3" s="600"/>
      <c r="AMK3" s="600"/>
      <c r="AML3" s="600"/>
      <c r="AMM3" s="600"/>
      <c r="AMN3" s="600"/>
      <c r="AMO3" s="600"/>
      <c r="AMP3" s="600"/>
      <c r="AMQ3" s="600"/>
      <c r="AMR3" s="600"/>
      <c r="AMS3" s="600"/>
      <c r="AMT3" s="600"/>
      <c r="AMU3" s="600"/>
      <c r="AMV3" s="600"/>
      <c r="AMW3" s="600"/>
      <c r="AMX3" s="600"/>
      <c r="AMY3" s="600"/>
      <c r="AMZ3" s="600"/>
      <c r="ANA3" s="600"/>
      <c r="ANB3" s="600"/>
      <c r="ANC3" s="600"/>
      <c r="AND3" s="600"/>
      <c r="ANE3" s="600"/>
      <c r="ANF3" s="600"/>
      <c r="ANG3" s="600"/>
      <c r="ANH3" s="600"/>
      <c r="ANI3" s="600"/>
      <c r="ANJ3" s="600"/>
      <c r="ANK3" s="600"/>
      <c r="ANL3" s="600"/>
      <c r="ANM3" s="600"/>
      <c r="ANN3" s="600"/>
      <c r="ANO3" s="600"/>
      <c r="ANP3" s="600"/>
      <c r="ANQ3" s="600"/>
      <c r="ANR3" s="600"/>
      <c r="ANS3" s="600"/>
      <c r="ANT3" s="600"/>
      <c r="ANU3" s="600"/>
      <c r="ANV3" s="600"/>
      <c r="ANW3" s="600"/>
      <c r="ANX3" s="600"/>
      <c r="ANY3" s="600"/>
      <c r="ANZ3" s="600"/>
      <c r="AOA3" s="600"/>
      <c r="AOB3" s="600"/>
      <c r="AOC3" s="600"/>
      <c r="AOD3" s="600"/>
      <c r="AOE3" s="600"/>
      <c r="AOF3" s="600"/>
      <c r="AOG3" s="600"/>
      <c r="AOH3" s="600"/>
      <c r="AOI3" s="600"/>
      <c r="AOJ3" s="600"/>
      <c r="AOK3" s="600"/>
      <c r="AOL3" s="600"/>
      <c r="AOM3" s="600"/>
      <c r="AON3" s="600"/>
      <c r="AOO3" s="600"/>
      <c r="AOP3" s="600"/>
      <c r="AOQ3" s="600"/>
      <c r="AOR3" s="600"/>
      <c r="AOS3" s="600"/>
      <c r="AOT3" s="600"/>
      <c r="AOU3" s="600"/>
      <c r="AOV3" s="600"/>
      <c r="AOW3" s="600"/>
      <c r="AOX3" s="600"/>
      <c r="AOY3" s="600"/>
      <c r="AOZ3" s="600"/>
      <c r="APA3" s="600"/>
      <c r="APB3" s="600"/>
      <c r="APC3" s="600"/>
      <c r="APD3" s="600"/>
      <c r="APE3" s="600"/>
      <c r="APF3" s="600"/>
      <c r="APG3" s="600"/>
      <c r="APH3" s="600"/>
      <c r="API3" s="600"/>
      <c r="APJ3" s="600"/>
      <c r="APK3" s="600"/>
      <c r="APL3" s="600"/>
      <c r="APM3" s="600"/>
      <c r="APN3" s="600"/>
      <c r="APO3" s="600"/>
      <c r="APP3" s="600"/>
      <c r="APQ3" s="600"/>
      <c r="APR3" s="600"/>
      <c r="APS3" s="600"/>
      <c r="APT3" s="600"/>
      <c r="APU3" s="600"/>
      <c r="APV3" s="600"/>
      <c r="APW3" s="600"/>
      <c r="APX3" s="600"/>
      <c r="APY3" s="600"/>
      <c r="APZ3" s="600"/>
      <c r="AQA3" s="600"/>
      <c r="AQB3" s="600"/>
      <c r="AQC3" s="600"/>
      <c r="AQD3" s="600"/>
      <c r="AQE3" s="600"/>
      <c r="AQF3" s="600"/>
      <c r="AQG3" s="600"/>
      <c r="AQH3" s="600"/>
      <c r="AQI3" s="600"/>
      <c r="AQJ3" s="600"/>
      <c r="AQK3" s="600"/>
      <c r="AQL3" s="600"/>
      <c r="AQM3" s="600"/>
      <c r="AQN3" s="600"/>
      <c r="AQO3" s="600"/>
      <c r="AQP3" s="600"/>
      <c r="AQQ3" s="600"/>
      <c r="AQR3" s="600"/>
      <c r="AQS3" s="600"/>
      <c r="AQT3" s="600"/>
      <c r="AQU3" s="600"/>
      <c r="AQV3" s="600"/>
      <c r="AQW3" s="600"/>
      <c r="AQX3" s="600"/>
      <c r="AQY3" s="600"/>
      <c r="AQZ3" s="600"/>
      <c r="ARA3" s="600"/>
      <c r="ARB3" s="600"/>
      <c r="ARC3" s="600"/>
      <c r="ARD3" s="600"/>
      <c r="ARE3" s="600"/>
      <c r="ARF3" s="600"/>
      <c r="ARG3" s="600"/>
      <c r="ARH3" s="600"/>
      <c r="ARI3" s="600"/>
      <c r="ARJ3" s="600"/>
      <c r="ARK3" s="600"/>
      <c r="ARL3" s="600"/>
      <c r="ARM3" s="600"/>
      <c r="ARN3" s="600"/>
      <c r="ARO3" s="600"/>
      <c r="ARP3" s="600"/>
      <c r="ARQ3" s="600"/>
      <c r="ARR3" s="600"/>
      <c r="ARS3" s="600"/>
      <c r="ART3" s="600"/>
      <c r="ARU3" s="600"/>
      <c r="ARV3" s="600"/>
      <c r="ARW3" s="600"/>
      <c r="ARX3" s="600"/>
      <c r="ARY3" s="600"/>
      <c r="ARZ3" s="600"/>
      <c r="ASA3" s="600"/>
      <c r="ASB3" s="600"/>
      <c r="ASC3" s="600"/>
      <c r="ASD3" s="600"/>
      <c r="ASE3" s="600"/>
      <c r="ASF3" s="600"/>
      <c r="ASG3" s="600"/>
      <c r="ASH3" s="600"/>
      <c r="ASI3" s="600"/>
      <c r="ASJ3" s="600"/>
      <c r="ASK3" s="600"/>
      <c r="ASL3" s="600"/>
      <c r="ASM3" s="600"/>
      <c r="ASN3" s="600"/>
      <c r="ASO3" s="600"/>
      <c r="ASP3" s="600"/>
      <c r="ASQ3" s="600"/>
      <c r="ASR3" s="600"/>
      <c r="ASS3" s="600"/>
      <c r="AST3" s="600"/>
      <c r="ASU3" s="600"/>
      <c r="ASV3" s="600"/>
      <c r="ASW3" s="600"/>
      <c r="ASX3" s="600"/>
      <c r="ASY3" s="600"/>
      <c r="ASZ3" s="600"/>
      <c r="ATA3" s="600"/>
      <c r="ATB3" s="600"/>
      <c r="ATC3" s="600"/>
      <c r="ATD3" s="600"/>
      <c r="ATE3" s="600"/>
      <c r="ATF3" s="600"/>
      <c r="ATG3" s="600"/>
      <c r="ATH3" s="600"/>
      <c r="ATI3" s="600"/>
      <c r="ATJ3" s="600"/>
      <c r="ATK3" s="600"/>
      <c r="ATL3" s="600"/>
      <c r="ATM3" s="600"/>
      <c r="ATN3" s="600"/>
      <c r="ATO3" s="600"/>
      <c r="ATP3" s="600"/>
      <c r="ATQ3" s="600"/>
      <c r="ATR3" s="600"/>
      <c r="ATS3" s="600"/>
      <c r="ATT3" s="600"/>
      <c r="ATU3" s="600"/>
      <c r="ATV3" s="600"/>
      <c r="ATW3" s="600"/>
      <c r="ATX3" s="600"/>
      <c r="ATY3" s="600"/>
      <c r="ATZ3" s="600"/>
      <c r="AUA3" s="600"/>
      <c r="AUB3" s="600"/>
      <c r="AUC3" s="600"/>
      <c r="AUD3" s="600"/>
      <c r="AUE3" s="600"/>
      <c r="AUF3" s="600"/>
      <c r="AUG3" s="600"/>
      <c r="AUH3" s="600"/>
      <c r="AUI3" s="600"/>
      <c r="AUJ3" s="600"/>
      <c r="AUK3" s="600"/>
      <c r="AUL3" s="600"/>
      <c r="AUM3" s="600"/>
      <c r="AUN3" s="600"/>
      <c r="AUO3" s="600"/>
      <c r="AUP3" s="600"/>
      <c r="AUQ3" s="600"/>
      <c r="AUR3" s="600"/>
      <c r="AUS3" s="600"/>
      <c r="AUT3" s="600"/>
      <c r="AUU3" s="600"/>
      <c r="AUV3" s="600"/>
      <c r="AUW3" s="600"/>
      <c r="AUX3" s="600"/>
      <c r="AUY3" s="600"/>
      <c r="AUZ3" s="600"/>
      <c r="AVA3" s="600"/>
      <c r="AVB3" s="600"/>
      <c r="AVC3" s="600"/>
      <c r="AVD3" s="600"/>
      <c r="AVE3" s="600"/>
      <c r="AVF3" s="600"/>
      <c r="AVG3" s="600"/>
      <c r="AVH3" s="600"/>
      <c r="AVI3" s="600"/>
      <c r="AVJ3" s="600"/>
      <c r="AVK3" s="600"/>
      <c r="AVL3" s="600"/>
      <c r="AVM3" s="600"/>
      <c r="AVN3" s="600"/>
      <c r="AVO3" s="600"/>
      <c r="AVP3" s="600"/>
      <c r="AVQ3" s="600"/>
      <c r="AVR3" s="600"/>
      <c r="AVS3" s="600"/>
      <c r="AVT3" s="600"/>
      <c r="AVU3" s="600"/>
      <c r="AVV3" s="600"/>
      <c r="AVW3" s="600"/>
      <c r="AVX3" s="600"/>
      <c r="AVY3" s="600"/>
      <c r="AVZ3" s="600"/>
      <c r="AWA3" s="600"/>
      <c r="AWB3" s="600"/>
      <c r="AWC3" s="600"/>
      <c r="AWD3" s="600"/>
      <c r="AWE3" s="600"/>
      <c r="AWF3" s="600"/>
      <c r="AWG3" s="600"/>
      <c r="AWH3" s="600"/>
      <c r="AWI3" s="600"/>
      <c r="AWJ3" s="600"/>
      <c r="AWK3" s="600"/>
      <c r="AWL3" s="600"/>
      <c r="AWM3" s="600"/>
      <c r="AWN3" s="600"/>
      <c r="AWO3" s="600"/>
      <c r="AWP3" s="600"/>
      <c r="AWQ3" s="600"/>
      <c r="AWR3" s="600"/>
      <c r="AWS3" s="600"/>
      <c r="AWT3" s="600"/>
      <c r="AWU3" s="600"/>
      <c r="AWV3" s="600"/>
      <c r="AWW3" s="600"/>
      <c r="AWX3" s="600"/>
      <c r="AWY3" s="600"/>
      <c r="AWZ3" s="600"/>
      <c r="AXA3" s="600"/>
      <c r="AXB3" s="600"/>
      <c r="AXC3" s="600"/>
      <c r="AXD3" s="600"/>
      <c r="AXE3" s="600"/>
      <c r="AXF3" s="600"/>
      <c r="AXG3" s="600"/>
      <c r="AXH3" s="600"/>
      <c r="AXI3" s="600"/>
      <c r="AXJ3" s="600"/>
      <c r="AXK3" s="600"/>
      <c r="AXL3" s="600"/>
      <c r="AXM3" s="600"/>
      <c r="AXN3" s="600"/>
      <c r="AXO3" s="600"/>
      <c r="AXP3" s="600"/>
      <c r="AXQ3" s="600"/>
      <c r="AXR3" s="600"/>
      <c r="AXS3" s="600"/>
      <c r="AXT3" s="600"/>
      <c r="AXU3" s="600"/>
      <c r="AXV3" s="600"/>
      <c r="AXW3" s="600"/>
      <c r="AXX3" s="600"/>
      <c r="AXY3" s="600"/>
      <c r="AXZ3" s="600"/>
      <c r="AYA3" s="600"/>
      <c r="AYB3" s="600"/>
      <c r="AYC3" s="600"/>
      <c r="AYD3" s="600"/>
      <c r="AYE3" s="600"/>
      <c r="AYF3" s="600"/>
      <c r="AYG3" s="600"/>
      <c r="AYH3" s="600"/>
      <c r="AYI3" s="600"/>
      <c r="AYJ3" s="600"/>
      <c r="AYK3" s="600"/>
      <c r="AYL3" s="600"/>
      <c r="AYM3" s="600"/>
      <c r="AYN3" s="600"/>
      <c r="AYO3" s="600"/>
      <c r="AYP3" s="600"/>
      <c r="AYQ3" s="600"/>
      <c r="AYR3" s="600"/>
      <c r="AYS3" s="600"/>
      <c r="AYT3" s="600"/>
      <c r="AYU3" s="600"/>
      <c r="AYV3" s="600"/>
      <c r="AYW3" s="600"/>
      <c r="AYX3" s="600"/>
      <c r="AYY3" s="600"/>
      <c r="AYZ3" s="600"/>
      <c r="AZA3" s="600"/>
      <c r="AZB3" s="600"/>
      <c r="AZC3" s="600"/>
      <c r="AZD3" s="600"/>
      <c r="AZE3" s="600"/>
      <c r="AZF3" s="600"/>
      <c r="AZG3" s="600"/>
      <c r="AZH3" s="600"/>
      <c r="AZI3" s="600"/>
      <c r="AZJ3" s="600"/>
      <c r="AZK3" s="600"/>
      <c r="AZL3" s="600"/>
      <c r="AZM3" s="600"/>
      <c r="AZN3" s="600"/>
      <c r="AZO3" s="600"/>
      <c r="AZP3" s="600"/>
      <c r="AZQ3" s="600"/>
      <c r="AZR3" s="600"/>
      <c r="AZS3" s="600"/>
      <c r="AZT3" s="600"/>
      <c r="AZU3" s="600"/>
      <c r="AZV3" s="600"/>
      <c r="AZW3" s="600"/>
      <c r="AZX3" s="600"/>
      <c r="AZY3" s="600"/>
      <c r="AZZ3" s="600"/>
      <c r="BAA3" s="600"/>
      <c r="BAB3" s="600"/>
      <c r="BAC3" s="600"/>
      <c r="BAD3" s="600"/>
      <c r="BAE3" s="600"/>
      <c r="BAF3" s="600"/>
      <c r="BAG3" s="600"/>
      <c r="BAH3" s="600"/>
      <c r="BAI3" s="600"/>
      <c r="BAJ3" s="600"/>
      <c r="BAK3" s="600"/>
      <c r="BAL3" s="600"/>
      <c r="BAM3" s="600"/>
      <c r="BAN3" s="600"/>
      <c r="BAO3" s="600"/>
      <c r="BAP3" s="600"/>
      <c r="BAQ3" s="600"/>
      <c r="BAR3" s="600"/>
      <c r="BAS3" s="600"/>
      <c r="BAT3" s="600"/>
      <c r="BAU3" s="600"/>
      <c r="BAV3" s="600"/>
      <c r="BAW3" s="600"/>
      <c r="BAX3" s="600"/>
      <c r="BAY3" s="600"/>
      <c r="BAZ3" s="600"/>
      <c r="BBA3" s="600"/>
      <c r="BBB3" s="600"/>
      <c r="BBC3" s="600"/>
      <c r="BBD3" s="600"/>
      <c r="BBE3" s="600"/>
      <c r="BBF3" s="600"/>
      <c r="BBG3" s="600"/>
      <c r="BBH3" s="600"/>
      <c r="BBI3" s="600"/>
      <c r="BBJ3" s="600"/>
      <c r="BBK3" s="600"/>
      <c r="BBL3" s="600"/>
      <c r="BBM3" s="600"/>
      <c r="BBN3" s="600"/>
      <c r="BBO3" s="600"/>
      <c r="BBP3" s="600"/>
      <c r="BBQ3" s="600"/>
      <c r="BBR3" s="600"/>
      <c r="BBS3" s="600"/>
      <c r="BBT3" s="600"/>
      <c r="BBU3" s="600"/>
      <c r="BBV3" s="600"/>
      <c r="BBW3" s="600"/>
      <c r="BBX3" s="600"/>
      <c r="BBY3" s="600"/>
      <c r="BBZ3" s="600"/>
      <c r="BCA3" s="600"/>
      <c r="BCB3" s="600"/>
      <c r="BCC3" s="600"/>
      <c r="BCD3" s="600"/>
      <c r="BCE3" s="600"/>
      <c r="BCF3" s="600"/>
      <c r="BCG3" s="600"/>
      <c r="BCH3" s="600"/>
      <c r="BCI3" s="600"/>
      <c r="BCJ3" s="600"/>
      <c r="BCK3" s="600"/>
      <c r="BCL3" s="600"/>
      <c r="BCM3" s="600"/>
      <c r="BCN3" s="600"/>
      <c r="BCO3" s="600"/>
      <c r="BCP3" s="600"/>
      <c r="BCQ3" s="600"/>
      <c r="BCR3" s="600"/>
      <c r="BCS3" s="600"/>
      <c r="BCT3" s="600"/>
      <c r="BCU3" s="600"/>
      <c r="BCV3" s="600"/>
      <c r="BCW3" s="600"/>
      <c r="BCX3" s="600"/>
      <c r="BCY3" s="600"/>
      <c r="BCZ3" s="600"/>
      <c r="BDA3" s="600"/>
      <c r="BDB3" s="600"/>
      <c r="BDC3" s="600"/>
      <c r="BDD3" s="600"/>
      <c r="BDE3" s="600"/>
      <c r="BDF3" s="600"/>
      <c r="BDG3" s="600"/>
      <c r="BDH3" s="600"/>
      <c r="BDI3" s="600"/>
      <c r="BDJ3" s="600"/>
      <c r="BDK3" s="600"/>
      <c r="BDL3" s="600"/>
      <c r="BDM3" s="600"/>
      <c r="BDN3" s="600"/>
      <c r="BDO3" s="600"/>
      <c r="BDP3" s="600"/>
      <c r="BDQ3" s="600"/>
      <c r="BDR3" s="600"/>
      <c r="BDS3" s="600"/>
      <c r="BDT3" s="600"/>
      <c r="BDU3" s="600"/>
      <c r="BDV3" s="600"/>
      <c r="BDW3" s="600"/>
      <c r="BDX3" s="600"/>
      <c r="BDY3" s="600"/>
      <c r="BDZ3" s="600"/>
      <c r="BEA3" s="600"/>
      <c r="BEB3" s="600"/>
      <c r="BEC3" s="600"/>
      <c r="BED3" s="600"/>
      <c r="BEE3" s="600"/>
      <c r="BEF3" s="600"/>
      <c r="BEG3" s="600"/>
      <c r="BEH3" s="600"/>
      <c r="BEI3" s="600"/>
      <c r="BEJ3" s="600"/>
      <c r="BEK3" s="600"/>
      <c r="BEL3" s="600"/>
      <c r="BEM3" s="600"/>
      <c r="BEN3" s="600"/>
      <c r="BEO3" s="600"/>
      <c r="BEP3" s="600"/>
      <c r="BEQ3" s="600"/>
      <c r="BER3" s="600"/>
      <c r="BES3" s="600"/>
      <c r="BET3" s="600"/>
      <c r="BEU3" s="600"/>
      <c r="BEV3" s="600"/>
      <c r="BEW3" s="600"/>
      <c r="BEX3" s="600"/>
      <c r="BEY3" s="600"/>
      <c r="BEZ3" s="600"/>
      <c r="BFA3" s="600"/>
      <c r="BFB3" s="600"/>
      <c r="BFC3" s="600"/>
      <c r="BFD3" s="600"/>
      <c r="BFE3" s="600"/>
      <c r="BFF3" s="600"/>
      <c r="BFG3" s="600"/>
      <c r="BFH3" s="600"/>
      <c r="BFI3" s="600"/>
      <c r="BFJ3" s="600"/>
      <c r="BFK3" s="600"/>
      <c r="BFL3" s="600"/>
      <c r="BFM3" s="600"/>
      <c r="BFN3" s="600"/>
      <c r="BFO3" s="600"/>
      <c r="BFP3" s="600"/>
      <c r="BFQ3" s="600"/>
      <c r="BFR3" s="600"/>
      <c r="BFS3" s="600"/>
      <c r="BFT3" s="600"/>
      <c r="BFU3" s="600"/>
      <c r="BFV3" s="600"/>
      <c r="BFW3" s="600"/>
      <c r="BFX3" s="600"/>
      <c r="BFY3" s="600"/>
      <c r="BFZ3" s="600"/>
      <c r="BGA3" s="600"/>
      <c r="BGB3" s="600"/>
      <c r="BGC3" s="600"/>
      <c r="BGD3" s="600"/>
      <c r="BGE3" s="600"/>
      <c r="BGF3" s="600"/>
      <c r="BGG3" s="600"/>
      <c r="BGH3" s="600"/>
      <c r="BGI3" s="600"/>
      <c r="BGJ3" s="600"/>
      <c r="BGK3" s="600"/>
      <c r="BGL3" s="600"/>
      <c r="BGM3" s="600"/>
      <c r="BGN3" s="600"/>
      <c r="BGO3" s="600"/>
      <c r="BGP3" s="600"/>
      <c r="BGQ3" s="600"/>
      <c r="BGR3" s="600"/>
      <c r="BGS3" s="600"/>
      <c r="BGT3" s="600"/>
      <c r="BGU3" s="600"/>
      <c r="BGV3" s="600"/>
      <c r="BGW3" s="600"/>
      <c r="BGX3" s="600"/>
      <c r="BGY3" s="600"/>
      <c r="BGZ3" s="600"/>
      <c r="BHA3" s="600"/>
      <c r="BHB3" s="600"/>
      <c r="BHC3" s="600"/>
      <c r="BHD3" s="600"/>
      <c r="BHE3" s="600"/>
      <c r="BHF3" s="600"/>
      <c r="BHG3" s="600"/>
      <c r="BHH3" s="600"/>
      <c r="BHI3" s="600"/>
      <c r="BHJ3" s="600"/>
      <c r="BHK3" s="600"/>
      <c r="BHL3" s="600"/>
      <c r="BHM3" s="600"/>
      <c r="BHN3" s="600"/>
      <c r="BHO3" s="600"/>
      <c r="BHP3" s="600"/>
      <c r="BHQ3" s="600"/>
      <c r="BHR3" s="600"/>
      <c r="BHS3" s="600"/>
      <c r="BHT3" s="600"/>
      <c r="BHU3" s="600"/>
      <c r="BHV3" s="600"/>
      <c r="BHW3" s="600"/>
      <c r="BHX3" s="600"/>
      <c r="BHY3" s="600"/>
      <c r="BHZ3" s="600"/>
      <c r="BIA3" s="600"/>
      <c r="BIB3" s="600"/>
      <c r="BIC3" s="600"/>
      <c r="BID3" s="600"/>
      <c r="BIE3" s="600"/>
      <c r="BIF3" s="600"/>
      <c r="BIG3" s="600"/>
      <c r="BIH3" s="600"/>
      <c r="BII3" s="600"/>
      <c r="BIJ3" s="600"/>
      <c r="BIK3" s="600"/>
      <c r="BIL3" s="600"/>
      <c r="BIM3" s="600"/>
      <c r="BIN3" s="600"/>
      <c r="BIO3" s="600"/>
      <c r="BIP3" s="600"/>
      <c r="BIQ3" s="600"/>
      <c r="BIR3" s="600"/>
      <c r="BIS3" s="600"/>
      <c r="BIT3" s="600"/>
      <c r="BIU3" s="600"/>
      <c r="BIV3" s="600"/>
      <c r="BIW3" s="600"/>
      <c r="BIX3" s="600"/>
      <c r="BIY3" s="600"/>
      <c r="BIZ3" s="600"/>
      <c r="BJA3" s="600"/>
      <c r="BJB3" s="600"/>
      <c r="BJC3" s="600"/>
      <c r="BJD3" s="600"/>
      <c r="BJE3" s="600"/>
      <c r="BJF3" s="600"/>
      <c r="BJG3" s="600"/>
      <c r="BJH3" s="600"/>
      <c r="BJI3" s="600"/>
      <c r="BJJ3" s="600"/>
      <c r="BJK3" s="600"/>
      <c r="BJL3" s="600"/>
      <c r="BJM3" s="600"/>
      <c r="BJN3" s="600"/>
      <c r="BJO3" s="600"/>
      <c r="BJP3" s="600"/>
      <c r="BJQ3" s="600"/>
      <c r="BJR3" s="600"/>
      <c r="BJS3" s="600"/>
      <c r="BJT3" s="600"/>
      <c r="BJU3" s="600"/>
      <c r="BJV3" s="600"/>
      <c r="BJW3" s="600"/>
      <c r="BJX3" s="600"/>
      <c r="BJY3" s="600"/>
      <c r="BJZ3" s="600"/>
      <c r="BKA3" s="600"/>
      <c r="BKB3" s="600"/>
      <c r="BKC3" s="600"/>
      <c r="BKD3" s="600"/>
      <c r="BKE3" s="600"/>
      <c r="BKF3" s="600"/>
      <c r="BKG3" s="600"/>
      <c r="BKH3" s="600"/>
      <c r="BKI3" s="600"/>
      <c r="BKJ3" s="600"/>
      <c r="BKK3" s="600"/>
      <c r="BKL3" s="600"/>
      <c r="BKM3" s="600"/>
      <c r="BKN3" s="600"/>
      <c r="BKO3" s="600"/>
      <c r="BKP3" s="600"/>
      <c r="BKQ3" s="600"/>
      <c r="BKR3" s="600"/>
      <c r="BKS3" s="600"/>
      <c r="BKT3" s="600"/>
      <c r="BKU3" s="600"/>
      <c r="BKV3" s="600"/>
      <c r="BKW3" s="600"/>
      <c r="BKX3" s="600"/>
      <c r="BKY3" s="600"/>
      <c r="BKZ3" s="600"/>
      <c r="BLA3" s="600"/>
      <c r="BLB3" s="600"/>
      <c r="BLC3" s="600"/>
      <c r="BLD3" s="600"/>
      <c r="BLE3" s="600"/>
      <c r="BLF3" s="600"/>
      <c r="BLG3" s="600"/>
      <c r="BLH3" s="600"/>
      <c r="BLI3" s="600"/>
      <c r="BLJ3" s="600"/>
      <c r="BLK3" s="600"/>
      <c r="BLL3" s="600"/>
      <c r="BLM3" s="600"/>
      <c r="BLN3" s="600"/>
      <c r="BLO3" s="600"/>
      <c r="BLP3" s="600"/>
      <c r="BLQ3" s="600"/>
      <c r="BLR3" s="600"/>
      <c r="BLS3" s="600"/>
      <c r="BLT3" s="600"/>
      <c r="BLU3" s="600"/>
      <c r="BLV3" s="600"/>
      <c r="BLW3" s="600"/>
      <c r="BLX3" s="600"/>
      <c r="BLY3" s="600"/>
      <c r="BLZ3" s="600"/>
      <c r="BMA3" s="600"/>
      <c r="BMB3" s="600"/>
      <c r="BMC3" s="600"/>
      <c r="BMD3" s="600"/>
      <c r="BME3" s="600"/>
      <c r="BMF3" s="600"/>
      <c r="BMG3" s="600"/>
      <c r="BMH3" s="600"/>
      <c r="BMI3" s="600"/>
      <c r="BMJ3" s="600"/>
      <c r="BMK3" s="600"/>
      <c r="BML3" s="600"/>
      <c r="BMM3" s="600"/>
      <c r="BMN3" s="600"/>
      <c r="BMO3" s="600"/>
      <c r="BMP3" s="600"/>
      <c r="BMQ3" s="600"/>
      <c r="BMR3" s="600"/>
      <c r="BMS3" s="600"/>
      <c r="BMT3" s="600"/>
      <c r="BMU3" s="600"/>
      <c r="BMV3" s="600"/>
      <c r="BMW3" s="600"/>
      <c r="BMX3" s="600"/>
      <c r="BMY3" s="600"/>
      <c r="BMZ3" s="600"/>
      <c r="BNA3" s="600"/>
      <c r="BNB3" s="600"/>
      <c r="BNC3" s="600"/>
      <c r="BND3" s="600"/>
      <c r="BNE3" s="600"/>
      <c r="BNF3" s="600"/>
      <c r="BNG3" s="600"/>
      <c r="BNH3" s="600"/>
      <c r="BNI3" s="600"/>
      <c r="BNJ3" s="600"/>
      <c r="BNK3" s="600"/>
      <c r="BNL3" s="600"/>
      <c r="BNM3" s="600"/>
      <c r="BNN3" s="600"/>
      <c r="BNO3" s="600"/>
      <c r="BNP3" s="600"/>
      <c r="BNQ3" s="600"/>
      <c r="BNR3" s="600"/>
      <c r="BNS3" s="600"/>
      <c r="BNT3" s="600"/>
      <c r="BNU3" s="600"/>
      <c r="BNV3" s="600"/>
      <c r="BNW3" s="600"/>
      <c r="BNX3" s="600"/>
      <c r="BNY3" s="600"/>
      <c r="BNZ3" s="600"/>
      <c r="BOA3" s="600"/>
      <c r="BOB3" s="600"/>
      <c r="BOC3" s="600"/>
      <c r="BOD3" s="600"/>
      <c r="BOE3" s="600"/>
      <c r="BOF3" s="600"/>
      <c r="BOG3" s="600"/>
      <c r="BOH3" s="600"/>
      <c r="BOI3" s="600"/>
      <c r="BOJ3" s="600"/>
      <c r="BOK3" s="600"/>
      <c r="BOL3" s="600"/>
      <c r="BOM3" s="600"/>
      <c r="BON3" s="600"/>
      <c r="BOO3" s="600"/>
      <c r="BOP3" s="600"/>
      <c r="BOQ3" s="600"/>
      <c r="BOR3" s="600"/>
      <c r="BOS3" s="600"/>
      <c r="BOT3" s="600"/>
      <c r="BOU3" s="600"/>
      <c r="BOV3" s="600"/>
      <c r="BOW3" s="600"/>
      <c r="BOX3" s="600"/>
      <c r="BOY3" s="600"/>
      <c r="BOZ3" s="600"/>
      <c r="BPA3" s="600"/>
      <c r="BPB3" s="600"/>
      <c r="BPC3" s="600"/>
      <c r="BPD3" s="600"/>
      <c r="BPE3" s="600"/>
      <c r="BPF3" s="600"/>
      <c r="BPG3" s="600"/>
      <c r="BPH3" s="600"/>
      <c r="BPI3" s="600"/>
      <c r="BPJ3" s="600"/>
      <c r="BPK3" s="600"/>
      <c r="BPL3" s="600"/>
      <c r="BPM3" s="600"/>
      <c r="BPN3" s="600"/>
      <c r="BPO3" s="600"/>
      <c r="BPP3" s="600"/>
      <c r="BPQ3" s="600"/>
      <c r="BPR3" s="600"/>
      <c r="BPS3" s="600"/>
      <c r="BPT3" s="600"/>
      <c r="BPU3" s="600"/>
      <c r="BPV3" s="600"/>
      <c r="BPW3" s="600"/>
      <c r="BPX3" s="600"/>
      <c r="BPY3" s="600"/>
      <c r="BPZ3" s="600"/>
      <c r="BQA3" s="600"/>
      <c r="BQB3" s="600"/>
      <c r="BQC3" s="600"/>
      <c r="BQD3" s="600"/>
      <c r="BQE3" s="600"/>
      <c r="BQF3" s="600"/>
      <c r="BQG3" s="600"/>
      <c r="BQH3" s="600"/>
      <c r="BQI3" s="600"/>
      <c r="BQJ3" s="600"/>
      <c r="BQK3" s="600"/>
      <c r="BQL3" s="600"/>
      <c r="BQM3" s="600"/>
      <c r="BQN3" s="600"/>
      <c r="BQO3" s="600"/>
      <c r="BQP3" s="600"/>
      <c r="BQQ3" s="600"/>
      <c r="BQR3" s="600"/>
      <c r="BQS3" s="600"/>
      <c r="BQT3" s="600"/>
      <c r="BQU3" s="600"/>
      <c r="BQV3" s="600"/>
      <c r="BQW3" s="600"/>
      <c r="BQX3" s="600"/>
      <c r="BQY3" s="600"/>
      <c r="BQZ3" s="600"/>
      <c r="BRA3" s="600"/>
      <c r="BRB3" s="600"/>
      <c r="BRC3" s="600"/>
      <c r="BRD3" s="600"/>
      <c r="BRE3" s="600"/>
      <c r="BRF3" s="600"/>
      <c r="BRG3" s="600"/>
      <c r="BRH3" s="600"/>
      <c r="BRI3" s="600"/>
      <c r="BRJ3" s="600"/>
      <c r="BRK3" s="600"/>
      <c r="BRL3" s="600"/>
      <c r="BRM3" s="600"/>
      <c r="BRN3" s="600"/>
      <c r="BRO3" s="600"/>
      <c r="BRP3" s="600"/>
      <c r="BRQ3" s="600"/>
      <c r="BRR3" s="600"/>
      <c r="BRS3" s="600"/>
      <c r="BRT3" s="600"/>
      <c r="BRU3" s="600"/>
      <c r="BRV3" s="600"/>
      <c r="BRW3" s="600"/>
      <c r="BRX3" s="600"/>
      <c r="BRY3" s="600"/>
      <c r="BRZ3" s="600"/>
      <c r="BSA3" s="600"/>
      <c r="BSB3" s="600"/>
      <c r="BSC3" s="600"/>
      <c r="BSD3" s="600"/>
      <c r="BSE3" s="600"/>
      <c r="BSF3" s="600"/>
      <c r="BSG3" s="600"/>
      <c r="BSH3" s="600"/>
      <c r="BSI3" s="600"/>
      <c r="BSJ3" s="600"/>
      <c r="BSK3" s="600"/>
      <c r="BSL3" s="600"/>
      <c r="BSM3" s="600"/>
      <c r="BSN3" s="600"/>
      <c r="BSO3" s="600"/>
      <c r="BSP3" s="600"/>
      <c r="BSQ3" s="600"/>
      <c r="BSR3" s="600"/>
      <c r="BSS3" s="600"/>
      <c r="BST3" s="600"/>
      <c r="BSU3" s="600"/>
      <c r="BSV3" s="600"/>
      <c r="BSW3" s="600"/>
      <c r="BSX3" s="600"/>
      <c r="BSY3" s="600"/>
      <c r="BSZ3" s="600"/>
      <c r="BTA3" s="600"/>
      <c r="BTB3" s="600"/>
      <c r="BTC3" s="600"/>
      <c r="BTD3" s="600"/>
      <c r="BTE3" s="600"/>
      <c r="BTF3" s="600"/>
      <c r="BTG3" s="600"/>
      <c r="BTH3" s="600"/>
      <c r="BTI3" s="600"/>
      <c r="BTJ3" s="600"/>
      <c r="BTK3" s="600"/>
      <c r="BTL3" s="600"/>
      <c r="BTM3" s="600"/>
      <c r="BTN3" s="600"/>
      <c r="BTO3" s="600"/>
      <c r="BTP3" s="600"/>
      <c r="BTQ3" s="600"/>
      <c r="BTR3" s="600"/>
      <c r="BTS3" s="600"/>
      <c r="BTT3" s="600"/>
      <c r="BTU3" s="600"/>
      <c r="BTV3" s="600"/>
      <c r="BTW3" s="600"/>
      <c r="BTX3" s="600"/>
      <c r="BTY3" s="600"/>
      <c r="BTZ3" s="600"/>
      <c r="BUA3" s="600"/>
      <c r="BUB3" s="600"/>
      <c r="BUC3" s="600"/>
      <c r="BUD3" s="600"/>
      <c r="BUE3" s="600"/>
      <c r="BUF3" s="600"/>
      <c r="BUG3" s="600"/>
      <c r="BUH3" s="600"/>
      <c r="BUI3" s="600"/>
      <c r="BUJ3" s="600"/>
      <c r="BUK3" s="600"/>
      <c r="BUL3" s="600"/>
      <c r="BUM3" s="600"/>
      <c r="BUN3" s="600"/>
      <c r="BUO3" s="600"/>
      <c r="BUP3" s="600"/>
      <c r="BUQ3" s="600"/>
      <c r="BUR3" s="600"/>
      <c r="BUS3" s="600"/>
      <c r="BUT3" s="600"/>
      <c r="BUU3" s="600"/>
      <c r="BUV3" s="600"/>
      <c r="BUW3" s="600"/>
      <c r="BUX3" s="600"/>
      <c r="BUY3" s="600"/>
      <c r="BUZ3" s="600"/>
      <c r="BVA3" s="600"/>
      <c r="BVB3" s="600"/>
      <c r="BVC3" s="600"/>
      <c r="BVD3" s="600"/>
      <c r="BVE3" s="600"/>
      <c r="BVF3" s="600"/>
      <c r="BVG3" s="600"/>
      <c r="BVH3" s="600"/>
      <c r="BVI3" s="600"/>
      <c r="BVJ3" s="600"/>
      <c r="BVK3" s="600"/>
      <c r="BVL3" s="600"/>
      <c r="BVM3" s="600"/>
      <c r="BVN3" s="600"/>
      <c r="BVO3" s="600"/>
      <c r="BVP3" s="600"/>
      <c r="BVQ3" s="600"/>
      <c r="BVR3" s="600"/>
      <c r="BVS3" s="600"/>
      <c r="BVT3" s="600"/>
      <c r="BVU3" s="600"/>
      <c r="BVV3" s="600"/>
      <c r="BVW3" s="600"/>
      <c r="BVX3" s="600"/>
      <c r="BVY3" s="600"/>
      <c r="BVZ3" s="600"/>
      <c r="BWA3" s="600"/>
      <c r="BWB3" s="600"/>
      <c r="BWC3" s="600"/>
      <c r="BWD3" s="600"/>
      <c r="BWE3" s="600"/>
      <c r="BWF3" s="600"/>
      <c r="BWG3" s="600"/>
      <c r="BWH3" s="600"/>
      <c r="BWI3" s="600"/>
      <c r="BWJ3" s="600"/>
      <c r="BWK3" s="600"/>
      <c r="BWL3" s="600"/>
      <c r="BWM3" s="600"/>
      <c r="BWN3" s="600"/>
      <c r="BWO3" s="600"/>
      <c r="BWP3" s="600"/>
      <c r="BWQ3" s="600"/>
      <c r="BWR3" s="600"/>
      <c r="BWS3" s="600"/>
      <c r="BWT3" s="600"/>
      <c r="BWU3" s="600"/>
      <c r="BWV3" s="600"/>
      <c r="BWW3" s="600"/>
      <c r="BWX3" s="600"/>
      <c r="BWY3" s="600"/>
      <c r="BWZ3" s="600"/>
      <c r="BXA3" s="600"/>
      <c r="BXB3" s="600"/>
      <c r="BXC3" s="600"/>
      <c r="BXD3" s="600"/>
      <c r="BXE3" s="600"/>
      <c r="BXF3" s="600"/>
      <c r="BXG3" s="600"/>
      <c r="BXH3" s="600"/>
      <c r="BXI3" s="600"/>
      <c r="BXJ3" s="600"/>
      <c r="BXK3" s="600"/>
      <c r="BXL3" s="600"/>
      <c r="BXM3" s="600"/>
      <c r="BXN3" s="600"/>
      <c r="BXO3" s="600"/>
      <c r="BXP3" s="600"/>
      <c r="BXQ3" s="600"/>
      <c r="BXR3" s="600"/>
      <c r="BXS3" s="600"/>
      <c r="BXT3" s="600"/>
      <c r="BXU3" s="600"/>
      <c r="BXV3" s="600"/>
      <c r="BXW3" s="600"/>
      <c r="BXX3" s="600"/>
      <c r="BXY3" s="600"/>
      <c r="BXZ3" s="600"/>
      <c r="BYA3" s="600"/>
      <c r="BYB3" s="600"/>
      <c r="BYC3" s="600"/>
    </row>
    <row r="4" spans="1:2005" ht="16">
      <c r="A4" s="1885" t="s">
        <v>503</v>
      </c>
      <c r="B4" s="655" t="s">
        <v>58</v>
      </c>
      <c r="C4" s="345">
        <f>corn!W18</f>
        <v>5557.0618181818181</v>
      </c>
      <c r="D4" s="346">
        <f>corn!W19</f>
        <v>519.94174234058528</v>
      </c>
      <c r="E4" s="345">
        <f>sorghum!W18</f>
        <v>158.88027272727271</v>
      </c>
      <c r="F4" s="345">
        <f>sorghum!W19</f>
        <v>47.729011008171831</v>
      </c>
      <c r="G4" s="347">
        <f>barley!W18</f>
        <v>69.303090909090898</v>
      </c>
      <c r="H4" s="346">
        <f>barley!W19</f>
        <v>33.524318792346982</v>
      </c>
      <c r="I4" s="345">
        <f>oats!W18</f>
        <v>131.54727272727271</v>
      </c>
      <c r="J4" s="345">
        <f>oats!W19</f>
        <v>28.007569630694157</v>
      </c>
      <c r="K4" s="411"/>
      <c r="L4" s="751"/>
      <c r="M4" s="348">
        <f>soy!F21*0.6+soy!H21</f>
        <v>1154.9443619712545</v>
      </c>
      <c r="N4" s="346">
        <f>SQRT((soy!F22*0.6)^2+soy!H22^2)</f>
        <v>62.696368830841195</v>
      </c>
      <c r="O4" s="349">
        <f>wheat!S19</f>
        <v>179.3</v>
      </c>
      <c r="P4" s="350">
        <f>wheat!S20</f>
        <v>59.955631743630015</v>
      </c>
      <c r="Q4" s="632"/>
      <c r="R4" s="633"/>
      <c r="S4" s="350"/>
      <c r="T4" s="351"/>
      <c r="U4" s="404"/>
      <c r="V4" s="181"/>
      <c r="W4" s="405"/>
      <c r="X4" s="641"/>
      <c r="Y4" s="643"/>
      <c r="Z4" s="644"/>
      <c r="AA4" s="642"/>
      <c r="AB4" s="642"/>
      <c r="AC4" s="643"/>
      <c r="AD4" s="1596"/>
      <c r="AE4" s="1599"/>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c r="BQ4" s="180"/>
      <c r="BR4" s="180"/>
      <c r="BS4" s="180"/>
      <c r="BT4" s="180"/>
      <c r="BU4" s="180"/>
      <c r="BV4" s="180"/>
      <c r="BW4" s="180"/>
      <c r="BX4" s="180"/>
      <c r="BY4" s="180"/>
      <c r="BZ4" s="180"/>
      <c r="CA4" s="180"/>
      <c r="CB4" s="180"/>
      <c r="CC4" s="180"/>
      <c r="CD4" s="180"/>
      <c r="CE4" s="180"/>
      <c r="CF4" s="180"/>
      <c r="CG4" s="180"/>
      <c r="CH4" s="180"/>
      <c r="CI4" s="180"/>
      <c r="CJ4" s="180"/>
      <c r="CK4" s="180"/>
      <c r="CL4" s="180"/>
      <c r="CM4" s="180"/>
      <c r="CN4" s="180"/>
      <c r="CO4" s="180"/>
      <c r="CP4" s="180"/>
      <c r="CQ4" s="180"/>
      <c r="CR4" s="180"/>
      <c r="CS4" s="180"/>
      <c r="CT4" s="180"/>
      <c r="CU4" s="180"/>
      <c r="CV4" s="180"/>
      <c r="CW4" s="180"/>
      <c r="CX4" s="180"/>
      <c r="CY4" s="180"/>
      <c r="CZ4" s="180"/>
      <c r="DA4" s="180"/>
      <c r="DB4" s="180"/>
      <c r="DC4" s="180"/>
      <c r="DD4" s="180"/>
      <c r="DE4" s="180"/>
      <c r="DF4" s="180"/>
      <c r="DG4" s="180"/>
      <c r="DH4" s="180"/>
      <c r="DI4" s="180"/>
      <c r="DJ4" s="180"/>
      <c r="DK4" s="180"/>
      <c r="DL4" s="180"/>
      <c r="DM4" s="180"/>
      <c r="DN4" s="180"/>
      <c r="DO4" s="180"/>
      <c r="DP4" s="180"/>
      <c r="DQ4" s="180"/>
      <c r="DR4" s="180"/>
      <c r="DS4" s="180"/>
      <c r="DT4" s="180"/>
      <c r="DU4" s="180"/>
      <c r="DV4" s="180"/>
      <c r="DW4" s="180"/>
      <c r="DX4" s="180"/>
      <c r="DY4" s="180"/>
      <c r="DZ4" s="180"/>
      <c r="EA4" s="180"/>
      <c r="EB4" s="180"/>
      <c r="EC4" s="180"/>
      <c r="ED4" s="180"/>
      <c r="EE4" s="180"/>
      <c r="EF4" s="180"/>
      <c r="EG4" s="180"/>
      <c r="EH4" s="180"/>
      <c r="EI4" s="180"/>
      <c r="EJ4" s="180"/>
      <c r="EK4" s="180"/>
      <c r="EL4" s="180"/>
      <c r="EM4" s="180"/>
      <c r="EN4" s="180"/>
      <c r="EO4" s="180"/>
      <c r="EP4" s="180"/>
      <c r="EQ4" s="180"/>
      <c r="ER4" s="180"/>
      <c r="ES4" s="180"/>
      <c r="ET4" s="180"/>
      <c r="EU4" s="180"/>
      <c r="EV4" s="180"/>
      <c r="EW4" s="180"/>
      <c r="EX4" s="180"/>
      <c r="EY4" s="180"/>
      <c r="EZ4" s="180"/>
      <c r="FA4" s="180"/>
      <c r="FB4" s="180"/>
      <c r="FC4" s="180"/>
      <c r="FD4" s="180"/>
      <c r="FE4" s="180"/>
      <c r="FF4" s="180"/>
      <c r="FG4" s="180"/>
      <c r="FH4" s="180"/>
      <c r="FI4" s="180"/>
      <c r="FJ4" s="180"/>
      <c r="FK4" s="180"/>
      <c r="FL4" s="180"/>
      <c r="FM4" s="180"/>
      <c r="FN4" s="180"/>
      <c r="FO4" s="180"/>
      <c r="FP4" s="180"/>
      <c r="FQ4" s="180"/>
      <c r="FR4" s="180"/>
      <c r="FS4" s="180"/>
      <c r="FT4" s="180"/>
      <c r="FU4" s="180"/>
      <c r="FV4" s="180"/>
      <c r="FW4" s="180"/>
      <c r="FX4" s="180"/>
      <c r="FY4" s="180"/>
      <c r="FZ4" s="180"/>
      <c r="GA4" s="180"/>
      <c r="GB4" s="180"/>
      <c r="GC4" s="180"/>
      <c r="GD4" s="180"/>
      <c r="GE4" s="180"/>
      <c r="GF4" s="180"/>
      <c r="GG4" s="180"/>
      <c r="GH4" s="180"/>
      <c r="GI4" s="180"/>
      <c r="GJ4" s="180"/>
      <c r="GK4" s="180"/>
      <c r="GL4" s="180"/>
      <c r="GM4" s="180"/>
      <c r="GN4" s="180"/>
      <c r="GO4" s="180"/>
      <c r="GP4" s="180"/>
      <c r="GQ4" s="180"/>
      <c r="GR4" s="180"/>
      <c r="GS4" s="180"/>
      <c r="GT4" s="180"/>
      <c r="GU4" s="180"/>
      <c r="GV4" s="180"/>
      <c r="GW4" s="180"/>
      <c r="GX4" s="180"/>
      <c r="GY4" s="180"/>
      <c r="GZ4" s="180"/>
      <c r="HA4" s="180"/>
      <c r="HB4" s="180"/>
      <c r="HC4" s="180"/>
      <c r="HD4" s="180"/>
      <c r="HE4" s="180"/>
      <c r="HF4" s="180"/>
      <c r="HG4" s="180"/>
      <c r="HH4" s="180"/>
      <c r="HI4" s="180"/>
      <c r="HJ4" s="180"/>
      <c r="HK4" s="180"/>
      <c r="HL4" s="180"/>
      <c r="HM4" s="180"/>
      <c r="HN4" s="180"/>
      <c r="HO4" s="180"/>
      <c r="HP4" s="180"/>
      <c r="HQ4" s="180"/>
      <c r="HR4" s="180"/>
      <c r="HS4" s="180"/>
      <c r="HT4" s="180"/>
      <c r="HU4" s="180"/>
      <c r="HV4" s="180"/>
      <c r="HW4" s="180"/>
      <c r="HX4" s="180"/>
      <c r="HY4" s="180"/>
      <c r="HZ4" s="180"/>
      <c r="IA4" s="180"/>
      <c r="IB4" s="180"/>
      <c r="IC4" s="180"/>
      <c r="ID4" s="180"/>
      <c r="IE4" s="180"/>
      <c r="IF4" s="180"/>
      <c r="IG4" s="180"/>
      <c r="IH4" s="180"/>
      <c r="II4" s="180"/>
      <c r="IJ4" s="180"/>
      <c r="IK4" s="180"/>
      <c r="IL4" s="180"/>
      <c r="IM4" s="180"/>
      <c r="IN4" s="180"/>
      <c r="IO4" s="180"/>
      <c r="IP4" s="180"/>
      <c r="IQ4" s="180"/>
      <c r="IR4" s="180"/>
      <c r="IS4" s="180"/>
      <c r="IT4" s="180"/>
      <c r="IU4" s="180"/>
      <c r="IV4" s="180"/>
      <c r="IW4" s="180"/>
      <c r="IX4" s="180"/>
      <c r="IY4" s="180"/>
      <c r="IZ4" s="180"/>
      <c r="JA4" s="180"/>
      <c r="JB4" s="180"/>
      <c r="JC4" s="180"/>
      <c r="JD4" s="180"/>
      <c r="JE4" s="180"/>
      <c r="JF4" s="180"/>
      <c r="JG4" s="180"/>
      <c r="JH4" s="180"/>
      <c r="JI4" s="180"/>
      <c r="JJ4" s="180"/>
      <c r="JK4" s="180"/>
      <c r="JL4" s="180"/>
      <c r="JM4" s="180"/>
      <c r="JN4" s="180"/>
      <c r="JO4" s="180"/>
      <c r="JP4" s="180"/>
      <c r="JQ4" s="180"/>
      <c r="JR4" s="180"/>
      <c r="JS4" s="180"/>
      <c r="JT4" s="180"/>
      <c r="JU4" s="180"/>
      <c r="JV4" s="180"/>
      <c r="JW4" s="180"/>
      <c r="JX4" s="180"/>
      <c r="JY4" s="180"/>
      <c r="JZ4" s="180"/>
      <c r="KA4" s="180"/>
      <c r="KB4" s="180"/>
      <c r="KC4" s="180"/>
      <c r="KD4" s="180"/>
      <c r="KE4" s="180"/>
      <c r="KF4" s="180"/>
      <c r="KG4" s="180"/>
      <c r="KH4" s="180"/>
      <c r="KI4" s="180"/>
      <c r="KJ4" s="180"/>
      <c r="KK4" s="180"/>
      <c r="KL4" s="180"/>
      <c r="KM4" s="180"/>
      <c r="KN4" s="180"/>
      <c r="KO4" s="180"/>
      <c r="KP4" s="180"/>
      <c r="KQ4" s="180"/>
      <c r="KR4" s="180"/>
      <c r="KS4" s="180"/>
      <c r="KT4" s="180"/>
      <c r="KU4" s="180"/>
      <c r="KV4" s="180"/>
      <c r="KW4" s="180"/>
      <c r="KX4" s="180"/>
      <c r="KY4" s="180"/>
      <c r="KZ4" s="180"/>
      <c r="LA4" s="180"/>
      <c r="LB4" s="180"/>
      <c r="LC4" s="180"/>
      <c r="LD4" s="180"/>
      <c r="LE4" s="180"/>
      <c r="LF4" s="180"/>
      <c r="LG4" s="180"/>
      <c r="LH4" s="180"/>
      <c r="LI4" s="180"/>
      <c r="LJ4" s="180"/>
      <c r="LK4" s="180"/>
      <c r="LL4" s="180"/>
      <c r="LM4" s="180"/>
      <c r="LN4" s="180"/>
      <c r="LO4" s="180"/>
      <c r="LP4" s="180"/>
      <c r="LQ4" s="180"/>
      <c r="LR4" s="180"/>
      <c r="LS4" s="180"/>
      <c r="LT4" s="180"/>
      <c r="LU4" s="180"/>
      <c r="LV4" s="180"/>
      <c r="LW4" s="180"/>
      <c r="LX4" s="180"/>
      <c r="LY4" s="180"/>
      <c r="LZ4" s="180"/>
      <c r="MA4" s="180"/>
      <c r="MB4" s="180"/>
      <c r="MC4" s="180"/>
      <c r="MD4" s="180"/>
      <c r="ME4" s="180"/>
      <c r="MF4" s="180"/>
      <c r="MG4" s="180"/>
      <c r="MH4" s="180"/>
      <c r="MI4" s="180"/>
      <c r="MJ4" s="180"/>
      <c r="MK4" s="180"/>
      <c r="ML4" s="180"/>
      <c r="MM4" s="180"/>
      <c r="MN4" s="180"/>
      <c r="MO4" s="180"/>
      <c r="MP4" s="180"/>
      <c r="MQ4" s="180"/>
      <c r="MR4" s="180"/>
      <c r="MS4" s="180"/>
      <c r="MT4" s="180"/>
      <c r="MU4" s="180"/>
      <c r="MV4" s="180"/>
      <c r="MW4" s="180"/>
      <c r="MX4" s="180"/>
      <c r="MY4" s="180"/>
      <c r="MZ4" s="180"/>
      <c r="NA4" s="180"/>
      <c r="NB4" s="180"/>
      <c r="NC4" s="180"/>
      <c r="ND4" s="180"/>
      <c r="NE4" s="180"/>
      <c r="NF4" s="180"/>
      <c r="NG4" s="180"/>
      <c r="NH4" s="180"/>
      <c r="NI4" s="180"/>
      <c r="NJ4" s="180"/>
      <c r="NK4" s="180"/>
      <c r="NL4" s="180"/>
      <c r="NM4" s="180"/>
      <c r="NN4" s="180"/>
      <c r="NO4" s="180"/>
      <c r="NP4" s="180"/>
      <c r="NQ4" s="180"/>
      <c r="NR4" s="180"/>
      <c r="NS4" s="180"/>
      <c r="NT4" s="180"/>
      <c r="NU4" s="180"/>
      <c r="NV4" s="180"/>
      <c r="NW4" s="180"/>
      <c r="NX4" s="180"/>
      <c r="NY4" s="180"/>
      <c r="NZ4" s="180"/>
      <c r="OA4" s="180"/>
      <c r="OB4" s="180"/>
      <c r="OC4" s="180"/>
      <c r="OD4" s="180"/>
      <c r="OE4" s="180"/>
      <c r="OF4" s="180"/>
      <c r="OG4" s="180"/>
      <c r="OH4" s="180"/>
      <c r="OI4" s="180"/>
      <c r="OJ4" s="180"/>
      <c r="OK4" s="180"/>
      <c r="OL4" s="180"/>
      <c r="OM4" s="180"/>
      <c r="ON4" s="180"/>
      <c r="OO4" s="180"/>
      <c r="OP4" s="180"/>
      <c r="OQ4" s="180"/>
      <c r="OR4" s="180"/>
      <c r="OS4" s="180"/>
      <c r="OT4" s="180"/>
      <c r="OU4" s="180"/>
      <c r="OV4" s="180"/>
      <c r="OW4" s="180"/>
      <c r="OX4" s="180"/>
      <c r="OY4" s="180"/>
      <c r="OZ4" s="180"/>
      <c r="PA4" s="180"/>
      <c r="PB4" s="180"/>
      <c r="PC4" s="180"/>
      <c r="PD4" s="180"/>
      <c r="PE4" s="180"/>
      <c r="PF4" s="180"/>
      <c r="PG4" s="180"/>
      <c r="PH4" s="180"/>
      <c r="PI4" s="180"/>
      <c r="PJ4" s="180"/>
      <c r="PK4" s="180"/>
      <c r="PL4" s="180"/>
      <c r="PM4" s="180"/>
      <c r="PN4" s="180"/>
      <c r="PO4" s="180"/>
      <c r="PP4" s="180"/>
      <c r="PQ4" s="180"/>
      <c r="PR4" s="180"/>
      <c r="PS4" s="180"/>
      <c r="PT4" s="180"/>
      <c r="PU4" s="180"/>
      <c r="PV4" s="180"/>
      <c r="PW4" s="180"/>
      <c r="PX4" s="180"/>
      <c r="PY4" s="180"/>
      <c r="PZ4" s="180"/>
      <c r="QA4" s="180"/>
      <c r="QB4" s="180"/>
      <c r="QC4" s="180"/>
      <c r="QD4" s="180"/>
      <c r="QE4" s="180"/>
      <c r="QF4" s="180"/>
      <c r="QG4" s="180"/>
      <c r="QH4" s="180"/>
      <c r="QI4" s="180"/>
      <c r="QJ4" s="180"/>
      <c r="QK4" s="180"/>
      <c r="QL4" s="180"/>
      <c r="QM4" s="180"/>
      <c r="QN4" s="180"/>
      <c r="QO4" s="180"/>
      <c r="QP4" s="180"/>
      <c r="QQ4" s="180"/>
      <c r="QR4" s="180"/>
      <c r="QS4" s="180"/>
      <c r="QT4" s="180"/>
      <c r="QU4" s="180"/>
      <c r="QV4" s="180"/>
      <c r="QW4" s="180"/>
      <c r="QX4" s="180"/>
      <c r="QY4" s="180"/>
      <c r="QZ4" s="180"/>
      <c r="RA4" s="180"/>
      <c r="RB4" s="180"/>
      <c r="RC4" s="180"/>
      <c r="RD4" s="180"/>
      <c r="RE4" s="180"/>
      <c r="RF4" s="180"/>
      <c r="RG4" s="180"/>
      <c r="RH4" s="180"/>
      <c r="RI4" s="180"/>
      <c r="RJ4" s="180"/>
      <c r="RK4" s="180"/>
      <c r="RL4" s="180"/>
      <c r="RM4" s="180"/>
      <c r="RN4" s="180"/>
      <c r="RO4" s="180"/>
      <c r="RP4" s="180"/>
      <c r="RQ4" s="180"/>
      <c r="RR4" s="180"/>
      <c r="RS4" s="180"/>
      <c r="RT4" s="180"/>
      <c r="RU4" s="180"/>
      <c r="RV4" s="180"/>
      <c r="RW4" s="180"/>
      <c r="RX4" s="180"/>
      <c r="RY4" s="180"/>
      <c r="RZ4" s="180"/>
      <c r="SA4" s="180"/>
      <c r="SB4" s="180"/>
      <c r="SC4" s="180"/>
      <c r="SD4" s="180"/>
      <c r="SE4" s="180"/>
      <c r="SF4" s="180"/>
      <c r="SG4" s="180"/>
      <c r="SH4" s="180"/>
      <c r="SI4" s="180"/>
      <c r="SJ4" s="180"/>
      <c r="SK4" s="180"/>
      <c r="SL4" s="180"/>
      <c r="SM4" s="180"/>
      <c r="SN4" s="180"/>
      <c r="SO4" s="180"/>
      <c r="SP4" s="180"/>
      <c r="SQ4" s="180"/>
      <c r="SR4" s="180"/>
      <c r="SS4" s="180"/>
      <c r="ST4" s="180"/>
      <c r="SU4" s="180"/>
      <c r="SV4" s="180"/>
      <c r="SW4" s="180"/>
      <c r="SX4" s="180"/>
      <c r="SY4" s="180"/>
      <c r="SZ4" s="180"/>
      <c r="TA4" s="180"/>
      <c r="TB4" s="180"/>
      <c r="TC4" s="180"/>
      <c r="TD4" s="180"/>
      <c r="TE4" s="180"/>
      <c r="TF4" s="180"/>
      <c r="TG4" s="180"/>
      <c r="TH4" s="180"/>
      <c r="TI4" s="180"/>
      <c r="TJ4" s="180"/>
      <c r="TK4" s="180"/>
      <c r="TL4" s="180"/>
      <c r="TM4" s="180"/>
      <c r="TN4" s="180"/>
      <c r="TO4" s="180"/>
      <c r="TP4" s="180"/>
      <c r="TQ4" s="180"/>
      <c r="TR4" s="180"/>
      <c r="TS4" s="180"/>
      <c r="TT4" s="180"/>
      <c r="TU4" s="180"/>
      <c r="TV4" s="180"/>
      <c r="TW4" s="180"/>
      <c r="TX4" s="180"/>
      <c r="TY4" s="180"/>
      <c r="TZ4" s="180"/>
      <c r="UA4" s="180"/>
      <c r="UB4" s="180"/>
      <c r="UC4" s="180"/>
      <c r="UD4" s="180"/>
      <c r="UE4" s="180"/>
      <c r="UF4" s="180"/>
      <c r="UG4" s="180"/>
      <c r="UH4" s="180"/>
      <c r="UI4" s="180"/>
      <c r="UJ4" s="180"/>
      <c r="UK4" s="180"/>
      <c r="UL4" s="180"/>
      <c r="UM4" s="180"/>
      <c r="UN4" s="180"/>
      <c r="UO4" s="180"/>
      <c r="UP4" s="180"/>
      <c r="UQ4" s="180"/>
      <c r="UR4" s="180"/>
      <c r="US4" s="180"/>
      <c r="UT4" s="180"/>
      <c r="UU4" s="180"/>
      <c r="UV4" s="180"/>
      <c r="UW4" s="180"/>
      <c r="UX4" s="180"/>
      <c r="UY4" s="180"/>
      <c r="UZ4" s="180"/>
      <c r="VA4" s="180"/>
      <c r="VB4" s="180"/>
      <c r="VC4" s="180"/>
      <c r="VD4" s="180"/>
      <c r="VE4" s="180"/>
      <c r="VF4" s="180"/>
      <c r="VG4" s="180"/>
      <c r="VH4" s="180"/>
      <c r="VI4" s="180"/>
      <c r="VJ4" s="180"/>
      <c r="VK4" s="180"/>
      <c r="VL4" s="180"/>
      <c r="VM4" s="180"/>
      <c r="VN4" s="180"/>
      <c r="VO4" s="180"/>
      <c r="VP4" s="180"/>
      <c r="VQ4" s="180"/>
      <c r="VR4" s="180"/>
      <c r="VS4" s="180"/>
      <c r="VT4" s="180"/>
      <c r="VU4" s="180"/>
      <c r="VV4" s="180"/>
      <c r="VW4" s="180"/>
      <c r="VX4" s="180"/>
      <c r="VY4" s="180"/>
      <c r="VZ4" s="180"/>
      <c r="WA4" s="180"/>
      <c r="WB4" s="180"/>
      <c r="WC4" s="180"/>
      <c r="WD4" s="180"/>
      <c r="WE4" s="180"/>
      <c r="WF4" s="180"/>
      <c r="WG4" s="180"/>
      <c r="WH4" s="180"/>
      <c r="WI4" s="180"/>
      <c r="WJ4" s="180"/>
      <c r="WK4" s="180"/>
      <c r="WL4" s="180"/>
      <c r="WM4" s="180"/>
      <c r="WN4" s="180"/>
      <c r="WO4" s="180"/>
      <c r="WP4" s="180"/>
      <c r="WQ4" s="180"/>
      <c r="WR4" s="180"/>
      <c r="WS4" s="180"/>
      <c r="WT4" s="180"/>
      <c r="WU4" s="180"/>
      <c r="WV4" s="180"/>
      <c r="WW4" s="180"/>
      <c r="WX4" s="180"/>
      <c r="WY4" s="180"/>
      <c r="WZ4" s="180"/>
      <c r="XA4" s="180"/>
      <c r="XB4" s="180"/>
      <c r="XC4" s="180"/>
      <c r="XD4" s="180"/>
      <c r="XE4" s="180"/>
      <c r="XF4" s="180"/>
      <c r="XG4" s="180"/>
      <c r="XH4" s="180"/>
      <c r="XI4" s="180"/>
      <c r="XJ4" s="180"/>
      <c r="XK4" s="180"/>
      <c r="XL4" s="180"/>
      <c r="XM4" s="180"/>
      <c r="XN4" s="180"/>
      <c r="XO4" s="180"/>
      <c r="XP4" s="180"/>
      <c r="XQ4" s="180"/>
      <c r="XR4" s="180"/>
      <c r="XS4" s="180"/>
      <c r="XT4" s="180"/>
      <c r="XU4" s="180"/>
      <c r="XV4" s="180"/>
      <c r="XW4" s="180"/>
      <c r="XX4" s="180"/>
      <c r="XY4" s="180"/>
      <c r="XZ4" s="180"/>
      <c r="YA4" s="180"/>
      <c r="YB4" s="180"/>
      <c r="YC4" s="180"/>
      <c r="YD4" s="180"/>
      <c r="YE4" s="180"/>
      <c r="YF4" s="180"/>
      <c r="YG4" s="180"/>
      <c r="YH4" s="180"/>
      <c r="YI4" s="180"/>
      <c r="YJ4" s="180"/>
      <c r="YK4" s="180"/>
      <c r="YL4" s="180"/>
      <c r="YM4" s="180"/>
      <c r="YN4" s="180"/>
      <c r="YO4" s="180"/>
      <c r="YP4" s="180"/>
      <c r="YQ4" s="180"/>
      <c r="YR4" s="180"/>
      <c r="YS4" s="180"/>
      <c r="YT4" s="180"/>
      <c r="YU4" s="180"/>
      <c r="YV4" s="180"/>
      <c r="YW4" s="180"/>
      <c r="YX4" s="180"/>
      <c r="YY4" s="180"/>
      <c r="YZ4" s="180"/>
      <c r="ZA4" s="180"/>
      <c r="ZB4" s="180"/>
      <c r="ZC4" s="180"/>
      <c r="ZD4" s="180"/>
      <c r="ZE4" s="180"/>
      <c r="ZF4" s="180"/>
      <c r="ZG4" s="180"/>
      <c r="ZH4" s="180"/>
      <c r="ZI4" s="180"/>
      <c r="ZJ4" s="180"/>
      <c r="ZK4" s="180"/>
      <c r="ZL4" s="180"/>
      <c r="ZM4" s="180"/>
      <c r="ZN4" s="180"/>
      <c r="ZO4" s="180"/>
      <c r="ZP4" s="180"/>
      <c r="ZQ4" s="180"/>
      <c r="ZR4" s="180"/>
      <c r="ZS4" s="180"/>
      <c r="ZT4" s="180"/>
      <c r="ZU4" s="180"/>
      <c r="ZV4" s="180"/>
      <c r="ZW4" s="180"/>
      <c r="ZX4" s="180"/>
      <c r="ZY4" s="180"/>
      <c r="ZZ4" s="180"/>
      <c r="AAA4" s="180"/>
      <c r="AAB4" s="180"/>
      <c r="AAC4" s="180"/>
      <c r="AAD4" s="180"/>
      <c r="AAE4" s="180"/>
      <c r="AAF4" s="180"/>
      <c r="AAG4" s="180"/>
      <c r="AAH4" s="180"/>
      <c r="AAI4" s="180"/>
      <c r="AAJ4" s="180"/>
      <c r="AAK4" s="180"/>
      <c r="AAL4" s="180"/>
      <c r="AAM4" s="180"/>
      <c r="AAN4" s="180"/>
      <c r="AAO4" s="180"/>
      <c r="AAP4" s="180"/>
      <c r="AAQ4" s="180"/>
      <c r="AAR4" s="180"/>
      <c r="AAS4" s="180"/>
      <c r="AAT4" s="180"/>
      <c r="AAU4" s="180"/>
      <c r="AAV4" s="180"/>
      <c r="AAW4" s="180"/>
      <c r="AAX4" s="180"/>
      <c r="AAY4" s="180"/>
      <c r="AAZ4" s="180"/>
      <c r="ABA4" s="180"/>
      <c r="ABB4" s="180"/>
      <c r="ABC4" s="180"/>
      <c r="ABD4" s="180"/>
      <c r="ABE4" s="180"/>
      <c r="ABF4" s="180"/>
      <c r="ABG4" s="180"/>
      <c r="ABH4" s="180"/>
      <c r="ABI4" s="180"/>
      <c r="ABJ4" s="180"/>
      <c r="ABK4" s="180"/>
      <c r="ABL4" s="180"/>
      <c r="ABM4" s="180"/>
      <c r="ABN4" s="180"/>
      <c r="ABO4" s="180"/>
      <c r="ABP4" s="180"/>
      <c r="ABQ4" s="180"/>
      <c r="ABR4" s="180"/>
      <c r="ABS4" s="180"/>
      <c r="ABT4" s="180"/>
      <c r="ABU4" s="180"/>
      <c r="ABV4" s="180"/>
      <c r="ABW4" s="180"/>
      <c r="ABX4" s="180"/>
      <c r="ABY4" s="180"/>
      <c r="ABZ4" s="180"/>
      <c r="ACA4" s="180"/>
      <c r="ACB4" s="180"/>
      <c r="ACC4" s="180"/>
      <c r="ACD4" s="180"/>
      <c r="ACE4" s="180"/>
      <c r="ACF4" s="180"/>
      <c r="ACG4" s="180"/>
      <c r="ACH4" s="180"/>
      <c r="ACI4" s="180"/>
      <c r="ACJ4" s="180"/>
      <c r="ACK4" s="180"/>
      <c r="ACL4" s="180"/>
      <c r="ACM4" s="180"/>
      <c r="ACN4" s="180"/>
      <c r="ACO4" s="180"/>
      <c r="ACP4" s="180"/>
      <c r="ACQ4" s="180"/>
      <c r="ACR4" s="180"/>
      <c r="ACS4" s="180"/>
      <c r="ACT4" s="180"/>
      <c r="ACU4" s="180"/>
      <c r="ACV4" s="180"/>
      <c r="ACW4" s="180"/>
      <c r="ACX4" s="180"/>
      <c r="ACY4" s="180"/>
      <c r="ACZ4" s="180"/>
      <c r="ADA4" s="180"/>
      <c r="ADB4" s="180"/>
      <c r="ADC4" s="180"/>
      <c r="ADD4" s="180"/>
      <c r="ADE4" s="180"/>
      <c r="ADF4" s="180"/>
      <c r="ADG4" s="180"/>
      <c r="ADH4" s="180"/>
      <c r="ADI4" s="180"/>
      <c r="ADJ4" s="180"/>
      <c r="ADK4" s="180"/>
      <c r="ADL4" s="180"/>
      <c r="ADM4" s="180"/>
      <c r="ADN4" s="180"/>
      <c r="ADO4" s="180"/>
      <c r="ADP4" s="180"/>
      <c r="ADQ4" s="180"/>
      <c r="ADR4" s="180"/>
      <c r="ADS4" s="180"/>
      <c r="ADT4" s="180"/>
      <c r="ADU4" s="180"/>
      <c r="ADV4" s="180"/>
      <c r="ADW4" s="180"/>
      <c r="ADX4" s="180"/>
      <c r="ADY4" s="180"/>
      <c r="ADZ4" s="180"/>
      <c r="AEA4" s="180"/>
      <c r="AEB4" s="180"/>
      <c r="AEC4" s="180"/>
      <c r="AED4" s="180"/>
      <c r="AEE4" s="180"/>
      <c r="AEF4" s="180"/>
      <c r="AEG4" s="180"/>
      <c r="AEH4" s="180"/>
      <c r="AEI4" s="180"/>
      <c r="AEJ4" s="180"/>
      <c r="AEK4" s="180"/>
      <c r="AEL4" s="180"/>
      <c r="AEM4" s="180"/>
      <c r="AEN4" s="180"/>
      <c r="AEO4" s="180"/>
      <c r="AEP4" s="180"/>
      <c r="AEQ4" s="180"/>
      <c r="AER4" s="180"/>
      <c r="AES4" s="180"/>
      <c r="AET4" s="180"/>
      <c r="AEU4" s="180"/>
      <c r="AEV4" s="180"/>
      <c r="AEW4" s="180"/>
      <c r="AEX4" s="180"/>
      <c r="AEY4" s="180"/>
      <c r="AEZ4" s="180"/>
      <c r="AFA4" s="180"/>
      <c r="AFB4" s="180"/>
      <c r="AFC4" s="180"/>
      <c r="AFD4" s="180"/>
      <c r="AFE4" s="180"/>
      <c r="AFF4" s="180"/>
      <c r="AFG4" s="180"/>
      <c r="AFH4" s="180"/>
      <c r="AFI4" s="180"/>
      <c r="AFJ4" s="180"/>
      <c r="AFK4" s="180"/>
      <c r="AFL4" s="180"/>
      <c r="AFM4" s="180"/>
      <c r="AFN4" s="180"/>
      <c r="AFO4" s="180"/>
      <c r="AFP4" s="180"/>
      <c r="AFQ4" s="180"/>
      <c r="AFR4" s="180"/>
      <c r="AFS4" s="180"/>
      <c r="AFT4" s="180"/>
      <c r="AFU4" s="180"/>
      <c r="AFV4" s="180"/>
      <c r="AFW4" s="180"/>
      <c r="AFX4" s="180"/>
      <c r="AFY4" s="180"/>
      <c r="AFZ4" s="180"/>
      <c r="AGA4" s="180"/>
      <c r="AGB4" s="180"/>
      <c r="AGC4" s="180"/>
      <c r="AGD4" s="180"/>
      <c r="AGE4" s="180"/>
      <c r="AGF4" s="180"/>
      <c r="AGG4" s="180"/>
      <c r="AGH4" s="180"/>
      <c r="AGI4" s="180"/>
      <c r="AGJ4" s="180"/>
      <c r="AGK4" s="180"/>
      <c r="AGL4" s="180"/>
      <c r="AGM4" s="180"/>
      <c r="AGN4" s="180"/>
      <c r="AGO4" s="180"/>
      <c r="AGP4" s="180"/>
      <c r="AGQ4" s="180"/>
      <c r="AGR4" s="180"/>
      <c r="AGS4" s="180"/>
      <c r="AGT4" s="180"/>
      <c r="AGU4" s="180"/>
      <c r="AGV4" s="180"/>
      <c r="AGW4" s="180"/>
      <c r="AGX4" s="180"/>
      <c r="AGY4" s="180"/>
      <c r="AGZ4" s="180"/>
      <c r="AHA4" s="180"/>
      <c r="AHB4" s="180"/>
      <c r="AHC4" s="180"/>
      <c r="AHD4" s="180"/>
      <c r="AHE4" s="180"/>
      <c r="AHF4" s="180"/>
      <c r="AHG4" s="180"/>
      <c r="AHH4" s="180"/>
      <c r="AHI4" s="180"/>
      <c r="AHJ4" s="180"/>
      <c r="AHK4" s="180"/>
      <c r="AHL4" s="180"/>
      <c r="AHM4" s="180"/>
      <c r="AHN4" s="180"/>
      <c r="AHO4" s="180"/>
      <c r="AHP4" s="180"/>
      <c r="AHQ4" s="180"/>
      <c r="AHR4" s="180"/>
      <c r="AHS4" s="180"/>
      <c r="AHT4" s="180"/>
      <c r="AHU4" s="180"/>
      <c r="AHV4" s="180"/>
      <c r="AHW4" s="180"/>
      <c r="AHX4" s="180"/>
      <c r="AHY4" s="180"/>
      <c r="AHZ4" s="180"/>
      <c r="AIA4" s="180"/>
      <c r="AIB4" s="180"/>
      <c r="AIC4" s="180"/>
      <c r="AID4" s="180"/>
      <c r="AIE4" s="180"/>
      <c r="AIF4" s="180"/>
      <c r="AIG4" s="180"/>
      <c r="AIH4" s="180"/>
      <c r="AII4" s="180"/>
      <c r="AIJ4" s="180"/>
      <c r="AIK4" s="180"/>
      <c r="AIL4" s="180"/>
      <c r="AIM4" s="180"/>
      <c r="AIN4" s="180"/>
      <c r="AIO4" s="180"/>
      <c r="AIP4" s="180"/>
      <c r="AIQ4" s="180"/>
      <c r="AIR4" s="180"/>
      <c r="AIS4" s="180"/>
      <c r="AIT4" s="180"/>
      <c r="AIU4" s="180"/>
      <c r="AIV4" s="180"/>
      <c r="AIW4" s="180"/>
      <c r="AIX4" s="180"/>
      <c r="AIY4" s="180"/>
      <c r="AIZ4" s="180"/>
      <c r="AJA4" s="180"/>
      <c r="AJB4" s="180"/>
      <c r="AJC4" s="180"/>
      <c r="AJD4" s="180"/>
      <c r="AJE4" s="180"/>
      <c r="AJF4" s="180"/>
      <c r="AJG4" s="180"/>
      <c r="AJH4" s="180"/>
      <c r="AJI4" s="180"/>
      <c r="AJJ4" s="180"/>
      <c r="AJK4" s="180"/>
      <c r="AJL4" s="180"/>
      <c r="AJM4" s="180"/>
      <c r="AJN4" s="180"/>
      <c r="AJO4" s="180"/>
      <c r="AJP4" s="180"/>
      <c r="AJQ4" s="180"/>
      <c r="AJR4" s="180"/>
      <c r="AJS4" s="180"/>
      <c r="AJT4" s="180"/>
      <c r="AJU4" s="180"/>
      <c r="AJV4" s="180"/>
      <c r="AJW4" s="180"/>
      <c r="AJX4" s="180"/>
      <c r="AJY4" s="180"/>
      <c r="AJZ4" s="180"/>
      <c r="AKA4" s="180"/>
      <c r="AKB4" s="180"/>
      <c r="AKC4" s="180"/>
      <c r="AKD4" s="180"/>
      <c r="AKE4" s="180"/>
      <c r="AKF4" s="180"/>
      <c r="AKG4" s="180"/>
      <c r="AKH4" s="180"/>
      <c r="AKI4" s="180"/>
      <c r="AKJ4" s="180"/>
      <c r="AKK4" s="180"/>
      <c r="AKL4" s="180"/>
      <c r="AKM4" s="180"/>
      <c r="AKN4" s="180"/>
      <c r="AKO4" s="180"/>
      <c r="AKP4" s="180"/>
      <c r="AKQ4" s="180"/>
      <c r="AKR4" s="180"/>
      <c r="AKS4" s="180"/>
      <c r="AKT4" s="180"/>
      <c r="AKU4" s="180"/>
      <c r="AKV4" s="180"/>
      <c r="AKW4" s="180"/>
      <c r="AKX4" s="180"/>
      <c r="AKY4" s="180"/>
      <c r="AKZ4" s="180"/>
      <c r="ALA4" s="180"/>
      <c r="ALB4" s="180"/>
      <c r="ALC4" s="180"/>
      <c r="ALD4" s="180"/>
      <c r="ALE4" s="180"/>
      <c r="ALF4" s="180"/>
      <c r="ALG4" s="180"/>
      <c r="ALH4" s="180"/>
      <c r="ALI4" s="180"/>
      <c r="ALJ4" s="180"/>
      <c r="ALK4" s="180"/>
      <c r="ALL4" s="180"/>
      <c r="ALM4" s="180"/>
      <c r="ALN4" s="180"/>
      <c r="ALO4" s="180"/>
      <c r="ALP4" s="180"/>
      <c r="ALQ4" s="180"/>
      <c r="ALR4" s="180"/>
      <c r="ALS4" s="180"/>
      <c r="ALT4" s="180"/>
      <c r="ALU4" s="180"/>
      <c r="ALV4" s="180"/>
      <c r="ALW4" s="180"/>
      <c r="ALX4" s="180"/>
      <c r="ALY4" s="180"/>
      <c r="ALZ4" s="180"/>
      <c r="AMA4" s="180"/>
      <c r="AMB4" s="180"/>
      <c r="AMC4" s="180"/>
      <c r="AMD4" s="180"/>
      <c r="AME4" s="180"/>
      <c r="AMF4" s="180"/>
      <c r="AMG4" s="180"/>
      <c r="AMH4" s="180"/>
      <c r="AMI4" s="180"/>
      <c r="AMJ4" s="180"/>
      <c r="AMK4" s="180"/>
      <c r="AML4" s="180"/>
      <c r="AMM4" s="180"/>
      <c r="AMN4" s="180"/>
      <c r="AMO4" s="180"/>
      <c r="AMP4" s="180"/>
      <c r="AMQ4" s="180"/>
      <c r="AMR4" s="180"/>
      <c r="AMS4" s="180"/>
      <c r="AMT4" s="180"/>
      <c r="AMU4" s="180"/>
      <c r="AMV4" s="180"/>
      <c r="AMW4" s="180"/>
      <c r="AMX4" s="180"/>
      <c r="AMY4" s="180"/>
      <c r="AMZ4" s="180"/>
      <c r="ANA4" s="180"/>
      <c r="ANB4" s="180"/>
      <c r="ANC4" s="180"/>
      <c r="AND4" s="180"/>
      <c r="ANE4" s="180"/>
      <c r="ANF4" s="180"/>
      <c r="ANG4" s="180"/>
      <c r="ANH4" s="180"/>
      <c r="ANI4" s="180"/>
      <c r="ANJ4" s="180"/>
      <c r="ANK4" s="180"/>
      <c r="ANL4" s="180"/>
      <c r="ANM4" s="180"/>
      <c r="ANN4" s="180"/>
      <c r="ANO4" s="180"/>
      <c r="ANP4" s="180"/>
      <c r="ANQ4" s="180"/>
      <c r="ANR4" s="180"/>
      <c r="ANS4" s="180"/>
      <c r="ANT4" s="180"/>
      <c r="ANU4" s="180"/>
      <c r="ANV4" s="180"/>
      <c r="ANW4" s="180"/>
      <c r="ANX4" s="180"/>
      <c r="ANY4" s="180"/>
      <c r="ANZ4" s="180"/>
      <c r="AOA4" s="180"/>
      <c r="AOB4" s="180"/>
      <c r="AOC4" s="180"/>
      <c r="AOD4" s="180"/>
      <c r="AOE4" s="180"/>
      <c r="AOF4" s="180"/>
      <c r="AOG4" s="180"/>
      <c r="AOH4" s="180"/>
      <c r="AOI4" s="180"/>
      <c r="AOJ4" s="180"/>
      <c r="AOK4" s="180"/>
      <c r="AOL4" s="180"/>
      <c r="AOM4" s="180"/>
      <c r="AON4" s="180"/>
      <c r="AOO4" s="180"/>
      <c r="AOP4" s="180"/>
      <c r="AOQ4" s="180"/>
      <c r="AOR4" s="180"/>
      <c r="AOS4" s="180"/>
      <c r="AOT4" s="180"/>
      <c r="AOU4" s="180"/>
      <c r="AOV4" s="180"/>
      <c r="AOW4" s="180"/>
      <c r="AOX4" s="180"/>
      <c r="AOY4" s="180"/>
      <c r="AOZ4" s="180"/>
      <c r="APA4" s="180"/>
      <c r="APB4" s="180"/>
      <c r="APC4" s="180"/>
      <c r="APD4" s="180"/>
      <c r="APE4" s="180"/>
      <c r="APF4" s="180"/>
      <c r="APG4" s="180"/>
      <c r="APH4" s="180"/>
      <c r="API4" s="180"/>
      <c r="APJ4" s="180"/>
      <c r="APK4" s="180"/>
      <c r="APL4" s="180"/>
      <c r="APM4" s="180"/>
      <c r="APN4" s="180"/>
      <c r="APO4" s="180"/>
      <c r="APP4" s="180"/>
      <c r="APQ4" s="180"/>
      <c r="APR4" s="180"/>
      <c r="APS4" s="180"/>
      <c r="APT4" s="180"/>
      <c r="APU4" s="180"/>
      <c r="APV4" s="180"/>
      <c r="APW4" s="180"/>
      <c r="APX4" s="180"/>
      <c r="APY4" s="180"/>
      <c r="APZ4" s="180"/>
      <c r="AQA4" s="180"/>
      <c r="AQB4" s="180"/>
      <c r="AQC4" s="180"/>
      <c r="AQD4" s="180"/>
      <c r="AQE4" s="180"/>
      <c r="AQF4" s="180"/>
      <c r="AQG4" s="180"/>
      <c r="AQH4" s="180"/>
      <c r="AQI4" s="180"/>
      <c r="AQJ4" s="180"/>
      <c r="AQK4" s="180"/>
      <c r="AQL4" s="180"/>
      <c r="AQM4" s="180"/>
      <c r="AQN4" s="180"/>
      <c r="AQO4" s="180"/>
      <c r="AQP4" s="180"/>
      <c r="AQQ4" s="180"/>
      <c r="AQR4" s="180"/>
      <c r="AQS4" s="180"/>
      <c r="AQT4" s="180"/>
      <c r="AQU4" s="180"/>
      <c r="AQV4" s="180"/>
      <c r="AQW4" s="180"/>
      <c r="AQX4" s="180"/>
      <c r="AQY4" s="180"/>
      <c r="AQZ4" s="180"/>
      <c r="ARA4" s="180"/>
      <c r="ARB4" s="180"/>
      <c r="ARC4" s="180"/>
      <c r="ARD4" s="180"/>
      <c r="ARE4" s="180"/>
      <c r="ARF4" s="180"/>
      <c r="ARG4" s="180"/>
      <c r="ARH4" s="180"/>
      <c r="ARI4" s="180"/>
      <c r="ARJ4" s="180"/>
      <c r="ARK4" s="180"/>
      <c r="ARL4" s="180"/>
      <c r="ARM4" s="180"/>
      <c r="ARN4" s="180"/>
      <c r="ARO4" s="180"/>
      <c r="ARP4" s="180"/>
      <c r="ARQ4" s="180"/>
      <c r="ARR4" s="180"/>
      <c r="ARS4" s="180"/>
      <c r="ART4" s="180"/>
      <c r="ARU4" s="180"/>
      <c r="ARV4" s="180"/>
      <c r="ARW4" s="180"/>
      <c r="ARX4" s="180"/>
      <c r="ARY4" s="180"/>
      <c r="ARZ4" s="180"/>
      <c r="ASA4" s="180"/>
      <c r="ASB4" s="180"/>
      <c r="ASC4" s="180"/>
      <c r="ASD4" s="180"/>
      <c r="ASE4" s="180"/>
      <c r="ASF4" s="180"/>
      <c r="ASG4" s="180"/>
      <c r="ASH4" s="180"/>
      <c r="ASI4" s="180"/>
      <c r="ASJ4" s="180"/>
      <c r="ASK4" s="180"/>
      <c r="ASL4" s="180"/>
      <c r="ASM4" s="180"/>
      <c r="ASN4" s="180"/>
      <c r="ASO4" s="180"/>
      <c r="ASP4" s="180"/>
      <c r="ASQ4" s="180"/>
      <c r="ASR4" s="180"/>
      <c r="ASS4" s="180"/>
      <c r="AST4" s="180"/>
      <c r="ASU4" s="180"/>
      <c r="ASV4" s="180"/>
      <c r="ASW4" s="180"/>
      <c r="ASX4" s="180"/>
      <c r="ASY4" s="180"/>
      <c r="ASZ4" s="180"/>
      <c r="ATA4" s="180"/>
      <c r="ATB4" s="180"/>
      <c r="ATC4" s="180"/>
      <c r="ATD4" s="180"/>
      <c r="ATE4" s="180"/>
      <c r="ATF4" s="180"/>
      <c r="ATG4" s="180"/>
      <c r="ATH4" s="180"/>
      <c r="ATI4" s="180"/>
      <c r="ATJ4" s="180"/>
      <c r="ATK4" s="180"/>
      <c r="ATL4" s="180"/>
      <c r="ATM4" s="180"/>
      <c r="ATN4" s="180"/>
      <c r="ATO4" s="180"/>
      <c r="ATP4" s="180"/>
      <c r="ATQ4" s="180"/>
      <c r="ATR4" s="180"/>
      <c r="ATS4" s="180"/>
      <c r="ATT4" s="180"/>
      <c r="ATU4" s="180"/>
      <c r="ATV4" s="180"/>
      <c r="ATW4" s="180"/>
      <c r="ATX4" s="180"/>
      <c r="ATY4" s="180"/>
      <c r="ATZ4" s="180"/>
      <c r="AUA4" s="180"/>
      <c r="AUB4" s="180"/>
      <c r="AUC4" s="180"/>
      <c r="AUD4" s="180"/>
      <c r="AUE4" s="180"/>
      <c r="AUF4" s="180"/>
      <c r="AUG4" s="180"/>
      <c r="AUH4" s="180"/>
      <c r="AUI4" s="180"/>
      <c r="AUJ4" s="180"/>
      <c r="AUK4" s="180"/>
      <c r="AUL4" s="180"/>
      <c r="AUM4" s="180"/>
      <c r="AUN4" s="180"/>
      <c r="AUO4" s="180"/>
      <c r="AUP4" s="180"/>
      <c r="AUQ4" s="180"/>
      <c r="AUR4" s="180"/>
      <c r="AUS4" s="180"/>
      <c r="AUT4" s="180"/>
      <c r="AUU4" s="180"/>
      <c r="AUV4" s="180"/>
      <c r="AUW4" s="180"/>
      <c r="AUX4" s="180"/>
      <c r="AUY4" s="180"/>
      <c r="AUZ4" s="180"/>
      <c r="AVA4" s="180"/>
      <c r="AVB4" s="180"/>
      <c r="AVC4" s="180"/>
      <c r="AVD4" s="180"/>
      <c r="AVE4" s="180"/>
      <c r="AVF4" s="180"/>
      <c r="AVG4" s="180"/>
      <c r="AVH4" s="180"/>
      <c r="AVI4" s="180"/>
      <c r="AVJ4" s="180"/>
      <c r="AVK4" s="180"/>
      <c r="AVL4" s="180"/>
      <c r="AVM4" s="180"/>
      <c r="AVN4" s="180"/>
      <c r="AVO4" s="180"/>
      <c r="AVP4" s="180"/>
      <c r="AVQ4" s="180"/>
      <c r="AVR4" s="180"/>
      <c r="AVS4" s="180"/>
      <c r="AVT4" s="180"/>
      <c r="AVU4" s="180"/>
      <c r="AVV4" s="180"/>
      <c r="AVW4" s="180"/>
      <c r="AVX4" s="180"/>
      <c r="AVY4" s="180"/>
      <c r="AVZ4" s="180"/>
      <c r="AWA4" s="180"/>
      <c r="AWB4" s="180"/>
      <c r="AWC4" s="180"/>
      <c r="AWD4" s="180"/>
      <c r="AWE4" s="180"/>
      <c r="AWF4" s="180"/>
      <c r="AWG4" s="180"/>
      <c r="AWH4" s="180"/>
      <c r="AWI4" s="180"/>
      <c r="AWJ4" s="180"/>
      <c r="AWK4" s="180"/>
      <c r="AWL4" s="180"/>
      <c r="AWM4" s="180"/>
      <c r="AWN4" s="180"/>
      <c r="AWO4" s="180"/>
      <c r="AWP4" s="180"/>
      <c r="AWQ4" s="180"/>
      <c r="AWR4" s="180"/>
      <c r="AWS4" s="180"/>
      <c r="AWT4" s="180"/>
      <c r="AWU4" s="180"/>
      <c r="AWV4" s="180"/>
      <c r="AWW4" s="180"/>
      <c r="AWX4" s="180"/>
      <c r="AWY4" s="180"/>
      <c r="AWZ4" s="180"/>
      <c r="AXA4" s="180"/>
      <c r="AXB4" s="180"/>
      <c r="AXC4" s="180"/>
      <c r="AXD4" s="180"/>
      <c r="AXE4" s="180"/>
      <c r="AXF4" s="180"/>
      <c r="AXG4" s="180"/>
      <c r="AXH4" s="180"/>
      <c r="AXI4" s="180"/>
      <c r="AXJ4" s="180"/>
      <c r="AXK4" s="180"/>
      <c r="AXL4" s="180"/>
      <c r="AXM4" s="180"/>
      <c r="AXN4" s="180"/>
      <c r="AXO4" s="180"/>
      <c r="AXP4" s="180"/>
      <c r="AXQ4" s="180"/>
      <c r="AXR4" s="180"/>
      <c r="AXS4" s="180"/>
      <c r="AXT4" s="180"/>
      <c r="AXU4" s="180"/>
      <c r="AXV4" s="180"/>
      <c r="AXW4" s="180"/>
      <c r="AXX4" s="180"/>
      <c r="AXY4" s="180"/>
      <c r="AXZ4" s="180"/>
      <c r="AYA4" s="180"/>
      <c r="AYB4" s="180"/>
      <c r="AYC4" s="180"/>
      <c r="AYD4" s="180"/>
      <c r="AYE4" s="180"/>
      <c r="AYF4" s="180"/>
      <c r="AYG4" s="180"/>
      <c r="AYH4" s="180"/>
      <c r="AYI4" s="180"/>
      <c r="AYJ4" s="180"/>
      <c r="AYK4" s="180"/>
      <c r="AYL4" s="180"/>
      <c r="AYM4" s="180"/>
      <c r="AYN4" s="180"/>
      <c r="AYO4" s="180"/>
      <c r="AYP4" s="180"/>
      <c r="AYQ4" s="180"/>
      <c r="AYR4" s="180"/>
      <c r="AYS4" s="180"/>
      <c r="AYT4" s="180"/>
      <c r="AYU4" s="180"/>
      <c r="AYV4" s="180"/>
      <c r="AYW4" s="180"/>
      <c r="AYX4" s="180"/>
      <c r="AYY4" s="180"/>
      <c r="AYZ4" s="180"/>
      <c r="AZA4" s="180"/>
      <c r="AZB4" s="180"/>
      <c r="AZC4" s="180"/>
      <c r="AZD4" s="180"/>
      <c r="AZE4" s="180"/>
      <c r="AZF4" s="180"/>
      <c r="AZG4" s="180"/>
      <c r="AZH4" s="180"/>
      <c r="AZI4" s="180"/>
      <c r="AZJ4" s="180"/>
      <c r="AZK4" s="180"/>
      <c r="AZL4" s="180"/>
      <c r="AZM4" s="180"/>
      <c r="AZN4" s="180"/>
      <c r="AZO4" s="180"/>
      <c r="AZP4" s="180"/>
      <c r="AZQ4" s="180"/>
      <c r="AZR4" s="180"/>
      <c r="AZS4" s="180"/>
      <c r="AZT4" s="180"/>
      <c r="AZU4" s="180"/>
      <c r="AZV4" s="180"/>
      <c r="AZW4" s="180"/>
      <c r="AZX4" s="180"/>
      <c r="AZY4" s="180"/>
      <c r="AZZ4" s="180"/>
      <c r="BAA4" s="180"/>
      <c r="BAB4" s="180"/>
      <c r="BAC4" s="180"/>
      <c r="BAD4" s="180"/>
      <c r="BAE4" s="180"/>
      <c r="BAF4" s="180"/>
      <c r="BAG4" s="180"/>
      <c r="BAH4" s="180"/>
      <c r="BAI4" s="180"/>
      <c r="BAJ4" s="180"/>
      <c r="BAK4" s="180"/>
      <c r="BAL4" s="180"/>
      <c r="BAM4" s="180"/>
      <c r="BAN4" s="180"/>
      <c r="BAO4" s="180"/>
      <c r="BAP4" s="180"/>
      <c r="BAQ4" s="180"/>
      <c r="BAR4" s="180"/>
      <c r="BAS4" s="180"/>
      <c r="BAT4" s="180"/>
      <c r="BAU4" s="180"/>
      <c r="BAV4" s="180"/>
      <c r="BAW4" s="180"/>
      <c r="BAX4" s="180"/>
      <c r="BAY4" s="180"/>
      <c r="BAZ4" s="180"/>
      <c r="BBA4" s="180"/>
      <c r="BBB4" s="180"/>
      <c r="BBC4" s="180"/>
      <c r="BBD4" s="180"/>
      <c r="BBE4" s="180"/>
      <c r="BBF4" s="180"/>
      <c r="BBG4" s="180"/>
      <c r="BBH4" s="180"/>
      <c r="BBI4" s="180"/>
      <c r="BBJ4" s="180"/>
      <c r="BBK4" s="180"/>
      <c r="BBL4" s="180"/>
      <c r="BBM4" s="180"/>
      <c r="BBN4" s="180"/>
      <c r="BBO4" s="180"/>
      <c r="BBP4" s="180"/>
      <c r="BBQ4" s="180"/>
      <c r="BBR4" s="180"/>
      <c r="BBS4" s="180"/>
      <c r="BBT4" s="180"/>
      <c r="BBU4" s="180"/>
      <c r="BBV4" s="180"/>
      <c r="BBW4" s="180"/>
      <c r="BBX4" s="180"/>
      <c r="BBY4" s="180"/>
      <c r="BBZ4" s="180"/>
      <c r="BCA4" s="180"/>
      <c r="BCB4" s="180"/>
      <c r="BCC4" s="180"/>
      <c r="BCD4" s="180"/>
      <c r="BCE4" s="180"/>
      <c r="BCF4" s="180"/>
      <c r="BCG4" s="180"/>
      <c r="BCH4" s="180"/>
      <c r="BCI4" s="180"/>
      <c r="BCJ4" s="180"/>
      <c r="BCK4" s="180"/>
      <c r="BCL4" s="180"/>
      <c r="BCM4" s="180"/>
      <c r="BCN4" s="180"/>
      <c r="BCO4" s="180"/>
      <c r="BCP4" s="180"/>
      <c r="BCQ4" s="180"/>
      <c r="BCR4" s="180"/>
      <c r="BCS4" s="180"/>
      <c r="BCT4" s="180"/>
      <c r="BCU4" s="180"/>
      <c r="BCV4" s="180"/>
      <c r="BCW4" s="180"/>
      <c r="BCX4" s="180"/>
      <c r="BCY4" s="180"/>
      <c r="BCZ4" s="180"/>
      <c r="BDA4" s="180"/>
      <c r="BDB4" s="180"/>
      <c r="BDC4" s="180"/>
      <c r="BDD4" s="180"/>
      <c r="BDE4" s="180"/>
      <c r="BDF4" s="180"/>
      <c r="BDG4" s="180"/>
      <c r="BDH4" s="180"/>
      <c r="BDI4" s="180"/>
      <c r="BDJ4" s="180"/>
      <c r="BDK4" s="180"/>
      <c r="BDL4" s="180"/>
      <c r="BDM4" s="180"/>
      <c r="BDN4" s="180"/>
      <c r="BDO4" s="180"/>
      <c r="BDP4" s="180"/>
      <c r="BDQ4" s="180"/>
      <c r="BDR4" s="180"/>
      <c r="BDS4" s="180"/>
      <c r="BDT4" s="180"/>
      <c r="BDU4" s="180"/>
      <c r="BDV4" s="180"/>
      <c r="BDW4" s="180"/>
      <c r="BDX4" s="180"/>
      <c r="BDY4" s="180"/>
      <c r="BDZ4" s="180"/>
      <c r="BEA4" s="180"/>
      <c r="BEB4" s="180"/>
      <c r="BEC4" s="180"/>
      <c r="BED4" s="180"/>
      <c r="BEE4" s="180"/>
      <c r="BEF4" s="180"/>
      <c r="BEG4" s="180"/>
      <c r="BEH4" s="180"/>
      <c r="BEI4" s="180"/>
      <c r="BEJ4" s="180"/>
      <c r="BEK4" s="180"/>
      <c r="BEL4" s="180"/>
      <c r="BEM4" s="180"/>
      <c r="BEN4" s="180"/>
      <c r="BEO4" s="180"/>
      <c r="BEP4" s="180"/>
      <c r="BEQ4" s="180"/>
      <c r="BER4" s="180"/>
      <c r="BES4" s="180"/>
      <c r="BET4" s="180"/>
      <c r="BEU4" s="180"/>
      <c r="BEV4" s="180"/>
      <c r="BEW4" s="180"/>
      <c r="BEX4" s="180"/>
      <c r="BEY4" s="180"/>
      <c r="BEZ4" s="180"/>
      <c r="BFA4" s="180"/>
      <c r="BFB4" s="180"/>
      <c r="BFC4" s="180"/>
      <c r="BFD4" s="180"/>
      <c r="BFE4" s="180"/>
      <c r="BFF4" s="180"/>
      <c r="BFG4" s="180"/>
      <c r="BFH4" s="180"/>
      <c r="BFI4" s="180"/>
      <c r="BFJ4" s="180"/>
      <c r="BFK4" s="180"/>
      <c r="BFL4" s="180"/>
      <c r="BFM4" s="180"/>
      <c r="BFN4" s="180"/>
      <c r="BFO4" s="180"/>
      <c r="BFP4" s="180"/>
      <c r="BFQ4" s="180"/>
      <c r="BFR4" s="180"/>
      <c r="BFS4" s="180"/>
      <c r="BFT4" s="180"/>
      <c r="BFU4" s="180"/>
      <c r="BFV4" s="180"/>
      <c r="BFW4" s="180"/>
      <c r="BFX4" s="180"/>
      <c r="BFY4" s="180"/>
      <c r="BFZ4" s="180"/>
      <c r="BGA4" s="180"/>
      <c r="BGB4" s="180"/>
      <c r="BGC4" s="180"/>
      <c r="BGD4" s="180"/>
      <c r="BGE4" s="180"/>
      <c r="BGF4" s="180"/>
      <c r="BGG4" s="180"/>
      <c r="BGH4" s="180"/>
      <c r="BGI4" s="180"/>
      <c r="BGJ4" s="180"/>
      <c r="BGK4" s="180"/>
      <c r="BGL4" s="180"/>
      <c r="BGM4" s="180"/>
      <c r="BGN4" s="180"/>
      <c r="BGO4" s="180"/>
      <c r="BGP4" s="180"/>
      <c r="BGQ4" s="180"/>
      <c r="BGR4" s="180"/>
      <c r="BGS4" s="180"/>
      <c r="BGT4" s="180"/>
      <c r="BGU4" s="180"/>
      <c r="BGV4" s="180"/>
      <c r="BGW4" s="180"/>
      <c r="BGX4" s="180"/>
      <c r="BGY4" s="180"/>
      <c r="BGZ4" s="180"/>
      <c r="BHA4" s="180"/>
      <c r="BHB4" s="180"/>
      <c r="BHC4" s="180"/>
      <c r="BHD4" s="180"/>
      <c r="BHE4" s="180"/>
      <c r="BHF4" s="180"/>
      <c r="BHG4" s="180"/>
      <c r="BHH4" s="180"/>
      <c r="BHI4" s="180"/>
      <c r="BHJ4" s="180"/>
      <c r="BHK4" s="180"/>
      <c r="BHL4" s="180"/>
      <c r="BHM4" s="180"/>
      <c r="BHN4" s="180"/>
      <c r="BHO4" s="180"/>
      <c r="BHP4" s="180"/>
      <c r="BHQ4" s="180"/>
      <c r="BHR4" s="180"/>
      <c r="BHS4" s="180"/>
      <c r="BHT4" s="180"/>
      <c r="BHU4" s="180"/>
      <c r="BHV4" s="180"/>
      <c r="BHW4" s="180"/>
      <c r="BHX4" s="180"/>
      <c r="BHY4" s="180"/>
      <c r="BHZ4" s="180"/>
      <c r="BIA4" s="180"/>
      <c r="BIB4" s="180"/>
      <c r="BIC4" s="180"/>
      <c r="BID4" s="180"/>
      <c r="BIE4" s="180"/>
      <c r="BIF4" s="180"/>
      <c r="BIG4" s="180"/>
      <c r="BIH4" s="180"/>
      <c r="BII4" s="180"/>
      <c r="BIJ4" s="180"/>
      <c r="BIK4" s="180"/>
      <c r="BIL4" s="180"/>
      <c r="BIM4" s="180"/>
      <c r="BIN4" s="180"/>
      <c r="BIO4" s="180"/>
      <c r="BIP4" s="180"/>
      <c r="BIQ4" s="180"/>
      <c r="BIR4" s="180"/>
      <c r="BIS4" s="180"/>
      <c r="BIT4" s="180"/>
      <c r="BIU4" s="180"/>
      <c r="BIV4" s="180"/>
      <c r="BIW4" s="180"/>
      <c r="BIX4" s="180"/>
      <c r="BIY4" s="180"/>
      <c r="BIZ4" s="180"/>
      <c r="BJA4" s="180"/>
      <c r="BJB4" s="180"/>
      <c r="BJC4" s="180"/>
      <c r="BJD4" s="180"/>
      <c r="BJE4" s="180"/>
      <c r="BJF4" s="180"/>
      <c r="BJG4" s="180"/>
      <c r="BJH4" s="180"/>
      <c r="BJI4" s="180"/>
      <c r="BJJ4" s="180"/>
      <c r="BJK4" s="180"/>
      <c r="BJL4" s="180"/>
      <c r="BJM4" s="180"/>
      <c r="BJN4" s="180"/>
      <c r="BJO4" s="180"/>
      <c r="BJP4" s="180"/>
      <c r="BJQ4" s="180"/>
      <c r="BJR4" s="180"/>
      <c r="BJS4" s="180"/>
      <c r="BJT4" s="180"/>
      <c r="BJU4" s="180"/>
      <c r="BJV4" s="180"/>
      <c r="BJW4" s="180"/>
      <c r="BJX4" s="180"/>
      <c r="BJY4" s="180"/>
      <c r="BJZ4" s="180"/>
      <c r="BKA4" s="180"/>
      <c r="BKB4" s="180"/>
      <c r="BKC4" s="180"/>
      <c r="BKD4" s="180"/>
      <c r="BKE4" s="180"/>
      <c r="BKF4" s="180"/>
      <c r="BKG4" s="180"/>
      <c r="BKH4" s="180"/>
      <c r="BKI4" s="180"/>
      <c r="BKJ4" s="180"/>
      <c r="BKK4" s="180"/>
      <c r="BKL4" s="180"/>
      <c r="BKM4" s="180"/>
      <c r="BKN4" s="180"/>
      <c r="BKO4" s="180"/>
      <c r="BKP4" s="180"/>
      <c r="BKQ4" s="180"/>
      <c r="BKR4" s="180"/>
      <c r="BKS4" s="180"/>
      <c r="BKT4" s="180"/>
      <c r="BKU4" s="180"/>
      <c r="BKV4" s="180"/>
      <c r="BKW4" s="180"/>
      <c r="BKX4" s="180"/>
      <c r="BKY4" s="180"/>
      <c r="BKZ4" s="180"/>
      <c r="BLA4" s="180"/>
      <c r="BLB4" s="180"/>
      <c r="BLC4" s="180"/>
      <c r="BLD4" s="180"/>
      <c r="BLE4" s="180"/>
      <c r="BLF4" s="180"/>
      <c r="BLG4" s="180"/>
      <c r="BLH4" s="180"/>
      <c r="BLI4" s="180"/>
      <c r="BLJ4" s="180"/>
      <c r="BLK4" s="180"/>
      <c r="BLL4" s="180"/>
      <c r="BLM4" s="180"/>
      <c r="BLN4" s="180"/>
      <c r="BLO4" s="180"/>
      <c r="BLP4" s="180"/>
      <c r="BLQ4" s="180"/>
      <c r="BLR4" s="180"/>
      <c r="BLS4" s="180"/>
      <c r="BLT4" s="180"/>
      <c r="BLU4" s="180"/>
      <c r="BLV4" s="180"/>
      <c r="BLW4" s="180"/>
      <c r="BLX4" s="180"/>
      <c r="BLY4" s="180"/>
      <c r="BLZ4" s="180"/>
      <c r="BMA4" s="180"/>
      <c r="BMB4" s="180"/>
      <c r="BMC4" s="180"/>
      <c r="BMD4" s="180"/>
      <c r="BME4" s="180"/>
      <c r="BMF4" s="180"/>
      <c r="BMG4" s="180"/>
      <c r="BMH4" s="180"/>
      <c r="BMI4" s="180"/>
      <c r="BMJ4" s="180"/>
      <c r="BMK4" s="180"/>
      <c r="BML4" s="180"/>
      <c r="BMM4" s="180"/>
      <c r="BMN4" s="180"/>
      <c r="BMO4" s="180"/>
      <c r="BMP4" s="180"/>
      <c r="BMQ4" s="180"/>
      <c r="BMR4" s="180"/>
      <c r="BMS4" s="180"/>
      <c r="BMT4" s="180"/>
      <c r="BMU4" s="180"/>
      <c r="BMV4" s="180"/>
      <c r="BMW4" s="180"/>
      <c r="BMX4" s="180"/>
      <c r="BMY4" s="180"/>
      <c r="BMZ4" s="180"/>
      <c r="BNA4" s="180"/>
      <c r="BNB4" s="180"/>
      <c r="BNC4" s="180"/>
      <c r="BND4" s="180"/>
      <c r="BNE4" s="180"/>
      <c r="BNF4" s="180"/>
      <c r="BNG4" s="180"/>
      <c r="BNH4" s="180"/>
      <c r="BNI4" s="180"/>
      <c r="BNJ4" s="180"/>
      <c r="BNK4" s="180"/>
      <c r="BNL4" s="180"/>
      <c r="BNM4" s="180"/>
      <c r="BNN4" s="180"/>
      <c r="BNO4" s="180"/>
      <c r="BNP4" s="180"/>
      <c r="BNQ4" s="180"/>
      <c r="BNR4" s="180"/>
      <c r="BNS4" s="180"/>
      <c r="BNT4" s="180"/>
      <c r="BNU4" s="180"/>
      <c r="BNV4" s="180"/>
      <c r="BNW4" s="180"/>
      <c r="BNX4" s="180"/>
      <c r="BNY4" s="180"/>
      <c r="BNZ4" s="180"/>
      <c r="BOA4" s="180"/>
      <c r="BOB4" s="180"/>
      <c r="BOC4" s="180"/>
      <c r="BOD4" s="180"/>
      <c r="BOE4" s="180"/>
      <c r="BOF4" s="180"/>
      <c r="BOG4" s="180"/>
      <c r="BOH4" s="180"/>
      <c r="BOI4" s="180"/>
      <c r="BOJ4" s="180"/>
      <c r="BOK4" s="180"/>
      <c r="BOL4" s="180"/>
      <c r="BOM4" s="180"/>
      <c r="BON4" s="180"/>
      <c r="BOO4" s="180"/>
      <c r="BOP4" s="180"/>
      <c r="BOQ4" s="180"/>
      <c r="BOR4" s="180"/>
      <c r="BOS4" s="180"/>
      <c r="BOT4" s="180"/>
      <c r="BOU4" s="180"/>
      <c r="BOV4" s="180"/>
      <c r="BOW4" s="180"/>
      <c r="BOX4" s="180"/>
      <c r="BOY4" s="180"/>
      <c r="BOZ4" s="180"/>
      <c r="BPA4" s="180"/>
      <c r="BPB4" s="180"/>
      <c r="BPC4" s="180"/>
      <c r="BPD4" s="180"/>
      <c r="BPE4" s="180"/>
      <c r="BPF4" s="180"/>
      <c r="BPG4" s="180"/>
      <c r="BPH4" s="180"/>
      <c r="BPI4" s="180"/>
      <c r="BPJ4" s="180"/>
      <c r="BPK4" s="180"/>
      <c r="BPL4" s="180"/>
      <c r="BPM4" s="180"/>
      <c r="BPN4" s="180"/>
      <c r="BPO4" s="180"/>
      <c r="BPP4" s="180"/>
      <c r="BPQ4" s="180"/>
      <c r="BPR4" s="180"/>
      <c r="BPS4" s="180"/>
      <c r="BPT4" s="180"/>
      <c r="BPU4" s="180"/>
      <c r="BPV4" s="180"/>
      <c r="BPW4" s="180"/>
      <c r="BPX4" s="180"/>
      <c r="BPY4" s="180"/>
      <c r="BPZ4" s="180"/>
      <c r="BQA4" s="180"/>
      <c r="BQB4" s="180"/>
      <c r="BQC4" s="180"/>
      <c r="BQD4" s="180"/>
      <c r="BQE4" s="180"/>
      <c r="BQF4" s="180"/>
      <c r="BQG4" s="180"/>
      <c r="BQH4" s="180"/>
      <c r="BQI4" s="180"/>
      <c r="BQJ4" s="180"/>
      <c r="BQK4" s="180"/>
      <c r="BQL4" s="180"/>
      <c r="BQM4" s="180"/>
      <c r="BQN4" s="180"/>
      <c r="BQO4" s="180"/>
      <c r="BQP4" s="180"/>
      <c r="BQQ4" s="180"/>
      <c r="BQR4" s="180"/>
      <c r="BQS4" s="180"/>
      <c r="BQT4" s="180"/>
      <c r="BQU4" s="180"/>
      <c r="BQV4" s="180"/>
      <c r="BQW4" s="180"/>
      <c r="BQX4" s="180"/>
      <c r="BQY4" s="180"/>
      <c r="BQZ4" s="180"/>
      <c r="BRA4" s="180"/>
      <c r="BRB4" s="180"/>
      <c r="BRC4" s="180"/>
      <c r="BRD4" s="180"/>
      <c r="BRE4" s="180"/>
      <c r="BRF4" s="180"/>
      <c r="BRG4" s="180"/>
      <c r="BRH4" s="180"/>
      <c r="BRI4" s="180"/>
      <c r="BRJ4" s="180"/>
      <c r="BRK4" s="180"/>
      <c r="BRL4" s="180"/>
      <c r="BRM4" s="180"/>
      <c r="BRN4" s="180"/>
      <c r="BRO4" s="180"/>
      <c r="BRP4" s="180"/>
      <c r="BRQ4" s="180"/>
      <c r="BRR4" s="180"/>
      <c r="BRS4" s="180"/>
      <c r="BRT4" s="180"/>
      <c r="BRU4" s="180"/>
      <c r="BRV4" s="180"/>
      <c r="BRW4" s="180"/>
      <c r="BRX4" s="180"/>
      <c r="BRY4" s="180"/>
      <c r="BRZ4" s="180"/>
      <c r="BSA4" s="180"/>
      <c r="BSB4" s="180"/>
      <c r="BSC4" s="180"/>
      <c r="BSD4" s="180"/>
      <c r="BSE4" s="180"/>
      <c r="BSF4" s="180"/>
      <c r="BSG4" s="180"/>
      <c r="BSH4" s="180"/>
      <c r="BSI4" s="180"/>
      <c r="BSJ4" s="180"/>
      <c r="BSK4" s="180"/>
      <c r="BSL4" s="180"/>
      <c r="BSM4" s="180"/>
      <c r="BSN4" s="180"/>
      <c r="BSO4" s="180"/>
      <c r="BSP4" s="180"/>
      <c r="BSQ4" s="180"/>
      <c r="BSR4" s="180"/>
      <c r="BSS4" s="180"/>
      <c r="BST4" s="180"/>
      <c r="BSU4" s="180"/>
      <c r="BSV4" s="180"/>
      <c r="BSW4" s="180"/>
      <c r="BSX4" s="180"/>
      <c r="BSY4" s="180"/>
      <c r="BSZ4" s="180"/>
      <c r="BTA4" s="180"/>
      <c r="BTB4" s="180"/>
      <c r="BTC4" s="180"/>
      <c r="BTD4" s="180"/>
      <c r="BTE4" s="180"/>
      <c r="BTF4" s="180"/>
      <c r="BTG4" s="180"/>
      <c r="BTH4" s="180"/>
      <c r="BTI4" s="180"/>
      <c r="BTJ4" s="180"/>
      <c r="BTK4" s="180"/>
      <c r="BTL4" s="180"/>
      <c r="BTM4" s="180"/>
      <c r="BTN4" s="180"/>
      <c r="BTO4" s="180"/>
      <c r="BTP4" s="180"/>
      <c r="BTQ4" s="180"/>
      <c r="BTR4" s="180"/>
      <c r="BTS4" s="180"/>
      <c r="BTT4" s="180"/>
      <c r="BTU4" s="180"/>
      <c r="BTV4" s="180"/>
      <c r="BTW4" s="180"/>
      <c r="BTX4" s="180"/>
      <c r="BTY4" s="180"/>
      <c r="BTZ4" s="180"/>
      <c r="BUA4" s="180"/>
      <c r="BUB4" s="180"/>
      <c r="BUC4" s="180"/>
      <c r="BUD4" s="180"/>
      <c r="BUE4" s="180"/>
      <c r="BUF4" s="180"/>
      <c r="BUG4" s="180"/>
      <c r="BUH4" s="180"/>
      <c r="BUI4" s="180"/>
      <c r="BUJ4" s="180"/>
      <c r="BUK4" s="180"/>
      <c r="BUL4" s="180"/>
      <c r="BUM4" s="180"/>
      <c r="BUN4" s="180"/>
      <c r="BUO4" s="180"/>
      <c r="BUP4" s="180"/>
      <c r="BUQ4" s="180"/>
      <c r="BUR4" s="180"/>
      <c r="BUS4" s="180"/>
      <c r="BUT4" s="180"/>
      <c r="BUU4" s="180"/>
      <c r="BUV4" s="180"/>
      <c r="BUW4" s="180"/>
      <c r="BUX4" s="180"/>
      <c r="BUY4" s="180"/>
      <c r="BUZ4" s="180"/>
      <c r="BVA4" s="180"/>
      <c r="BVB4" s="180"/>
      <c r="BVC4" s="180"/>
      <c r="BVD4" s="180"/>
      <c r="BVE4" s="180"/>
      <c r="BVF4" s="180"/>
      <c r="BVG4" s="180"/>
      <c r="BVH4" s="180"/>
      <c r="BVI4" s="180"/>
      <c r="BVJ4" s="180"/>
      <c r="BVK4" s="180"/>
      <c r="BVL4" s="180"/>
      <c r="BVM4" s="180"/>
      <c r="BVN4" s="180"/>
      <c r="BVO4" s="180"/>
      <c r="BVP4" s="180"/>
      <c r="BVQ4" s="180"/>
      <c r="BVR4" s="180"/>
      <c r="BVS4" s="180"/>
      <c r="BVT4" s="180"/>
      <c r="BVU4" s="180"/>
      <c r="BVV4" s="180"/>
      <c r="BVW4" s="180"/>
      <c r="BVX4" s="180"/>
      <c r="BVY4" s="180"/>
      <c r="BVZ4" s="180"/>
      <c r="BWA4" s="180"/>
      <c r="BWB4" s="180"/>
      <c r="BWC4" s="180"/>
      <c r="BWD4" s="180"/>
      <c r="BWE4" s="180"/>
      <c r="BWF4" s="180"/>
      <c r="BWG4" s="180"/>
      <c r="BWH4" s="180"/>
      <c r="BWI4" s="180"/>
      <c r="BWJ4" s="180"/>
      <c r="BWK4" s="180"/>
      <c r="BWL4" s="180"/>
      <c r="BWM4" s="180"/>
      <c r="BWN4" s="180"/>
      <c r="BWO4" s="180"/>
      <c r="BWP4" s="180"/>
      <c r="BWQ4" s="180"/>
      <c r="BWR4" s="180"/>
      <c r="BWS4" s="180"/>
      <c r="BWT4" s="180"/>
      <c r="BWU4" s="180"/>
      <c r="BWV4" s="180"/>
      <c r="BWW4" s="180"/>
      <c r="BWX4" s="180"/>
      <c r="BWY4" s="180"/>
      <c r="BWZ4" s="180"/>
      <c r="BXA4" s="180"/>
      <c r="BXB4" s="180"/>
      <c r="BXC4" s="180"/>
      <c r="BXD4" s="180"/>
      <c r="BXE4" s="180"/>
      <c r="BXF4" s="180"/>
      <c r="BXG4" s="180"/>
      <c r="BXH4" s="180"/>
      <c r="BXI4" s="180"/>
      <c r="BXJ4" s="180"/>
      <c r="BXK4" s="180"/>
      <c r="BXL4" s="180"/>
      <c r="BXM4" s="180"/>
      <c r="BXN4" s="180"/>
      <c r="BXO4" s="180"/>
      <c r="BXP4" s="180"/>
      <c r="BXQ4" s="180"/>
      <c r="BXR4" s="180"/>
      <c r="BXS4" s="180"/>
      <c r="BXT4" s="180"/>
      <c r="BXU4" s="180"/>
      <c r="BXV4" s="180"/>
      <c r="BXW4" s="180"/>
      <c r="BXX4" s="180"/>
      <c r="BXY4" s="180"/>
      <c r="BXZ4" s="180"/>
      <c r="BYA4" s="180"/>
      <c r="BYB4" s="180"/>
      <c r="BYC4" s="180"/>
    </row>
    <row r="5" spans="1:2005" ht="16" thickBot="1">
      <c r="A5" s="1886"/>
      <c r="B5" s="656" t="s">
        <v>504</v>
      </c>
      <c r="C5" s="352">
        <v>56</v>
      </c>
      <c r="D5" s="353">
        <v>0</v>
      </c>
      <c r="E5" s="352">
        <v>56</v>
      </c>
      <c r="F5" s="352">
        <v>0</v>
      </c>
      <c r="G5" s="354">
        <v>48</v>
      </c>
      <c r="H5" s="353">
        <v>0</v>
      </c>
      <c r="I5" s="352">
        <v>32</v>
      </c>
      <c r="J5" s="352">
        <v>0</v>
      </c>
      <c r="K5" s="411"/>
      <c r="L5" s="751"/>
      <c r="M5" s="354">
        <v>60</v>
      </c>
      <c r="O5" s="349">
        <v>60</v>
      </c>
      <c r="P5" s="599"/>
      <c r="Q5" s="634"/>
      <c r="R5" s="635"/>
      <c r="S5" s="350" t="s">
        <v>752</v>
      </c>
      <c r="T5" s="351"/>
      <c r="U5" s="404"/>
      <c r="V5" s="181"/>
      <c r="W5" s="404" t="s">
        <v>747</v>
      </c>
      <c r="X5" s="180"/>
      <c r="Y5" s="645"/>
      <c r="Z5" s="646"/>
      <c r="AA5" s="180"/>
      <c r="AB5" s="180"/>
      <c r="AC5" s="645"/>
      <c r="AD5" s="180"/>
      <c r="AE5" s="1599"/>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80"/>
      <c r="BK5" s="180"/>
      <c r="BL5" s="180"/>
      <c r="BM5" s="180"/>
      <c r="BN5" s="180"/>
      <c r="BO5" s="180"/>
      <c r="BP5" s="180"/>
      <c r="BQ5" s="180"/>
      <c r="BR5" s="180"/>
      <c r="BS5" s="180"/>
      <c r="BT5" s="180"/>
      <c r="BU5" s="180"/>
      <c r="BV5" s="180"/>
      <c r="BW5" s="180"/>
      <c r="BX5" s="180"/>
      <c r="BY5" s="180"/>
      <c r="BZ5" s="180"/>
      <c r="CA5" s="180"/>
      <c r="CB5" s="180"/>
      <c r="CC5" s="180"/>
      <c r="CD5" s="180"/>
      <c r="CE5" s="180"/>
      <c r="CF5" s="180"/>
      <c r="CG5" s="180"/>
      <c r="CH5" s="180"/>
      <c r="CI5" s="180"/>
      <c r="CJ5" s="180"/>
      <c r="CK5" s="180"/>
      <c r="CL5" s="180"/>
      <c r="CM5" s="180"/>
      <c r="CN5" s="180"/>
      <c r="CO5" s="180"/>
      <c r="CP5" s="180"/>
      <c r="CQ5" s="180"/>
      <c r="CR5" s="180"/>
      <c r="CS5" s="180"/>
      <c r="CT5" s="180"/>
      <c r="CU5" s="180"/>
      <c r="CV5" s="180"/>
      <c r="CW5" s="180"/>
      <c r="CX5" s="180"/>
      <c r="CY5" s="180"/>
      <c r="CZ5" s="180"/>
      <c r="DA5" s="180"/>
      <c r="DB5" s="180"/>
      <c r="DC5" s="180"/>
      <c r="DD5" s="180"/>
      <c r="DE5" s="180"/>
      <c r="DF5" s="180"/>
      <c r="DG5" s="180"/>
      <c r="DH5" s="180"/>
      <c r="DI5" s="180"/>
      <c r="DJ5" s="180"/>
      <c r="DK5" s="180"/>
      <c r="DL5" s="180"/>
      <c r="DM5" s="180"/>
      <c r="DN5" s="180"/>
      <c r="DO5" s="180"/>
      <c r="DP5" s="180"/>
      <c r="DQ5" s="180"/>
      <c r="DR5" s="180"/>
      <c r="DS5" s="180"/>
      <c r="DT5" s="180"/>
      <c r="DU5" s="180"/>
      <c r="DV5" s="180"/>
      <c r="DW5" s="180"/>
      <c r="DX5" s="180"/>
      <c r="DY5" s="180"/>
      <c r="DZ5" s="180"/>
      <c r="EA5" s="180"/>
      <c r="EB5" s="180"/>
      <c r="EC5" s="180"/>
      <c r="ED5" s="180"/>
      <c r="EE5" s="180"/>
      <c r="EF5" s="180"/>
      <c r="EG5" s="180"/>
      <c r="EH5" s="180"/>
      <c r="EI5" s="180"/>
      <c r="EJ5" s="180"/>
      <c r="EK5" s="180"/>
      <c r="EL5" s="180"/>
      <c r="EM5" s="180"/>
      <c r="EN5" s="180"/>
      <c r="EO5" s="180"/>
      <c r="EP5" s="180"/>
      <c r="EQ5" s="180"/>
      <c r="ER5" s="180"/>
      <c r="ES5" s="180"/>
      <c r="ET5" s="180"/>
      <c r="EU5" s="180"/>
      <c r="EV5" s="180"/>
      <c r="EW5" s="180"/>
      <c r="EX5" s="180"/>
      <c r="EY5" s="180"/>
      <c r="EZ5" s="180"/>
      <c r="FA5" s="180"/>
      <c r="FB5" s="180"/>
      <c r="FC5" s="180"/>
      <c r="FD5" s="180"/>
      <c r="FE5" s="180"/>
      <c r="FF5" s="180"/>
      <c r="FG5" s="180"/>
      <c r="FH5" s="180"/>
      <c r="FI5" s="180"/>
      <c r="FJ5" s="180"/>
      <c r="FK5" s="180"/>
      <c r="FL5" s="180"/>
      <c r="FM5" s="180"/>
      <c r="FN5" s="180"/>
      <c r="FO5" s="180"/>
      <c r="FP5" s="180"/>
      <c r="FQ5" s="180"/>
      <c r="FR5" s="180"/>
      <c r="FS5" s="180"/>
      <c r="FT5" s="180"/>
      <c r="FU5" s="180"/>
      <c r="FV5" s="180"/>
      <c r="FW5" s="180"/>
      <c r="FX5" s="180"/>
      <c r="FY5" s="180"/>
      <c r="FZ5" s="180"/>
      <c r="GA5" s="180"/>
      <c r="GB5" s="180"/>
      <c r="GC5" s="180"/>
      <c r="GD5" s="180"/>
      <c r="GE5" s="180"/>
      <c r="GF5" s="180"/>
      <c r="GG5" s="180"/>
      <c r="GH5" s="180"/>
      <c r="GI5" s="180"/>
      <c r="GJ5" s="180"/>
      <c r="GK5" s="180"/>
      <c r="GL5" s="180"/>
      <c r="GM5" s="180"/>
      <c r="GN5" s="180"/>
      <c r="GO5" s="180"/>
      <c r="GP5" s="180"/>
      <c r="GQ5" s="180"/>
      <c r="GR5" s="180"/>
      <c r="GS5" s="180"/>
      <c r="GT5" s="180"/>
      <c r="GU5" s="180"/>
      <c r="GV5" s="180"/>
      <c r="GW5" s="180"/>
      <c r="GX5" s="180"/>
      <c r="GY5" s="180"/>
      <c r="GZ5" s="180"/>
      <c r="HA5" s="180"/>
      <c r="HB5" s="180"/>
      <c r="HC5" s="180"/>
      <c r="HD5" s="180"/>
      <c r="HE5" s="180"/>
      <c r="HF5" s="180"/>
      <c r="HG5" s="180"/>
      <c r="HH5" s="180"/>
      <c r="HI5" s="180"/>
      <c r="HJ5" s="180"/>
      <c r="HK5" s="180"/>
      <c r="HL5" s="180"/>
      <c r="HM5" s="180"/>
      <c r="HN5" s="180"/>
      <c r="HO5" s="180"/>
      <c r="HP5" s="180"/>
      <c r="HQ5" s="180"/>
      <c r="HR5" s="180"/>
      <c r="HS5" s="180"/>
      <c r="HT5" s="180"/>
      <c r="HU5" s="180"/>
      <c r="HV5" s="180"/>
      <c r="HW5" s="180"/>
      <c r="HX5" s="180"/>
      <c r="HY5" s="180"/>
      <c r="HZ5" s="180"/>
      <c r="IA5" s="180"/>
      <c r="IB5" s="180"/>
      <c r="IC5" s="180"/>
      <c r="ID5" s="180"/>
      <c r="IE5" s="180"/>
      <c r="IF5" s="180"/>
      <c r="IG5" s="180"/>
      <c r="IH5" s="180"/>
      <c r="II5" s="180"/>
      <c r="IJ5" s="180"/>
      <c r="IK5" s="180"/>
      <c r="IL5" s="180"/>
      <c r="IM5" s="180"/>
      <c r="IN5" s="180"/>
      <c r="IO5" s="180"/>
      <c r="IP5" s="180"/>
      <c r="IQ5" s="180"/>
      <c r="IR5" s="180"/>
      <c r="IS5" s="180"/>
      <c r="IT5" s="180"/>
      <c r="IU5" s="180"/>
      <c r="IV5" s="180"/>
      <c r="IW5" s="180"/>
      <c r="IX5" s="180"/>
      <c r="IY5" s="180"/>
      <c r="IZ5" s="180"/>
      <c r="JA5" s="180"/>
      <c r="JB5" s="180"/>
      <c r="JC5" s="180"/>
      <c r="JD5" s="180"/>
      <c r="JE5" s="180"/>
      <c r="JF5" s="180"/>
      <c r="JG5" s="180"/>
      <c r="JH5" s="180"/>
      <c r="JI5" s="180"/>
      <c r="JJ5" s="180"/>
      <c r="JK5" s="180"/>
      <c r="JL5" s="180"/>
      <c r="JM5" s="180"/>
      <c r="JN5" s="180"/>
      <c r="JO5" s="180"/>
      <c r="JP5" s="180"/>
      <c r="JQ5" s="180"/>
      <c r="JR5" s="180"/>
      <c r="JS5" s="180"/>
      <c r="JT5" s="180"/>
      <c r="JU5" s="180"/>
      <c r="JV5" s="180"/>
      <c r="JW5" s="180"/>
      <c r="JX5" s="180"/>
      <c r="JY5" s="180"/>
      <c r="JZ5" s="180"/>
      <c r="KA5" s="180"/>
      <c r="KB5" s="180"/>
      <c r="KC5" s="180"/>
      <c r="KD5" s="180"/>
      <c r="KE5" s="180"/>
      <c r="KF5" s="180"/>
      <c r="KG5" s="180"/>
      <c r="KH5" s="180"/>
      <c r="KI5" s="180"/>
      <c r="KJ5" s="180"/>
      <c r="KK5" s="180"/>
      <c r="KL5" s="180"/>
      <c r="KM5" s="180"/>
      <c r="KN5" s="180"/>
      <c r="KO5" s="180"/>
      <c r="KP5" s="180"/>
      <c r="KQ5" s="180"/>
      <c r="KR5" s="180"/>
      <c r="KS5" s="180"/>
      <c r="KT5" s="180"/>
      <c r="KU5" s="180"/>
      <c r="KV5" s="180"/>
      <c r="KW5" s="180"/>
      <c r="KX5" s="180"/>
      <c r="KY5" s="180"/>
      <c r="KZ5" s="180"/>
      <c r="LA5" s="180"/>
      <c r="LB5" s="180"/>
      <c r="LC5" s="180"/>
      <c r="LD5" s="180"/>
      <c r="LE5" s="180"/>
      <c r="LF5" s="180"/>
      <c r="LG5" s="180"/>
      <c r="LH5" s="180"/>
      <c r="LI5" s="180"/>
      <c r="LJ5" s="180"/>
      <c r="LK5" s="180"/>
      <c r="LL5" s="180"/>
      <c r="LM5" s="180"/>
      <c r="LN5" s="180"/>
      <c r="LO5" s="180"/>
      <c r="LP5" s="180"/>
      <c r="LQ5" s="180"/>
      <c r="LR5" s="180"/>
      <c r="LS5" s="180"/>
      <c r="LT5" s="180"/>
      <c r="LU5" s="180"/>
      <c r="LV5" s="180"/>
      <c r="LW5" s="180"/>
      <c r="LX5" s="180"/>
      <c r="LY5" s="180"/>
      <c r="LZ5" s="180"/>
      <c r="MA5" s="180"/>
      <c r="MB5" s="180"/>
      <c r="MC5" s="180"/>
      <c r="MD5" s="180"/>
      <c r="ME5" s="180"/>
      <c r="MF5" s="180"/>
      <c r="MG5" s="180"/>
      <c r="MH5" s="180"/>
      <c r="MI5" s="180"/>
      <c r="MJ5" s="180"/>
      <c r="MK5" s="180"/>
      <c r="ML5" s="180"/>
      <c r="MM5" s="180"/>
      <c r="MN5" s="180"/>
      <c r="MO5" s="180"/>
      <c r="MP5" s="180"/>
      <c r="MQ5" s="180"/>
      <c r="MR5" s="180"/>
      <c r="MS5" s="180"/>
      <c r="MT5" s="180"/>
      <c r="MU5" s="180"/>
      <c r="MV5" s="180"/>
      <c r="MW5" s="180"/>
      <c r="MX5" s="180"/>
      <c r="MY5" s="180"/>
      <c r="MZ5" s="180"/>
      <c r="NA5" s="180"/>
      <c r="NB5" s="180"/>
      <c r="NC5" s="180"/>
      <c r="ND5" s="180"/>
      <c r="NE5" s="180"/>
      <c r="NF5" s="180"/>
      <c r="NG5" s="180"/>
      <c r="NH5" s="180"/>
      <c r="NI5" s="180"/>
      <c r="NJ5" s="180"/>
      <c r="NK5" s="180"/>
      <c r="NL5" s="180"/>
      <c r="NM5" s="180"/>
      <c r="NN5" s="180"/>
      <c r="NO5" s="180"/>
      <c r="NP5" s="180"/>
      <c r="NQ5" s="180"/>
      <c r="NR5" s="180"/>
      <c r="NS5" s="180"/>
      <c r="NT5" s="180"/>
      <c r="NU5" s="180"/>
      <c r="NV5" s="180"/>
      <c r="NW5" s="180"/>
      <c r="NX5" s="180"/>
      <c r="NY5" s="180"/>
      <c r="NZ5" s="180"/>
      <c r="OA5" s="180"/>
      <c r="OB5" s="180"/>
      <c r="OC5" s="180"/>
      <c r="OD5" s="180"/>
      <c r="OE5" s="180"/>
      <c r="OF5" s="180"/>
      <c r="OG5" s="180"/>
      <c r="OH5" s="180"/>
      <c r="OI5" s="180"/>
      <c r="OJ5" s="180"/>
      <c r="OK5" s="180"/>
      <c r="OL5" s="180"/>
      <c r="OM5" s="180"/>
      <c r="ON5" s="180"/>
      <c r="OO5" s="180"/>
      <c r="OP5" s="180"/>
      <c r="OQ5" s="180"/>
      <c r="OR5" s="180"/>
      <c r="OS5" s="180"/>
      <c r="OT5" s="180"/>
      <c r="OU5" s="180"/>
      <c r="OV5" s="180"/>
      <c r="OW5" s="180"/>
      <c r="OX5" s="180"/>
      <c r="OY5" s="180"/>
      <c r="OZ5" s="180"/>
      <c r="PA5" s="180"/>
      <c r="PB5" s="180"/>
      <c r="PC5" s="180"/>
      <c r="PD5" s="180"/>
      <c r="PE5" s="180"/>
      <c r="PF5" s="180"/>
      <c r="PG5" s="180"/>
      <c r="PH5" s="180"/>
      <c r="PI5" s="180"/>
      <c r="PJ5" s="180"/>
      <c r="PK5" s="180"/>
      <c r="PL5" s="180"/>
      <c r="PM5" s="180"/>
      <c r="PN5" s="180"/>
      <c r="PO5" s="180"/>
      <c r="PP5" s="180"/>
      <c r="PQ5" s="180"/>
      <c r="PR5" s="180"/>
      <c r="PS5" s="180"/>
      <c r="PT5" s="180"/>
      <c r="PU5" s="180"/>
      <c r="PV5" s="180"/>
      <c r="PW5" s="180"/>
      <c r="PX5" s="180"/>
      <c r="PY5" s="180"/>
      <c r="PZ5" s="180"/>
      <c r="QA5" s="180"/>
      <c r="QB5" s="180"/>
      <c r="QC5" s="180"/>
      <c r="QD5" s="180"/>
      <c r="QE5" s="180"/>
      <c r="QF5" s="180"/>
      <c r="QG5" s="180"/>
      <c r="QH5" s="180"/>
      <c r="QI5" s="180"/>
      <c r="QJ5" s="180"/>
      <c r="QK5" s="180"/>
      <c r="QL5" s="180"/>
      <c r="QM5" s="180"/>
      <c r="QN5" s="180"/>
      <c r="QO5" s="180"/>
      <c r="QP5" s="180"/>
      <c r="QQ5" s="180"/>
      <c r="QR5" s="180"/>
      <c r="QS5" s="180"/>
      <c r="QT5" s="180"/>
      <c r="QU5" s="180"/>
      <c r="QV5" s="180"/>
      <c r="QW5" s="180"/>
      <c r="QX5" s="180"/>
      <c r="QY5" s="180"/>
      <c r="QZ5" s="180"/>
      <c r="RA5" s="180"/>
      <c r="RB5" s="180"/>
      <c r="RC5" s="180"/>
      <c r="RD5" s="180"/>
      <c r="RE5" s="180"/>
      <c r="RF5" s="180"/>
      <c r="RG5" s="180"/>
      <c r="RH5" s="180"/>
      <c r="RI5" s="180"/>
      <c r="RJ5" s="180"/>
      <c r="RK5" s="180"/>
      <c r="RL5" s="180"/>
      <c r="RM5" s="180"/>
      <c r="RN5" s="180"/>
      <c r="RO5" s="180"/>
      <c r="RP5" s="180"/>
      <c r="RQ5" s="180"/>
      <c r="RR5" s="180"/>
      <c r="RS5" s="180"/>
      <c r="RT5" s="180"/>
      <c r="RU5" s="180"/>
      <c r="RV5" s="180"/>
      <c r="RW5" s="180"/>
      <c r="RX5" s="180"/>
      <c r="RY5" s="180"/>
      <c r="RZ5" s="180"/>
      <c r="SA5" s="180"/>
      <c r="SB5" s="180"/>
      <c r="SC5" s="180"/>
      <c r="SD5" s="180"/>
      <c r="SE5" s="180"/>
      <c r="SF5" s="180"/>
      <c r="SG5" s="180"/>
      <c r="SH5" s="180"/>
      <c r="SI5" s="180"/>
      <c r="SJ5" s="180"/>
      <c r="SK5" s="180"/>
      <c r="SL5" s="180"/>
      <c r="SM5" s="180"/>
      <c r="SN5" s="180"/>
      <c r="SO5" s="180"/>
      <c r="SP5" s="180"/>
      <c r="SQ5" s="180"/>
      <c r="SR5" s="180"/>
      <c r="SS5" s="180"/>
      <c r="ST5" s="180"/>
      <c r="SU5" s="180"/>
      <c r="SV5" s="180"/>
      <c r="SW5" s="180"/>
      <c r="SX5" s="180"/>
      <c r="SY5" s="180"/>
      <c r="SZ5" s="180"/>
      <c r="TA5" s="180"/>
      <c r="TB5" s="180"/>
      <c r="TC5" s="180"/>
      <c r="TD5" s="180"/>
      <c r="TE5" s="180"/>
      <c r="TF5" s="180"/>
      <c r="TG5" s="180"/>
      <c r="TH5" s="180"/>
      <c r="TI5" s="180"/>
      <c r="TJ5" s="180"/>
      <c r="TK5" s="180"/>
      <c r="TL5" s="180"/>
      <c r="TM5" s="180"/>
      <c r="TN5" s="180"/>
      <c r="TO5" s="180"/>
      <c r="TP5" s="180"/>
      <c r="TQ5" s="180"/>
      <c r="TR5" s="180"/>
      <c r="TS5" s="180"/>
      <c r="TT5" s="180"/>
      <c r="TU5" s="180"/>
      <c r="TV5" s="180"/>
      <c r="TW5" s="180"/>
      <c r="TX5" s="180"/>
      <c r="TY5" s="180"/>
      <c r="TZ5" s="180"/>
      <c r="UA5" s="180"/>
      <c r="UB5" s="180"/>
      <c r="UC5" s="180"/>
      <c r="UD5" s="180"/>
      <c r="UE5" s="180"/>
      <c r="UF5" s="180"/>
      <c r="UG5" s="180"/>
      <c r="UH5" s="180"/>
      <c r="UI5" s="180"/>
      <c r="UJ5" s="180"/>
      <c r="UK5" s="180"/>
      <c r="UL5" s="180"/>
      <c r="UM5" s="180"/>
      <c r="UN5" s="180"/>
      <c r="UO5" s="180"/>
      <c r="UP5" s="180"/>
      <c r="UQ5" s="180"/>
      <c r="UR5" s="180"/>
      <c r="US5" s="180"/>
      <c r="UT5" s="180"/>
      <c r="UU5" s="180"/>
      <c r="UV5" s="180"/>
      <c r="UW5" s="180"/>
      <c r="UX5" s="180"/>
      <c r="UY5" s="180"/>
      <c r="UZ5" s="180"/>
      <c r="VA5" s="180"/>
      <c r="VB5" s="180"/>
      <c r="VC5" s="180"/>
      <c r="VD5" s="180"/>
      <c r="VE5" s="180"/>
      <c r="VF5" s="180"/>
      <c r="VG5" s="180"/>
      <c r="VH5" s="180"/>
      <c r="VI5" s="180"/>
      <c r="VJ5" s="180"/>
      <c r="VK5" s="180"/>
      <c r="VL5" s="180"/>
      <c r="VM5" s="180"/>
      <c r="VN5" s="180"/>
      <c r="VO5" s="180"/>
      <c r="VP5" s="180"/>
      <c r="VQ5" s="180"/>
      <c r="VR5" s="180"/>
      <c r="VS5" s="180"/>
      <c r="VT5" s="180"/>
      <c r="VU5" s="180"/>
      <c r="VV5" s="180"/>
      <c r="VW5" s="180"/>
      <c r="VX5" s="180"/>
      <c r="VY5" s="180"/>
      <c r="VZ5" s="180"/>
      <c r="WA5" s="180"/>
      <c r="WB5" s="180"/>
      <c r="WC5" s="180"/>
      <c r="WD5" s="180"/>
      <c r="WE5" s="180"/>
      <c r="WF5" s="180"/>
      <c r="WG5" s="180"/>
      <c r="WH5" s="180"/>
      <c r="WI5" s="180"/>
      <c r="WJ5" s="180"/>
      <c r="WK5" s="180"/>
      <c r="WL5" s="180"/>
      <c r="WM5" s="180"/>
      <c r="WN5" s="180"/>
      <c r="WO5" s="180"/>
      <c r="WP5" s="180"/>
      <c r="WQ5" s="180"/>
      <c r="WR5" s="180"/>
      <c r="WS5" s="180"/>
      <c r="WT5" s="180"/>
      <c r="WU5" s="180"/>
      <c r="WV5" s="180"/>
      <c r="WW5" s="180"/>
      <c r="WX5" s="180"/>
      <c r="WY5" s="180"/>
      <c r="WZ5" s="180"/>
      <c r="XA5" s="180"/>
      <c r="XB5" s="180"/>
      <c r="XC5" s="180"/>
      <c r="XD5" s="180"/>
      <c r="XE5" s="180"/>
      <c r="XF5" s="180"/>
      <c r="XG5" s="180"/>
      <c r="XH5" s="180"/>
      <c r="XI5" s="180"/>
      <c r="XJ5" s="180"/>
      <c r="XK5" s="180"/>
      <c r="XL5" s="180"/>
      <c r="XM5" s="180"/>
      <c r="XN5" s="180"/>
      <c r="XO5" s="180"/>
      <c r="XP5" s="180"/>
      <c r="XQ5" s="180"/>
      <c r="XR5" s="180"/>
      <c r="XS5" s="180"/>
      <c r="XT5" s="180"/>
      <c r="XU5" s="180"/>
      <c r="XV5" s="180"/>
      <c r="XW5" s="180"/>
      <c r="XX5" s="180"/>
      <c r="XY5" s="180"/>
      <c r="XZ5" s="180"/>
      <c r="YA5" s="180"/>
      <c r="YB5" s="180"/>
      <c r="YC5" s="180"/>
      <c r="YD5" s="180"/>
      <c r="YE5" s="180"/>
      <c r="YF5" s="180"/>
      <c r="YG5" s="180"/>
      <c r="YH5" s="180"/>
      <c r="YI5" s="180"/>
      <c r="YJ5" s="180"/>
      <c r="YK5" s="180"/>
      <c r="YL5" s="180"/>
      <c r="YM5" s="180"/>
      <c r="YN5" s="180"/>
      <c r="YO5" s="180"/>
      <c r="YP5" s="180"/>
      <c r="YQ5" s="180"/>
      <c r="YR5" s="180"/>
      <c r="YS5" s="180"/>
      <c r="YT5" s="180"/>
      <c r="YU5" s="180"/>
      <c r="YV5" s="180"/>
      <c r="YW5" s="180"/>
      <c r="YX5" s="180"/>
      <c r="YY5" s="180"/>
      <c r="YZ5" s="180"/>
      <c r="ZA5" s="180"/>
      <c r="ZB5" s="180"/>
      <c r="ZC5" s="180"/>
      <c r="ZD5" s="180"/>
      <c r="ZE5" s="180"/>
      <c r="ZF5" s="180"/>
      <c r="ZG5" s="180"/>
      <c r="ZH5" s="180"/>
      <c r="ZI5" s="180"/>
      <c r="ZJ5" s="180"/>
      <c r="ZK5" s="180"/>
      <c r="ZL5" s="180"/>
      <c r="ZM5" s="180"/>
      <c r="ZN5" s="180"/>
      <c r="ZO5" s="180"/>
      <c r="ZP5" s="180"/>
      <c r="ZQ5" s="180"/>
      <c r="ZR5" s="180"/>
      <c r="ZS5" s="180"/>
      <c r="ZT5" s="180"/>
      <c r="ZU5" s="180"/>
      <c r="ZV5" s="180"/>
      <c r="ZW5" s="180"/>
      <c r="ZX5" s="180"/>
      <c r="ZY5" s="180"/>
      <c r="ZZ5" s="180"/>
      <c r="AAA5" s="180"/>
      <c r="AAB5" s="180"/>
      <c r="AAC5" s="180"/>
      <c r="AAD5" s="180"/>
      <c r="AAE5" s="180"/>
      <c r="AAF5" s="180"/>
      <c r="AAG5" s="180"/>
      <c r="AAH5" s="180"/>
      <c r="AAI5" s="180"/>
      <c r="AAJ5" s="180"/>
      <c r="AAK5" s="180"/>
      <c r="AAL5" s="180"/>
      <c r="AAM5" s="180"/>
      <c r="AAN5" s="180"/>
      <c r="AAO5" s="180"/>
      <c r="AAP5" s="180"/>
      <c r="AAQ5" s="180"/>
      <c r="AAR5" s="180"/>
      <c r="AAS5" s="180"/>
      <c r="AAT5" s="180"/>
      <c r="AAU5" s="180"/>
      <c r="AAV5" s="180"/>
      <c r="AAW5" s="180"/>
      <c r="AAX5" s="180"/>
      <c r="AAY5" s="180"/>
      <c r="AAZ5" s="180"/>
      <c r="ABA5" s="180"/>
      <c r="ABB5" s="180"/>
      <c r="ABC5" s="180"/>
      <c r="ABD5" s="180"/>
      <c r="ABE5" s="180"/>
      <c r="ABF5" s="180"/>
      <c r="ABG5" s="180"/>
      <c r="ABH5" s="180"/>
      <c r="ABI5" s="180"/>
      <c r="ABJ5" s="180"/>
      <c r="ABK5" s="180"/>
      <c r="ABL5" s="180"/>
      <c r="ABM5" s="180"/>
      <c r="ABN5" s="180"/>
      <c r="ABO5" s="180"/>
      <c r="ABP5" s="180"/>
      <c r="ABQ5" s="180"/>
      <c r="ABR5" s="180"/>
      <c r="ABS5" s="180"/>
      <c r="ABT5" s="180"/>
      <c r="ABU5" s="180"/>
      <c r="ABV5" s="180"/>
      <c r="ABW5" s="180"/>
      <c r="ABX5" s="180"/>
      <c r="ABY5" s="180"/>
      <c r="ABZ5" s="180"/>
      <c r="ACA5" s="180"/>
      <c r="ACB5" s="180"/>
      <c r="ACC5" s="180"/>
      <c r="ACD5" s="180"/>
      <c r="ACE5" s="180"/>
      <c r="ACF5" s="180"/>
      <c r="ACG5" s="180"/>
      <c r="ACH5" s="180"/>
      <c r="ACI5" s="180"/>
      <c r="ACJ5" s="180"/>
      <c r="ACK5" s="180"/>
      <c r="ACL5" s="180"/>
      <c r="ACM5" s="180"/>
      <c r="ACN5" s="180"/>
      <c r="ACO5" s="180"/>
      <c r="ACP5" s="180"/>
      <c r="ACQ5" s="180"/>
      <c r="ACR5" s="180"/>
      <c r="ACS5" s="180"/>
      <c r="ACT5" s="180"/>
      <c r="ACU5" s="180"/>
      <c r="ACV5" s="180"/>
      <c r="ACW5" s="180"/>
      <c r="ACX5" s="180"/>
      <c r="ACY5" s="180"/>
      <c r="ACZ5" s="180"/>
      <c r="ADA5" s="180"/>
      <c r="ADB5" s="180"/>
      <c r="ADC5" s="180"/>
      <c r="ADD5" s="180"/>
      <c r="ADE5" s="180"/>
      <c r="ADF5" s="180"/>
      <c r="ADG5" s="180"/>
      <c r="ADH5" s="180"/>
      <c r="ADI5" s="180"/>
      <c r="ADJ5" s="180"/>
      <c r="ADK5" s="180"/>
      <c r="ADL5" s="180"/>
      <c r="ADM5" s="180"/>
      <c r="ADN5" s="180"/>
      <c r="ADO5" s="180"/>
      <c r="ADP5" s="180"/>
      <c r="ADQ5" s="180"/>
      <c r="ADR5" s="180"/>
      <c r="ADS5" s="180"/>
      <c r="ADT5" s="180"/>
      <c r="ADU5" s="180"/>
      <c r="ADV5" s="180"/>
      <c r="ADW5" s="180"/>
      <c r="ADX5" s="180"/>
      <c r="ADY5" s="180"/>
      <c r="ADZ5" s="180"/>
      <c r="AEA5" s="180"/>
      <c r="AEB5" s="180"/>
      <c r="AEC5" s="180"/>
      <c r="AED5" s="180"/>
      <c r="AEE5" s="180"/>
      <c r="AEF5" s="180"/>
      <c r="AEG5" s="180"/>
      <c r="AEH5" s="180"/>
      <c r="AEI5" s="180"/>
      <c r="AEJ5" s="180"/>
      <c r="AEK5" s="180"/>
      <c r="AEL5" s="180"/>
      <c r="AEM5" s="180"/>
      <c r="AEN5" s="180"/>
      <c r="AEO5" s="180"/>
      <c r="AEP5" s="180"/>
      <c r="AEQ5" s="180"/>
      <c r="AER5" s="180"/>
      <c r="AES5" s="180"/>
      <c r="AET5" s="180"/>
      <c r="AEU5" s="180"/>
      <c r="AEV5" s="180"/>
      <c r="AEW5" s="180"/>
      <c r="AEX5" s="180"/>
      <c r="AEY5" s="180"/>
      <c r="AEZ5" s="180"/>
      <c r="AFA5" s="180"/>
      <c r="AFB5" s="180"/>
      <c r="AFC5" s="180"/>
      <c r="AFD5" s="180"/>
      <c r="AFE5" s="180"/>
      <c r="AFF5" s="180"/>
      <c r="AFG5" s="180"/>
      <c r="AFH5" s="180"/>
      <c r="AFI5" s="180"/>
      <c r="AFJ5" s="180"/>
      <c r="AFK5" s="180"/>
      <c r="AFL5" s="180"/>
      <c r="AFM5" s="180"/>
      <c r="AFN5" s="180"/>
      <c r="AFO5" s="180"/>
      <c r="AFP5" s="180"/>
      <c r="AFQ5" s="180"/>
      <c r="AFR5" s="180"/>
      <c r="AFS5" s="180"/>
      <c r="AFT5" s="180"/>
      <c r="AFU5" s="180"/>
      <c r="AFV5" s="180"/>
      <c r="AFW5" s="180"/>
      <c r="AFX5" s="180"/>
      <c r="AFY5" s="180"/>
      <c r="AFZ5" s="180"/>
      <c r="AGA5" s="180"/>
      <c r="AGB5" s="180"/>
      <c r="AGC5" s="180"/>
      <c r="AGD5" s="180"/>
      <c r="AGE5" s="180"/>
      <c r="AGF5" s="180"/>
      <c r="AGG5" s="180"/>
      <c r="AGH5" s="180"/>
      <c r="AGI5" s="180"/>
      <c r="AGJ5" s="180"/>
      <c r="AGK5" s="180"/>
      <c r="AGL5" s="180"/>
      <c r="AGM5" s="180"/>
      <c r="AGN5" s="180"/>
      <c r="AGO5" s="180"/>
      <c r="AGP5" s="180"/>
      <c r="AGQ5" s="180"/>
      <c r="AGR5" s="180"/>
      <c r="AGS5" s="180"/>
      <c r="AGT5" s="180"/>
      <c r="AGU5" s="180"/>
      <c r="AGV5" s="180"/>
      <c r="AGW5" s="180"/>
      <c r="AGX5" s="180"/>
      <c r="AGY5" s="180"/>
      <c r="AGZ5" s="180"/>
      <c r="AHA5" s="180"/>
      <c r="AHB5" s="180"/>
      <c r="AHC5" s="180"/>
      <c r="AHD5" s="180"/>
      <c r="AHE5" s="180"/>
      <c r="AHF5" s="180"/>
      <c r="AHG5" s="180"/>
      <c r="AHH5" s="180"/>
      <c r="AHI5" s="180"/>
      <c r="AHJ5" s="180"/>
      <c r="AHK5" s="180"/>
      <c r="AHL5" s="180"/>
      <c r="AHM5" s="180"/>
      <c r="AHN5" s="180"/>
      <c r="AHO5" s="180"/>
      <c r="AHP5" s="180"/>
      <c r="AHQ5" s="180"/>
      <c r="AHR5" s="180"/>
      <c r="AHS5" s="180"/>
      <c r="AHT5" s="180"/>
      <c r="AHU5" s="180"/>
      <c r="AHV5" s="180"/>
      <c r="AHW5" s="180"/>
      <c r="AHX5" s="180"/>
      <c r="AHY5" s="180"/>
      <c r="AHZ5" s="180"/>
      <c r="AIA5" s="180"/>
      <c r="AIB5" s="180"/>
      <c r="AIC5" s="180"/>
      <c r="AID5" s="180"/>
      <c r="AIE5" s="180"/>
      <c r="AIF5" s="180"/>
      <c r="AIG5" s="180"/>
      <c r="AIH5" s="180"/>
      <c r="AII5" s="180"/>
      <c r="AIJ5" s="180"/>
      <c r="AIK5" s="180"/>
      <c r="AIL5" s="180"/>
      <c r="AIM5" s="180"/>
      <c r="AIN5" s="180"/>
      <c r="AIO5" s="180"/>
      <c r="AIP5" s="180"/>
      <c r="AIQ5" s="180"/>
      <c r="AIR5" s="180"/>
      <c r="AIS5" s="180"/>
      <c r="AIT5" s="180"/>
      <c r="AIU5" s="180"/>
      <c r="AIV5" s="180"/>
      <c r="AIW5" s="180"/>
      <c r="AIX5" s="180"/>
      <c r="AIY5" s="180"/>
      <c r="AIZ5" s="180"/>
      <c r="AJA5" s="180"/>
      <c r="AJB5" s="180"/>
      <c r="AJC5" s="180"/>
      <c r="AJD5" s="180"/>
      <c r="AJE5" s="180"/>
      <c r="AJF5" s="180"/>
      <c r="AJG5" s="180"/>
      <c r="AJH5" s="180"/>
      <c r="AJI5" s="180"/>
      <c r="AJJ5" s="180"/>
      <c r="AJK5" s="180"/>
      <c r="AJL5" s="180"/>
      <c r="AJM5" s="180"/>
      <c r="AJN5" s="180"/>
      <c r="AJO5" s="180"/>
      <c r="AJP5" s="180"/>
      <c r="AJQ5" s="180"/>
      <c r="AJR5" s="180"/>
      <c r="AJS5" s="180"/>
      <c r="AJT5" s="180"/>
      <c r="AJU5" s="180"/>
      <c r="AJV5" s="180"/>
      <c r="AJW5" s="180"/>
      <c r="AJX5" s="180"/>
      <c r="AJY5" s="180"/>
      <c r="AJZ5" s="180"/>
      <c r="AKA5" s="180"/>
      <c r="AKB5" s="180"/>
      <c r="AKC5" s="180"/>
      <c r="AKD5" s="180"/>
      <c r="AKE5" s="180"/>
      <c r="AKF5" s="180"/>
      <c r="AKG5" s="180"/>
      <c r="AKH5" s="180"/>
      <c r="AKI5" s="180"/>
      <c r="AKJ5" s="180"/>
      <c r="AKK5" s="180"/>
      <c r="AKL5" s="180"/>
      <c r="AKM5" s="180"/>
      <c r="AKN5" s="180"/>
      <c r="AKO5" s="180"/>
      <c r="AKP5" s="180"/>
      <c r="AKQ5" s="180"/>
      <c r="AKR5" s="180"/>
      <c r="AKS5" s="180"/>
      <c r="AKT5" s="180"/>
      <c r="AKU5" s="180"/>
      <c r="AKV5" s="180"/>
      <c r="AKW5" s="180"/>
      <c r="AKX5" s="180"/>
      <c r="AKY5" s="180"/>
      <c r="AKZ5" s="180"/>
      <c r="ALA5" s="180"/>
      <c r="ALB5" s="180"/>
      <c r="ALC5" s="180"/>
      <c r="ALD5" s="180"/>
      <c r="ALE5" s="180"/>
      <c r="ALF5" s="180"/>
      <c r="ALG5" s="180"/>
      <c r="ALH5" s="180"/>
      <c r="ALI5" s="180"/>
      <c r="ALJ5" s="180"/>
      <c r="ALK5" s="180"/>
      <c r="ALL5" s="180"/>
      <c r="ALM5" s="180"/>
      <c r="ALN5" s="180"/>
      <c r="ALO5" s="180"/>
      <c r="ALP5" s="180"/>
      <c r="ALQ5" s="180"/>
      <c r="ALR5" s="180"/>
      <c r="ALS5" s="180"/>
      <c r="ALT5" s="180"/>
      <c r="ALU5" s="180"/>
      <c r="ALV5" s="180"/>
      <c r="ALW5" s="180"/>
      <c r="ALX5" s="180"/>
      <c r="ALY5" s="180"/>
      <c r="ALZ5" s="180"/>
      <c r="AMA5" s="180"/>
      <c r="AMB5" s="180"/>
      <c r="AMC5" s="180"/>
      <c r="AMD5" s="180"/>
      <c r="AME5" s="180"/>
      <c r="AMF5" s="180"/>
      <c r="AMG5" s="180"/>
      <c r="AMH5" s="180"/>
      <c r="AMI5" s="180"/>
      <c r="AMJ5" s="180"/>
      <c r="AMK5" s="180"/>
      <c r="AML5" s="180"/>
      <c r="AMM5" s="180"/>
      <c r="AMN5" s="180"/>
      <c r="AMO5" s="180"/>
      <c r="AMP5" s="180"/>
      <c r="AMQ5" s="180"/>
      <c r="AMR5" s="180"/>
      <c r="AMS5" s="180"/>
      <c r="AMT5" s="180"/>
      <c r="AMU5" s="180"/>
      <c r="AMV5" s="180"/>
      <c r="AMW5" s="180"/>
      <c r="AMX5" s="180"/>
      <c r="AMY5" s="180"/>
      <c r="AMZ5" s="180"/>
      <c r="ANA5" s="180"/>
      <c r="ANB5" s="180"/>
      <c r="ANC5" s="180"/>
      <c r="AND5" s="180"/>
      <c r="ANE5" s="180"/>
      <c r="ANF5" s="180"/>
      <c r="ANG5" s="180"/>
      <c r="ANH5" s="180"/>
      <c r="ANI5" s="180"/>
      <c r="ANJ5" s="180"/>
      <c r="ANK5" s="180"/>
      <c r="ANL5" s="180"/>
      <c r="ANM5" s="180"/>
      <c r="ANN5" s="180"/>
      <c r="ANO5" s="180"/>
      <c r="ANP5" s="180"/>
      <c r="ANQ5" s="180"/>
      <c r="ANR5" s="180"/>
      <c r="ANS5" s="180"/>
      <c r="ANT5" s="180"/>
      <c r="ANU5" s="180"/>
      <c r="ANV5" s="180"/>
      <c r="ANW5" s="180"/>
      <c r="ANX5" s="180"/>
      <c r="ANY5" s="180"/>
      <c r="ANZ5" s="180"/>
      <c r="AOA5" s="180"/>
      <c r="AOB5" s="180"/>
      <c r="AOC5" s="180"/>
      <c r="AOD5" s="180"/>
      <c r="AOE5" s="180"/>
      <c r="AOF5" s="180"/>
      <c r="AOG5" s="180"/>
      <c r="AOH5" s="180"/>
      <c r="AOI5" s="180"/>
      <c r="AOJ5" s="180"/>
      <c r="AOK5" s="180"/>
      <c r="AOL5" s="180"/>
      <c r="AOM5" s="180"/>
      <c r="AON5" s="180"/>
      <c r="AOO5" s="180"/>
      <c r="AOP5" s="180"/>
      <c r="AOQ5" s="180"/>
      <c r="AOR5" s="180"/>
      <c r="AOS5" s="180"/>
      <c r="AOT5" s="180"/>
      <c r="AOU5" s="180"/>
      <c r="AOV5" s="180"/>
      <c r="AOW5" s="180"/>
      <c r="AOX5" s="180"/>
      <c r="AOY5" s="180"/>
      <c r="AOZ5" s="180"/>
      <c r="APA5" s="180"/>
      <c r="APB5" s="180"/>
      <c r="APC5" s="180"/>
      <c r="APD5" s="180"/>
      <c r="APE5" s="180"/>
      <c r="APF5" s="180"/>
      <c r="APG5" s="180"/>
      <c r="APH5" s="180"/>
      <c r="API5" s="180"/>
      <c r="APJ5" s="180"/>
      <c r="APK5" s="180"/>
      <c r="APL5" s="180"/>
      <c r="APM5" s="180"/>
      <c r="APN5" s="180"/>
      <c r="APO5" s="180"/>
      <c r="APP5" s="180"/>
      <c r="APQ5" s="180"/>
      <c r="APR5" s="180"/>
      <c r="APS5" s="180"/>
      <c r="APT5" s="180"/>
      <c r="APU5" s="180"/>
      <c r="APV5" s="180"/>
      <c r="APW5" s="180"/>
      <c r="APX5" s="180"/>
      <c r="APY5" s="180"/>
      <c r="APZ5" s="180"/>
      <c r="AQA5" s="180"/>
      <c r="AQB5" s="180"/>
      <c r="AQC5" s="180"/>
      <c r="AQD5" s="180"/>
      <c r="AQE5" s="180"/>
      <c r="AQF5" s="180"/>
      <c r="AQG5" s="180"/>
      <c r="AQH5" s="180"/>
      <c r="AQI5" s="180"/>
      <c r="AQJ5" s="180"/>
      <c r="AQK5" s="180"/>
      <c r="AQL5" s="180"/>
      <c r="AQM5" s="180"/>
      <c r="AQN5" s="180"/>
      <c r="AQO5" s="180"/>
      <c r="AQP5" s="180"/>
      <c r="AQQ5" s="180"/>
      <c r="AQR5" s="180"/>
      <c r="AQS5" s="180"/>
      <c r="AQT5" s="180"/>
      <c r="AQU5" s="180"/>
      <c r="AQV5" s="180"/>
      <c r="AQW5" s="180"/>
      <c r="AQX5" s="180"/>
      <c r="AQY5" s="180"/>
      <c r="AQZ5" s="180"/>
      <c r="ARA5" s="180"/>
      <c r="ARB5" s="180"/>
      <c r="ARC5" s="180"/>
      <c r="ARD5" s="180"/>
      <c r="ARE5" s="180"/>
      <c r="ARF5" s="180"/>
      <c r="ARG5" s="180"/>
      <c r="ARH5" s="180"/>
      <c r="ARI5" s="180"/>
      <c r="ARJ5" s="180"/>
      <c r="ARK5" s="180"/>
      <c r="ARL5" s="180"/>
      <c r="ARM5" s="180"/>
      <c r="ARN5" s="180"/>
      <c r="ARO5" s="180"/>
      <c r="ARP5" s="180"/>
      <c r="ARQ5" s="180"/>
      <c r="ARR5" s="180"/>
      <c r="ARS5" s="180"/>
      <c r="ART5" s="180"/>
      <c r="ARU5" s="180"/>
      <c r="ARV5" s="180"/>
      <c r="ARW5" s="180"/>
      <c r="ARX5" s="180"/>
      <c r="ARY5" s="180"/>
      <c r="ARZ5" s="180"/>
      <c r="ASA5" s="180"/>
      <c r="ASB5" s="180"/>
      <c r="ASC5" s="180"/>
      <c r="ASD5" s="180"/>
      <c r="ASE5" s="180"/>
      <c r="ASF5" s="180"/>
      <c r="ASG5" s="180"/>
      <c r="ASH5" s="180"/>
      <c r="ASI5" s="180"/>
      <c r="ASJ5" s="180"/>
      <c r="ASK5" s="180"/>
      <c r="ASL5" s="180"/>
      <c r="ASM5" s="180"/>
      <c r="ASN5" s="180"/>
      <c r="ASO5" s="180"/>
      <c r="ASP5" s="180"/>
      <c r="ASQ5" s="180"/>
      <c r="ASR5" s="180"/>
      <c r="ASS5" s="180"/>
      <c r="AST5" s="180"/>
      <c r="ASU5" s="180"/>
      <c r="ASV5" s="180"/>
      <c r="ASW5" s="180"/>
      <c r="ASX5" s="180"/>
      <c r="ASY5" s="180"/>
      <c r="ASZ5" s="180"/>
      <c r="ATA5" s="180"/>
      <c r="ATB5" s="180"/>
      <c r="ATC5" s="180"/>
      <c r="ATD5" s="180"/>
      <c r="ATE5" s="180"/>
      <c r="ATF5" s="180"/>
      <c r="ATG5" s="180"/>
      <c r="ATH5" s="180"/>
      <c r="ATI5" s="180"/>
      <c r="ATJ5" s="180"/>
      <c r="ATK5" s="180"/>
      <c r="ATL5" s="180"/>
      <c r="ATM5" s="180"/>
      <c r="ATN5" s="180"/>
      <c r="ATO5" s="180"/>
      <c r="ATP5" s="180"/>
      <c r="ATQ5" s="180"/>
      <c r="ATR5" s="180"/>
      <c r="ATS5" s="180"/>
      <c r="ATT5" s="180"/>
      <c r="ATU5" s="180"/>
      <c r="ATV5" s="180"/>
      <c r="ATW5" s="180"/>
      <c r="ATX5" s="180"/>
      <c r="ATY5" s="180"/>
      <c r="ATZ5" s="180"/>
      <c r="AUA5" s="180"/>
      <c r="AUB5" s="180"/>
      <c r="AUC5" s="180"/>
      <c r="AUD5" s="180"/>
      <c r="AUE5" s="180"/>
      <c r="AUF5" s="180"/>
      <c r="AUG5" s="180"/>
      <c r="AUH5" s="180"/>
      <c r="AUI5" s="180"/>
      <c r="AUJ5" s="180"/>
      <c r="AUK5" s="180"/>
      <c r="AUL5" s="180"/>
      <c r="AUM5" s="180"/>
      <c r="AUN5" s="180"/>
      <c r="AUO5" s="180"/>
      <c r="AUP5" s="180"/>
      <c r="AUQ5" s="180"/>
      <c r="AUR5" s="180"/>
      <c r="AUS5" s="180"/>
      <c r="AUT5" s="180"/>
      <c r="AUU5" s="180"/>
      <c r="AUV5" s="180"/>
      <c r="AUW5" s="180"/>
      <c r="AUX5" s="180"/>
      <c r="AUY5" s="180"/>
      <c r="AUZ5" s="180"/>
      <c r="AVA5" s="180"/>
      <c r="AVB5" s="180"/>
      <c r="AVC5" s="180"/>
      <c r="AVD5" s="180"/>
      <c r="AVE5" s="180"/>
      <c r="AVF5" s="180"/>
      <c r="AVG5" s="180"/>
      <c r="AVH5" s="180"/>
      <c r="AVI5" s="180"/>
      <c r="AVJ5" s="180"/>
      <c r="AVK5" s="180"/>
      <c r="AVL5" s="180"/>
      <c r="AVM5" s="180"/>
      <c r="AVN5" s="180"/>
      <c r="AVO5" s="180"/>
      <c r="AVP5" s="180"/>
      <c r="AVQ5" s="180"/>
      <c r="AVR5" s="180"/>
      <c r="AVS5" s="180"/>
      <c r="AVT5" s="180"/>
      <c r="AVU5" s="180"/>
      <c r="AVV5" s="180"/>
      <c r="AVW5" s="180"/>
      <c r="AVX5" s="180"/>
      <c r="AVY5" s="180"/>
      <c r="AVZ5" s="180"/>
      <c r="AWA5" s="180"/>
      <c r="AWB5" s="180"/>
      <c r="AWC5" s="180"/>
      <c r="AWD5" s="180"/>
      <c r="AWE5" s="180"/>
      <c r="AWF5" s="180"/>
      <c r="AWG5" s="180"/>
      <c r="AWH5" s="180"/>
      <c r="AWI5" s="180"/>
      <c r="AWJ5" s="180"/>
      <c r="AWK5" s="180"/>
      <c r="AWL5" s="180"/>
      <c r="AWM5" s="180"/>
      <c r="AWN5" s="180"/>
      <c r="AWO5" s="180"/>
      <c r="AWP5" s="180"/>
      <c r="AWQ5" s="180"/>
      <c r="AWR5" s="180"/>
      <c r="AWS5" s="180"/>
      <c r="AWT5" s="180"/>
      <c r="AWU5" s="180"/>
      <c r="AWV5" s="180"/>
      <c r="AWW5" s="180"/>
      <c r="AWX5" s="180"/>
      <c r="AWY5" s="180"/>
      <c r="AWZ5" s="180"/>
      <c r="AXA5" s="180"/>
      <c r="AXB5" s="180"/>
      <c r="AXC5" s="180"/>
      <c r="AXD5" s="180"/>
      <c r="AXE5" s="180"/>
      <c r="AXF5" s="180"/>
      <c r="AXG5" s="180"/>
      <c r="AXH5" s="180"/>
      <c r="AXI5" s="180"/>
      <c r="AXJ5" s="180"/>
      <c r="AXK5" s="180"/>
      <c r="AXL5" s="180"/>
      <c r="AXM5" s="180"/>
      <c r="AXN5" s="180"/>
      <c r="AXO5" s="180"/>
      <c r="AXP5" s="180"/>
      <c r="AXQ5" s="180"/>
      <c r="AXR5" s="180"/>
      <c r="AXS5" s="180"/>
      <c r="AXT5" s="180"/>
      <c r="AXU5" s="180"/>
      <c r="AXV5" s="180"/>
      <c r="AXW5" s="180"/>
      <c r="AXX5" s="180"/>
      <c r="AXY5" s="180"/>
      <c r="AXZ5" s="180"/>
      <c r="AYA5" s="180"/>
      <c r="AYB5" s="180"/>
      <c r="AYC5" s="180"/>
      <c r="AYD5" s="180"/>
      <c r="AYE5" s="180"/>
      <c r="AYF5" s="180"/>
      <c r="AYG5" s="180"/>
      <c r="AYH5" s="180"/>
      <c r="AYI5" s="180"/>
      <c r="AYJ5" s="180"/>
      <c r="AYK5" s="180"/>
      <c r="AYL5" s="180"/>
      <c r="AYM5" s="180"/>
      <c r="AYN5" s="180"/>
      <c r="AYO5" s="180"/>
      <c r="AYP5" s="180"/>
      <c r="AYQ5" s="180"/>
      <c r="AYR5" s="180"/>
      <c r="AYS5" s="180"/>
      <c r="AYT5" s="180"/>
      <c r="AYU5" s="180"/>
      <c r="AYV5" s="180"/>
      <c r="AYW5" s="180"/>
      <c r="AYX5" s="180"/>
      <c r="AYY5" s="180"/>
      <c r="AYZ5" s="180"/>
      <c r="AZA5" s="180"/>
      <c r="AZB5" s="180"/>
      <c r="AZC5" s="180"/>
      <c r="AZD5" s="180"/>
      <c r="AZE5" s="180"/>
      <c r="AZF5" s="180"/>
      <c r="AZG5" s="180"/>
      <c r="AZH5" s="180"/>
      <c r="AZI5" s="180"/>
      <c r="AZJ5" s="180"/>
      <c r="AZK5" s="180"/>
      <c r="AZL5" s="180"/>
      <c r="AZM5" s="180"/>
      <c r="AZN5" s="180"/>
      <c r="AZO5" s="180"/>
      <c r="AZP5" s="180"/>
      <c r="AZQ5" s="180"/>
      <c r="AZR5" s="180"/>
      <c r="AZS5" s="180"/>
      <c r="AZT5" s="180"/>
      <c r="AZU5" s="180"/>
      <c r="AZV5" s="180"/>
      <c r="AZW5" s="180"/>
      <c r="AZX5" s="180"/>
      <c r="AZY5" s="180"/>
      <c r="AZZ5" s="180"/>
      <c r="BAA5" s="180"/>
      <c r="BAB5" s="180"/>
      <c r="BAC5" s="180"/>
      <c r="BAD5" s="180"/>
      <c r="BAE5" s="180"/>
      <c r="BAF5" s="180"/>
      <c r="BAG5" s="180"/>
      <c r="BAH5" s="180"/>
      <c r="BAI5" s="180"/>
      <c r="BAJ5" s="180"/>
      <c r="BAK5" s="180"/>
      <c r="BAL5" s="180"/>
      <c r="BAM5" s="180"/>
      <c r="BAN5" s="180"/>
      <c r="BAO5" s="180"/>
      <c r="BAP5" s="180"/>
      <c r="BAQ5" s="180"/>
      <c r="BAR5" s="180"/>
      <c r="BAS5" s="180"/>
      <c r="BAT5" s="180"/>
      <c r="BAU5" s="180"/>
      <c r="BAV5" s="180"/>
      <c r="BAW5" s="180"/>
      <c r="BAX5" s="180"/>
      <c r="BAY5" s="180"/>
      <c r="BAZ5" s="180"/>
      <c r="BBA5" s="180"/>
      <c r="BBB5" s="180"/>
      <c r="BBC5" s="180"/>
      <c r="BBD5" s="180"/>
      <c r="BBE5" s="180"/>
      <c r="BBF5" s="180"/>
      <c r="BBG5" s="180"/>
      <c r="BBH5" s="180"/>
      <c r="BBI5" s="180"/>
      <c r="BBJ5" s="180"/>
      <c r="BBK5" s="180"/>
      <c r="BBL5" s="180"/>
      <c r="BBM5" s="180"/>
      <c r="BBN5" s="180"/>
      <c r="BBO5" s="180"/>
      <c r="BBP5" s="180"/>
      <c r="BBQ5" s="180"/>
      <c r="BBR5" s="180"/>
      <c r="BBS5" s="180"/>
      <c r="BBT5" s="180"/>
      <c r="BBU5" s="180"/>
      <c r="BBV5" s="180"/>
      <c r="BBW5" s="180"/>
      <c r="BBX5" s="180"/>
      <c r="BBY5" s="180"/>
      <c r="BBZ5" s="180"/>
      <c r="BCA5" s="180"/>
      <c r="BCB5" s="180"/>
      <c r="BCC5" s="180"/>
      <c r="BCD5" s="180"/>
      <c r="BCE5" s="180"/>
      <c r="BCF5" s="180"/>
      <c r="BCG5" s="180"/>
      <c r="BCH5" s="180"/>
      <c r="BCI5" s="180"/>
      <c r="BCJ5" s="180"/>
      <c r="BCK5" s="180"/>
      <c r="BCL5" s="180"/>
      <c r="BCM5" s="180"/>
      <c r="BCN5" s="180"/>
      <c r="BCO5" s="180"/>
      <c r="BCP5" s="180"/>
      <c r="BCQ5" s="180"/>
      <c r="BCR5" s="180"/>
      <c r="BCS5" s="180"/>
      <c r="BCT5" s="180"/>
      <c r="BCU5" s="180"/>
      <c r="BCV5" s="180"/>
      <c r="BCW5" s="180"/>
      <c r="BCX5" s="180"/>
      <c r="BCY5" s="180"/>
      <c r="BCZ5" s="180"/>
      <c r="BDA5" s="180"/>
      <c r="BDB5" s="180"/>
      <c r="BDC5" s="180"/>
      <c r="BDD5" s="180"/>
      <c r="BDE5" s="180"/>
      <c r="BDF5" s="180"/>
      <c r="BDG5" s="180"/>
      <c r="BDH5" s="180"/>
      <c r="BDI5" s="180"/>
      <c r="BDJ5" s="180"/>
      <c r="BDK5" s="180"/>
      <c r="BDL5" s="180"/>
      <c r="BDM5" s="180"/>
      <c r="BDN5" s="180"/>
      <c r="BDO5" s="180"/>
      <c r="BDP5" s="180"/>
      <c r="BDQ5" s="180"/>
      <c r="BDR5" s="180"/>
      <c r="BDS5" s="180"/>
      <c r="BDT5" s="180"/>
      <c r="BDU5" s="180"/>
      <c r="BDV5" s="180"/>
      <c r="BDW5" s="180"/>
      <c r="BDX5" s="180"/>
      <c r="BDY5" s="180"/>
      <c r="BDZ5" s="180"/>
      <c r="BEA5" s="180"/>
      <c r="BEB5" s="180"/>
      <c r="BEC5" s="180"/>
      <c r="BED5" s="180"/>
      <c r="BEE5" s="180"/>
      <c r="BEF5" s="180"/>
      <c r="BEG5" s="180"/>
      <c r="BEH5" s="180"/>
      <c r="BEI5" s="180"/>
      <c r="BEJ5" s="180"/>
      <c r="BEK5" s="180"/>
      <c r="BEL5" s="180"/>
      <c r="BEM5" s="180"/>
      <c r="BEN5" s="180"/>
      <c r="BEO5" s="180"/>
      <c r="BEP5" s="180"/>
      <c r="BEQ5" s="180"/>
      <c r="BER5" s="180"/>
      <c r="BES5" s="180"/>
      <c r="BET5" s="180"/>
      <c r="BEU5" s="180"/>
      <c r="BEV5" s="180"/>
      <c r="BEW5" s="180"/>
      <c r="BEX5" s="180"/>
      <c r="BEY5" s="180"/>
      <c r="BEZ5" s="180"/>
      <c r="BFA5" s="180"/>
      <c r="BFB5" s="180"/>
      <c r="BFC5" s="180"/>
      <c r="BFD5" s="180"/>
      <c r="BFE5" s="180"/>
      <c r="BFF5" s="180"/>
      <c r="BFG5" s="180"/>
      <c r="BFH5" s="180"/>
      <c r="BFI5" s="180"/>
      <c r="BFJ5" s="180"/>
      <c r="BFK5" s="180"/>
      <c r="BFL5" s="180"/>
      <c r="BFM5" s="180"/>
      <c r="BFN5" s="180"/>
      <c r="BFO5" s="180"/>
      <c r="BFP5" s="180"/>
      <c r="BFQ5" s="180"/>
      <c r="BFR5" s="180"/>
      <c r="BFS5" s="180"/>
      <c r="BFT5" s="180"/>
      <c r="BFU5" s="180"/>
      <c r="BFV5" s="180"/>
      <c r="BFW5" s="180"/>
      <c r="BFX5" s="180"/>
      <c r="BFY5" s="180"/>
      <c r="BFZ5" s="180"/>
      <c r="BGA5" s="180"/>
      <c r="BGB5" s="180"/>
      <c r="BGC5" s="180"/>
      <c r="BGD5" s="180"/>
      <c r="BGE5" s="180"/>
      <c r="BGF5" s="180"/>
      <c r="BGG5" s="180"/>
      <c r="BGH5" s="180"/>
      <c r="BGI5" s="180"/>
      <c r="BGJ5" s="180"/>
      <c r="BGK5" s="180"/>
      <c r="BGL5" s="180"/>
      <c r="BGM5" s="180"/>
      <c r="BGN5" s="180"/>
      <c r="BGO5" s="180"/>
      <c r="BGP5" s="180"/>
      <c r="BGQ5" s="180"/>
      <c r="BGR5" s="180"/>
      <c r="BGS5" s="180"/>
      <c r="BGT5" s="180"/>
      <c r="BGU5" s="180"/>
      <c r="BGV5" s="180"/>
      <c r="BGW5" s="180"/>
      <c r="BGX5" s="180"/>
      <c r="BGY5" s="180"/>
      <c r="BGZ5" s="180"/>
      <c r="BHA5" s="180"/>
      <c r="BHB5" s="180"/>
      <c r="BHC5" s="180"/>
      <c r="BHD5" s="180"/>
      <c r="BHE5" s="180"/>
      <c r="BHF5" s="180"/>
      <c r="BHG5" s="180"/>
      <c r="BHH5" s="180"/>
      <c r="BHI5" s="180"/>
      <c r="BHJ5" s="180"/>
      <c r="BHK5" s="180"/>
      <c r="BHL5" s="180"/>
      <c r="BHM5" s="180"/>
      <c r="BHN5" s="180"/>
      <c r="BHO5" s="180"/>
      <c r="BHP5" s="180"/>
      <c r="BHQ5" s="180"/>
      <c r="BHR5" s="180"/>
      <c r="BHS5" s="180"/>
      <c r="BHT5" s="180"/>
      <c r="BHU5" s="180"/>
      <c r="BHV5" s="180"/>
      <c r="BHW5" s="180"/>
      <c r="BHX5" s="180"/>
      <c r="BHY5" s="180"/>
      <c r="BHZ5" s="180"/>
      <c r="BIA5" s="180"/>
      <c r="BIB5" s="180"/>
      <c r="BIC5" s="180"/>
      <c r="BID5" s="180"/>
      <c r="BIE5" s="180"/>
      <c r="BIF5" s="180"/>
      <c r="BIG5" s="180"/>
      <c r="BIH5" s="180"/>
      <c r="BII5" s="180"/>
      <c r="BIJ5" s="180"/>
      <c r="BIK5" s="180"/>
      <c r="BIL5" s="180"/>
      <c r="BIM5" s="180"/>
      <c r="BIN5" s="180"/>
      <c r="BIO5" s="180"/>
      <c r="BIP5" s="180"/>
      <c r="BIQ5" s="180"/>
      <c r="BIR5" s="180"/>
      <c r="BIS5" s="180"/>
      <c r="BIT5" s="180"/>
      <c r="BIU5" s="180"/>
      <c r="BIV5" s="180"/>
      <c r="BIW5" s="180"/>
      <c r="BIX5" s="180"/>
      <c r="BIY5" s="180"/>
      <c r="BIZ5" s="180"/>
      <c r="BJA5" s="180"/>
      <c r="BJB5" s="180"/>
      <c r="BJC5" s="180"/>
      <c r="BJD5" s="180"/>
      <c r="BJE5" s="180"/>
      <c r="BJF5" s="180"/>
      <c r="BJG5" s="180"/>
      <c r="BJH5" s="180"/>
      <c r="BJI5" s="180"/>
      <c r="BJJ5" s="180"/>
      <c r="BJK5" s="180"/>
      <c r="BJL5" s="180"/>
      <c r="BJM5" s="180"/>
      <c r="BJN5" s="180"/>
      <c r="BJO5" s="180"/>
      <c r="BJP5" s="180"/>
      <c r="BJQ5" s="180"/>
      <c r="BJR5" s="180"/>
      <c r="BJS5" s="180"/>
      <c r="BJT5" s="180"/>
      <c r="BJU5" s="180"/>
      <c r="BJV5" s="180"/>
      <c r="BJW5" s="180"/>
      <c r="BJX5" s="180"/>
      <c r="BJY5" s="180"/>
      <c r="BJZ5" s="180"/>
      <c r="BKA5" s="180"/>
      <c r="BKB5" s="180"/>
      <c r="BKC5" s="180"/>
      <c r="BKD5" s="180"/>
      <c r="BKE5" s="180"/>
      <c r="BKF5" s="180"/>
      <c r="BKG5" s="180"/>
      <c r="BKH5" s="180"/>
      <c r="BKI5" s="180"/>
      <c r="BKJ5" s="180"/>
      <c r="BKK5" s="180"/>
      <c r="BKL5" s="180"/>
      <c r="BKM5" s="180"/>
      <c r="BKN5" s="180"/>
      <c r="BKO5" s="180"/>
      <c r="BKP5" s="180"/>
      <c r="BKQ5" s="180"/>
      <c r="BKR5" s="180"/>
      <c r="BKS5" s="180"/>
      <c r="BKT5" s="180"/>
      <c r="BKU5" s="180"/>
      <c r="BKV5" s="180"/>
      <c r="BKW5" s="180"/>
      <c r="BKX5" s="180"/>
      <c r="BKY5" s="180"/>
      <c r="BKZ5" s="180"/>
      <c r="BLA5" s="180"/>
      <c r="BLB5" s="180"/>
      <c r="BLC5" s="180"/>
      <c r="BLD5" s="180"/>
      <c r="BLE5" s="180"/>
      <c r="BLF5" s="180"/>
      <c r="BLG5" s="180"/>
      <c r="BLH5" s="180"/>
      <c r="BLI5" s="180"/>
      <c r="BLJ5" s="180"/>
      <c r="BLK5" s="180"/>
      <c r="BLL5" s="180"/>
      <c r="BLM5" s="180"/>
      <c r="BLN5" s="180"/>
      <c r="BLO5" s="180"/>
      <c r="BLP5" s="180"/>
      <c r="BLQ5" s="180"/>
      <c r="BLR5" s="180"/>
      <c r="BLS5" s="180"/>
      <c r="BLT5" s="180"/>
      <c r="BLU5" s="180"/>
      <c r="BLV5" s="180"/>
      <c r="BLW5" s="180"/>
      <c r="BLX5" s="180"/>
      <c r="BLY5" s="180"/>
      <c r="BLZ5" s="180"/>
      <c r="BMA5" s="180"/>
      <c r="BMB5" s="180"/>
      <c r="BMC5" s="180"/>
      <c r="BMD5" s="180"/>
      <c r="BME5" s="180"/>
      <c r="BMF5" s="180"/>
      <c r="BMG5" s="180"/>
      <c r="BMH5" s="180"/>
      <c r="BMI5" s="180"/>
      <c r="BMJ5" s="180"/>
      <c r="BMK5" s="180"/>
      <c r="BML5" s="180"/>
      <c r="BMM5" s="180"/>
      <c r="BMN5" s="180"/>
      <c r="BMO5" s="180"/>
      <c r="BMP5" s="180"/>
      <c r="BMQ5" s="180"/>
      <c r="BMR5" s="180"/>
      <c r="BMS5" s="180"/>
      <c r="BMT5" s="180"/>
      <c r="BMU5" s="180"/>
      <c r="BMV5" s="180"/>
      <c r="BMW5" s="180"/>
      <c r="BMX5" s="180"/>
      <c r="BMY5" s="180"/>
      <c r="BMZ5" s="180"/>
      <c r="BNA5" s="180"/>
      <c r="BNB5" s="180"/>
      <c r="BNC5" s="180"/>
      <c r="BND5" s="180"/>
      <c r="BNE5" s="180"/>
      <c r="BNF5" s="180"/>
      <c r="BNG5" s="180"/>
      <c r="BNH5" s="180"/>
      <c r="BNI5" s="180"/>
      <c r="BNJ5" s="180"/>
      <c r="BNK5" s="180"/>
      <c r="BNL5" s="180"/>
      <c r="BNM5" s="180"/>
      <c r="BNN5" s="180"/>
      <c r="BNO5" s="180"/>
      <c r="BNP5" s="180"/>
      <c r="BNQ5" s="180"/>
      <c r="BNR5" s="180"/>
      <c r="BNS5" s="180"/>
      <c r="BNT5" s="180"/>
      <c r="BNU5" s="180"/>
      <c r="BNV5" s="180"/>
      <c r="BNW5" s="180"/>
      <c r="BNX5" s="180"/>
      <c r="BNY5" s="180"/>
      <c r="BNZ5" s="180"/>
      <c r="BOA5" s="180"/>
      <c r="BOB5" s="180"/>
      <c r="BOC5" s="180"/>
      <c r="BOD5" s="180"/>
      <c r="BOE5" s="180"/>
      <c r="BOF5" s="180"/>
      <c r="BOG5" s="180"/>
      <c r="BOH5" s="180"/>
      <c r="BOI5" s="180"/>
      <c r="BOJ5" s="180"/>
      <c r="BOK5" s="180"/>
      <c r="BOL5" s="180"/>
      <c r="BOM5" s="180"/>
      <c r="BON5" s="180"/>
      <c r="BOO5" s="180"/>
      <c r="BOP5" s="180"/>
      <c r="BOQ5" s="180"/>
      <c r="BOR5" s="180"/>
      <c r="BOS5" s="180"/>
      <c r="BOT5" s="180"/>
      <c r="BOU5" s="180"/>
      <c r="BOV5" s="180"/>
      <c r="BOW5" s="180"/>
      <c r="BOX5" s="180"/>
      <c r="BOY5" s="180"/>
      <c r="BOZ5" s="180"/>
      <c r="BPA5" s="180"/>
      <c r="BPB5" s="180"/>
      <c r="BPC5" s="180"/>
      <c r="BPD5" s="180"/>
      <c r="BPE5" s="180"/>
      <c r="BPF5" s="180"/>
      <c r="BPG5" s="180"/>
      <c r="BPH5" s="180"/>
      <c r="BPI5" s="180"/>
      <c r="BPJ5" s="180"/>
      <c r="BPK5" s="180"/>
      <c r="BPL5" s="180"/>
      <c r="BPM5" s="180"/>
      <c r="BPN5" s="180"/>
      <c r="BPO5" s="180"/>
      <c r="BPP5" s="180"/>
      <c r="BPQ5" s="180"/>
      <c r="BPR5" s="180"/>
      <c r="BPS5" s="180"/>
      <c r="BPT5" s="180"/>
      <c r="BPU5" s="180"/>
      <c r="BPV5" s="180"/>
      <c r="BPW5" s="180"/>
      <c r="BPX5" s="180"/>
      <c r="BPY5" s="180"/>
      <c r="BPZ5" s="180"/>
      <c r="BQA5" s="180"/>
      <c r="BQB5" s="180"/>
      <c r="BQC5" s="180"/>
      <c r="BQD5" s="180"/>
      <c r="BQE5" s="180"/>
      <c r="BQF5" s="180"/>
      <c r="BQG5" s="180"/>
      <c r="BQH5" s="180"/>
      <c r="BQI5" s="180"/>
      <c r="BQJ5" s="180"/>
      <c r="BQK5" s="180"/>
      <c r="BQL5" s="180"/>
      <c r="BQM5" s="180"/>
      <c r="BQN5" s="180"/>
      <c r="BQO5" s="180"/>
      <c r="BQP5" s="180"/>
      <c r="BQQ5" s="180"/>
      <c r="BQR5" s="180"/>
      <c r="BQS5" s="180"/>
      <c r="BQT5" s="180"/>
      <c r="BQU5" s="180"/>
      <c r="BQV5" s="180"/>
      <c r="BQW5" s="180"/>
      <c r="BQX5" s="180"/>
      <c r="BQY5" s="180"/>
      <c r="BQZ5" s="180"/>
      <c r="BRA5" s="180"/>
      <c r="BRB5" s="180"/>
      <c r="BRC5" s="180"/>
      <c r="BRD5" s="180"/>
      <c r="BRE5" s="180"/>
      <c r="BRF5" s="180"/>
      <c r="BRG5" s="180"/>
      <c r="BRH5" s="180"/>
      <c r="BRI5" s="180"/>
      <c r="BRJ5" s="180"/>
      <c r="BRK5" s="180"/>
      <c r="BRL5" s="180"/>
      <c r="BRM5" s="180"/>
      <c r="BRN5" s="180"/>
      <c r="BRO5" s="180"/>
      <c r="BRP5" s="180"/>
      <c r="BRQ5" s="180"/>
      <c r="BRR5" s="180"/>
      <c r="BRS5" s="180"/>
      <c r="BRT5" s="180"/>
      <c r="BRU5" s="180"/>
      <c r="BRV5" s="180"/>
      <c r="BRW5" s="180"/>
      <c r="BRX5" s="180"/>
      <c r="BRY5" s="180"/>
      <c r="BRZ5" s="180"/>
      <c r="BSA5" s="180"/>
      <c r="BSB5" s="180"/>
      <c r="BSC5" s="180"/>
      <c r="BSD5" s="180"/>
      <c r="BSE5" s="180"/>
      <c r="BSF5" s="180"/>
      <c r="BSG5" s="180"/>
      <c r="BSH5" s="180"/>
      <c r="BSI5" s="180"/>
      <c r="BSJ5" s="180"/>
      <c r="BSK5" s="180"/>
      <c r="BSL5" s="180"/>
      <c r="BSM5" s="180"/>
      <c r="BSN5" s="180"/>
      <c r="BSO5" s="180"/>
      <c r="BSP5" s="180"/>
      <c r="BSQ5" s="180"/>
      <c r="BSR5" s="180"/>
      <c r="BSS5" s="180"/>
      <c r="BST5" s="180"/>
      <c r="BSU5" s="180"/>
      <c r="BSV5" s="180"/>
      <c r="BSW5" s="180"/>
      <c r="BSX5" s="180"/>
      <c r="BSY5" s="180"/>
      <c r="BSZ5" s="180"/>
      <c r="BTA5" s="180"/>
      <c r="BTB5" s="180"/>
      <c r="BTC5" s="180"/>
      <c r="BTD5" s="180"/>
      <c r="BTE5" s="180"/>
      <c r="BTF5" s="180"/>
      <c r="BTG5" s="180"/>
      <c r="BTH5" s="180"/>
      <c r="BTI5" s="180"/>
      <c r="BTJ5" s="180"/>
      <c r="BTK5" s="180"/>
      <c r="BTL5" s="180"/>
      <c r="BTM5" s="180"/>
      <c r="BTN5" s="180"/>
      <c r="BTO5" s="180"/>
      <c r="BTP5" s="180"/>
      <c r="BTQ5" s="180"/>
      <c r="BTR5" s="180"/>
      <c r="BTS5" s="180"/>
      <c r="BTT5" s="180"/>
      <c r="BTU5" s="180"/>
      <c r="BTV5" s="180"/>
      <c r="BTW5" s="180"/>
      <c r="BTX5" s="180"/>
      <c r="BTY5" s="180"/>
      <c r="BTZ5" s="180"/>
      <c r="BUA5" s="180"/>
      <c r="BUB5" s="180"/>
      <c r="BUC5" s="180"/>
      <c r="BUD5" s="180"/>
      <c r="BUE5" s="180"/>
      <c r="BUF5" s="180"/>
      <c r="BUG5" s="180"/>
      <c r="BUH5" s="180"/>
      <c r="BUI5" s="180"/>
      <c r="BUJ5" s="180"/>
      <c r="BUK5" s="180"/>
      <c r="BUL5" s="180"/>
      <c r="BUM5" s="180"/>
      <c r="BUN5" s="180"/>
      <c r="BUO5" s="180"/>
      <c r="BUP5" s="180"/>
      <c r="BUQ5" s="180"/>
      <c r="BUR5" s="180"/>
      <c r="BUS5" s="180"/>
      <c r="BUT5" s="180"/>
      <c r="BUU5" s="180"/>
      <c r="BUV5" s="180"/>
      <c r="BUW5" s="180"/>
      <c r="BUX5" s="180"/>
      <c r="BUY5" s="180"/>
      <c r="BUZ5" s="180"/>
      <c r="BVA5" s="180"/>
      <c r="BVB5" s="180"/>
      <c r="BVC5" s="180"/>
      <c r="BVD5" s="180"/>
      <c r="BVE5" s="180"/>
      <c r="BVF5" s="180"/>
      <c r="BVG5" s="180"/>
      <c r="BVH5" s="180"/>
      <c r="BVI5" s="180"/>
      <c r="BVJ5" s="180"/>
      <c r="BVK5" s="180"/>
      <c r="BVL5" s="180"/>
      <c r="BVM5" s="180"/>
      <c r="BVN5" s="180"/>
      <c r="BVO5" s="180"/>
      <c r="BVP5" s="180"/>
      <c r="BVQ5" s="180"/>
      <c r="BVR5" s="180"/>
      <c r="BVS5" s="180"/>
      <c r="BVT5" s="180"/>
      <c r="BVU5" s="180"/>
      <c r="BVV5" s="180"/>
      <c r="BVW5" s="180"/>
      <c r="BVX5" s="180"/>
      <c r="BVY5" s="180"/>
      <c r="BVZ5" s="180"/>
      <c r="BWA5" s="180"/>
      <c r="BWB5" s="180"/>
      <c r="BWC5" s="180"/>
      <c r="BWD5" s="180"/>
      <c r="BWE5" s="180"/>
      <c r="BWF5" s="180"/>
      <c r="BWG5" s="180"/>
      <c r="BWH5" s="180"/>
      <c r="BWI5" s="180"/>
      <c r="BWJ5" s="180"/>
      <c r="BWK5" s="180"/>
      <c r="BWL5" s="180"/>
      <c r="BWM5" s="180"/>
      <c r="BWN5" s="180"/>
      <c r="BWO5" s="180"/>
      <c r="BWP5" s="180"/>
      <c r="BWQ5" s="180"/>
      <c r="BWR5" s="180"/>
      <c r="BWS5" s="180"/>
      <c r="BWT5" s="180"/>
      <c r="BWU5" s="180"/>
      <c r="BWV5" s="180"/>
      <c r="BWW5" s="180"/>
      <c r="BWX5" s="180"/>
      <c r="BWY5" s="180"/>
      <c r="BWZ5" s="180"/>
      <c r="BXA5" s="180"/>
      <c r="BXB5" s="180"/>
      <c r="BXC5" s="180"/>
      <c r="BXD5" s="180"/>
      <c r="BXE5" s="180"/>
      <c r="BXF5" s="180"/>
      <c r="BXG5" s="180"/>
      <c r="BXH5" s="180"/>
      <c r="BXI5" s="180"/>
      <c r="BXJ5" s="180"/>
      <c r="BXK5" s="180"/>
      <c r="BXL5" s="180"/>
      <c r="BXM5" s="180"/>
      <c r="BXN5" s="180"/>
      <c r="BXO5" s="180"/>
      <c r="BXP5" s="180"/>
      <c r="BXQ5" s="180"/>
      <c r="BXR5" s="180"/>
      <c r="BXS5" s="180"/>
      <c r="BXT5" s="180"/>
      <c r="BXU5" s="180"/>
      <c r="BXV5" s="180"/>
      <c r="BXW5" s="180"/>
      <c r="BXX5" s="180"/>
      <c r="BXY5" s="180"/>
      <c r="BXZ5" s="180"/>
      <c r="BYA5" s="180"/>
      <c r="BYB5" s="180"/>
      <c r="BYC5" s="180"/>
    </row>
    <row r="6" spans="1:2005" ht="17" thickBot="1">
      <c r="A6" s="1886"/>
      <c r="B6" s="656" t="s">
        <v>59</v>
      </c>
      <c r="C6" s="355">
        <f>C5*C4</f>
        <v>311195.46181818179</v>
      </c>
      <c r="D6" s="356">
        <f>D4*C5</f>
        <v>29116.737571072776</v>
      </c>
      <c r="E6" s="357">
        <f>E5*E4</f>
        <v>8897.2952727272714</v>
      </c>
      <c r="F6" s="356">
        <f>F4*E5</f>
        <v>2672.8246164576226</v>
      </c>
      <c r="G6" s="357">
        <f>G5*G4</f>
        <v>3326.5483636363633</v>
      </c>
      <c r="H6" s="356">
        <f>H4*G5</f>
        <v>1609.1673020326552</v>
      </c>
      <c r="I6" s="355">
        <f>I5*I4</f>
        <v>4209.5127272727268</v>
      </c>
      <c r="J6" s="356">
        <f>J4*I5</f>
        <v>896.24222818221301</v>
      </c>
      <c r="K6" s="412">
        <f>C6+E6+G6+I6</f>
        <v>327628.81818181818</v>
      </c>
      <c r="L6" s="751">
        <f>SQRT(J6^2+H6^2+F6^2+D6^2)</f>
        <v>29297.11705527646</v>
      </c>
      <c r="M6" s="358">
        <f>M4*M5</f>
        <v>69296.661718275267</v>
      </c>
      <c r="N6" s="353">
        <f>N4*M5</f>
        <v>3761.7821298504718</v>
      </c>
      <c r="O6" s="357">
        <f>O4*O5</f>
        <v>10758</v>
      </c>
      <c r="P6" s="357">
        <f>P4*O5</f>
        <v>3597.3379046178011</v>
      </c>
      <c r="Q6" s="636">
        <f>O6+M6+K6</f>
        <v>407683.47990009346</v>
      </c>
      <c r="R6" s="757">
        <f>SQRT(P6^2+N6^2+L6^2)</f>
        <v>29755.888703633656</v>
      </c>
      <c r="S6" s="355">
        <f t="shared" ref="S6:X6" si="0">S7*2000</f>
        <v>212821.40000000005</v>
      </c>
      <c r="T6" s="759">
        <f t="shared" si="0"/>
        <v>5603.8245709713465</v>
      </c>
      <c r="U6" s="355">
        <f t="shared" si="0"/>
        <v>8588.2000000000007</v>
      </c>
      <c r="V6" s="759">
        <f t="shared" si="0"/>
        <v>1504.7274984011085</v>
      </c>
      <c r="W6" s="355">
        <f t="shared" si="0"/>
        <v>310370.69400000002</v>
      </c>
      <c r="X6" s="350">
        <f t="shared" si="0"/>
        <v>31037.069400000004</v>
      </c>
      <c r="Y6" s="647">
        <f>W6+U6+S6</f>
        <v>531780.29400000011</v>
      </c>
      <c r="Z6" s="771">
        <f>SQRT(T6^2+V6^2+X6^2)</f>
        <v>31574.779993011562</v>
      </c>
      <c r="AA6" s="1492">
        <v>237696</v>
      </c>
      <c r="AB6" s="771">
        <v>74929</v>
      </c>
      <c r="AC6" s="648">
        <f>AA6+Y6</f>
        <v>769476.29400000011</v>
      </c>
      <c r="AD6" s="1597">
        <f>SQRT(AB6^2+Z6^2)</f>
        <v>81310.034882584354</v>
      </c>
      <c r="AE6" s="1600"/>
      <c r="AF6" s="180"/>
      <c r="AG6" s="180"/>
      <c r="AH6" s="180"/>
      <c r="AI6" s="180"/>
      <c r="AJ6" s="180"/>
      <c r="AK6" s="180"/>
      <c r="AL6" s="180"/>
      <c r="AM6" s="180"/>
      <c r="AN6" s="180"/>
      <c r="AO6" s="180"/>
      <c r="AP6" s="180"/>
      <c r="AQ6" s="180"/>
      <c r="AR6" s="180"/>
      <c r="AS6" s="180"/>
      <c r="AT6" s="180"/>
      <c r="AU6" s="180"/>
      <c r="AV6" s="180"/>
      <c r="AW6" s="180"/>
      <c r="AX6" s="180"/>
      <c r="AY6" s="180"/>
      <c r="AZ6" s="180"/>
      <c r="BA6" s="180"/>
      <c r="BB6" s="180"/>
      <c r="BC6" s="180"/>
      <c r="BD6" s="180"/>
      <c r="BE6" s="180"/>
      <c r="BF6" s="180"/>
      <c r="BG6" s="180"/>
      <c r="BH6" s="180"/>
      <c r="BI6" s="180"/>
      <c r="BJ6" s="180"/>
      <c r="BK6" s="180"/>
      <c r="BL6" s="180"/>
      <c r="BM6" s="180"/>
      <c r="BN6" s="180"/>
      <c r="BO6" s="180"/>
      <c r="BP6" s="180"/>
      <c r="BQ6" s="180"/>
      <c r="BR6" s="180"/>
      <c r="BS6" s="180"/>
      <c r="BT6" s="180"/>
      <c r="BU6" s="180"/>
      <c r="BV6" s="180"/>
      <c r="BW6" s="180"/>
      <c r="BX6" s="180"/>
      <c r="BY6" s="180"/>
      <c r="BZ6" s="180"/>
      <c r="CA6" s="180"/>
      <c r="CB6" s="180"/>
      <c r="CC6" s="180"/>
      <c r="CD6" s="180"/>
      <c r="CE6" s="180"/>
      <c r="CF6" s="180"/>
      <c r="CG6" s="180"/>
      <c r="CH6" s="180"/>
      <c r="CI6" s="180"/>
      <c r="CJ6" s="180"/>
      <c r="CK6" s="180"/>
      <c r="CL6" s="180"/>
      <c r="CM6" s="180"/>
      <c r="CN6" s="180"/>
      <c r="CO6" s="180"/>
      <c r="CP6" s="180"/>
      <c r="CQ6" s="180"/>
      <c r="CR6" s="180"/>
      <c r="CS6" s="180"/>
      <c r="CT6" s="180"/>
      <c r="CU6" s="180"/>
      <c r="CV6" s="180"/>
      <c r="CW6" s="180"/>
      <c r="CX6" s="180"/>
      <c r="CY6" s="180"/>
      <c r="CZ6" s="180"/>
      <c r="DA6" s="180"/>
      <c r="DB6" s="180"/>
      <c r="DC6" s="180"/>
      <c r="DD6" s="180"/>
      <c r="DE6" s="180"/>
      <c r="DF6" s="180"/>
      <c r="DG6" s="180"/>
      <c r="DH6" s="180"/>
      <c r="DI6" s="180"/>
      <c r="DJ6" s="180"/>
      <c r="DK6" s="180"/>
      <c r="DL6" s="180"/>
      <c r="DM6" s="180"/>
      <c r="DN6" s="180"/>
      <c r="DO6" s="180"/>
      <c r="DP6" s="180"/>
      <c r="DQ6" s="180"/>
      <c r="DR6" s="180"/>
      <c r="DS6" s="180"/>
      <c r="DT6" s="180"/>
      <c r="DU6" s="180"/>
      <c r="DV6" s="180"/>
      <c r="DW6" s="180"/>
      <c r="DX6" s="180"/>
      <c r="DY6" s="180"/>
      <c r="DZ6" s="180"/>
      <c r="EA6" s="180"/>
      <c r="EB6" s="180"/>
      <c r="EC6" s="180"/>
      <c r="ED6" s="180"/>
      <c r="EE6" s="180"/>
      <c r="EF6" s="180"/>
      <c r="EG6" s="180"/>
      <c r="EH6" s="180"/>
      <c r="EI6" s="180"/>
      <c r="EJ6" s="180"/>
      <c r="EK6" s="180"/>
      <c r="EL6" s="180"/>
      <c r="EM6" s="180"/>
      <c r="EN6" s="180"/>
      <c r="EO6" s="180"/>
      <c r="EP6" s="180"/>
      <c r="EQ6" s="180"/>
      <c r="ER6" s="180"/>
      <c r="ES6" s="180"/>
      <c r="ET6" s="180"/>
      <c r="EU6" s="180"/>
      <c r="EV6" s="180"/>
      <c r="EW6" s="180"/>
      <c r="EX6" s="180"/>
      <c r="EY6" s="180"/>
      <c r="EZ6" s="180"/>
      <c r="FA6" s="180"/>
      <c r="FB6" s="180"/>
      <c r="FC6" s="180"/>
      <c r="FD6" s="180"/>
      <c r="FE6" s="180"/>
      <c r="FF6" s="180"/>
      <c r="FG6" s="180"/>
      <c r="FH6" s="180"/>
      <c r="FI6" s="180"/>
      <c r="FJ6" s="180"/>
      <c r="FK6" s="180"/>
      <c r="FL6" s="180"/>
      <c r="FM6" s="180"/>
      <c r="FN6" s="180"/>
      <c r="FO6" s="180"/>
      <c r="FP6" s="180"/>
      <c r="FQ6" s="180"/>
      <c r="FR6" s="180"/>
      <c r="FS6" s="180"/>
      <c r="FT6" s="180"/>
      <c r="FU6" s="180"/>
      <c r="FV6" s="180"/>
      <c r="FW6" s="180"/>
      <c r="FX6" s="180"/>
      <c r="FY6" s="180"/>
      <c r="FZ6" s="180"/>
      <c r="GA6" s="180"/>
      <c r="GB6" s="180"/>
      <c r="GC6" s="180"/>
      <c r="GD6" s="180"/>
      <c r="GE6" s="180"/>
      <c r="GF6" s="180"/>
      <c r="GG6" s="180"/>
      <c r="GH6" s="180"/>
      <c r="GI6" s="180"/>
      <c r="GJ6" s="180"/>
      <c r="GK6" s="180"/>
      <c r="GL6" s="180"/>
      <c r="GM6" s="180"/>
      <c r="GN6" s="180"/>
      <c r="GO6" s="180"/>
      <c r="GP6" s="180"/>
      <c r="GQ6" s="180"/>
      <c r="GR6" s="180"/>
      <c r="GS6" s="180"/>
      <c r="GT6" s="180"/>
      <c r="GU6" s="180"/>
      <c r="GV6" s="180"/>
      <c r="GW6" s="180"/>
      <c r="GX6" s="180"/>
      <c r="GY6" s="180"/>
      <c r="GZ6" s="180"/>
      <c r="HA6" s="180"/>
      <c r="HB6" s="180"/>
      <c r="HC6" s="180"/>
      <c r="HD6" s="180"/>
      <c r="HE6" s="180"/>
      <c r="HF6" s="180"/>
      <c r="HG6" s="180"/>
      <c r="HH6" s="180"/>
      <c r="HI6" s="180"/>
      <c r="HJ6" s="180"/>
      <c r="HK6" s="180"/>
      <c r="HL6" s="180"/>
      <c r="HM6" s="180"/>
      <c r="HN6" s="180"/>
      <c r="HO6" s="180"/>
      <c r="HP6" s="180"/>
      <c r="HQ6" s="180"/>
      <c r="HR6" s="180"/>
      <c r="HS6" s="180"/>
      <c r="HT6" s="180"/>
      <c r="HU6" s="180"/>
      <c r="HV6" s="180"/>
      <c r="HW6" s="180"/>
      <c r="HX6" s="180"/>
      <c r="HY6" s="180"/>
      <c r="HZ6" s="180"/>
      <c r="IA6" s="180"/>
      <c r="IB6" s="180"/>
      <c r="IC6" s="180"/>
      <c r="ID6" s="180"/>
      <c r="IE6" s="180"/>
      <c r="IF6" s="180"/>
      <c r="IG6" s="180"/>
      <c r="IH6" s="180"/>
      <c r="II6" s="180"/>
      <c r="IJ6" s="180"/>
      <c r="IK6" s="180"/>
      <c r="IL6" s="180"/>
      <c r="IM6" s="180"/>
      <c r="IN6" s="180"/>
      <c r="IO6" s="180"/>
      <c r="IP6" s="180"/>
      <c r="IQ6" s="180"/>
      <c r="IR6" s="180"/>
      <c r="IS6" s="180"/>
      <c r="IT6" s="180"/>
      <c r="IU6" s="180"/>
      <c r="IV6" s="180"/>
      <c r="IW6" s="180"/>
      <c r="IX6" s="180"/>
      <c r="IY6" s="180"/>
      <c r="IZ6" s="180"/>
      <c r="JA6" s="180"/>
      <c r="JB6" s="180"/>
      <c r="JC6" s="180"/>
      <c r="JD6" s="180"/>
      <c r="JE6" s="180"/>
      <c r="JF6" s="180"/>
      <c r="JG6" s="180"/>
      <c r="JH6" s="180"/>
      <c r="JI6" s="180"/>
      <c r="JJ6" s="180"/>
      <c r="JK6" s="180"/>
      <c r="JL6" s="180"/>
      <c r="JM6" s="180"/>
      <c r="JN6" s="180"/>
      <c r="JO6" s="180"/>
      <c r="JP6" s="180"/>
      <c r="JQ6" s="180"/>
      <c r="JR6" s="180"/>
      <c r="JS6" s="180"/>
      <c r="JT6" s="180"/>
      <c r="JU6" s="180"/>
      <c r="JV6" s="180"/>
      <c r="JW6" s="180"/>
      <c r="JX6" s="180"/>
      <c r="JY6" s="180"/>
      <c r="JZ6" s="180"/>
      <c r="KA6" s="180"/>
      <c r="KB6" s="180"/>
      <c r="KC6" s="180"/>
      <c r="KD6" s="180"/>
      <c r="KE6" s="180"/>
      <c r="KF6" s="180"/>
      <c r="KG6" s="180"/>
      <c r="KH6" s="180"/>
      <c r="KI6" s="180"/>
      <c r="KJ6" s="180"/>
      <c r="KK6" s="180"/>
      <c r="KL6" s="180"/>
      <c r="KM6" s="180"/>
      <c r="KN6" s="180"/>
      <c r="KO6" s="180"/>
      <c r="KP6" s="180"/>
      <c r="KQ6" s="180"/>
      <c r="KR6" s="180"/>
      <c r="KS6" s="180"/>
      <c r="KT6" s="180"/>
      <c r="KU6" s="180"/>
      <c r="KV6" s="180"/>
      <c r="KW6" s="180"/>
      <c r="KX6" s="180"/>
      <c r="KY6" s="180"/>
      <c r="KZ6" s="180"/>
      <c r="LA6" s="180"/>
      <c r="LB6" s="180"/>
      <c r="LC6" s="180"/>
      <c r="LD6" s="180"/>
      <c r="LE6" s="180"/>
      <c r="LF6" s="180"/>
      <c r="LG6" s="180"/>
      <c r="LH6" s="180"/>
      <c r="LI6" s="180"/>
      <c r="LJ6" s="180"/>
      <c r="LK6" s="180"/>
      <c r="LL6" s="180"/>
      <c r="LM6" s="180"/>
      <c r="LN6" s="180"/>
      <c r="LO6" s="180"/>
      <c r="LP6" s="180"/>
      <c r="LQ6" s="180"/>
      <c r="LR6" s="180"/>
      <c r="LS6" s="180"/>
      <c r="LT6" s="180"/>
      <c r="LU6" s="180"/>
      <c r="LV6" s="180"/>
      <c r="LW6" s="180"/>
      <c r="LX6" s="180"/>
      <c r="LY6" s="180"/>
      <c r="LZ6" s="180"/>
      <c r="MA6" s="180"/>
      <c r="MB6" s="180"/>
      <c r="MC6" s="180"/>
      <c r="MD6" s="180"/>
      <c r="ME6" s="180"/>
      <c r="MF6" s="180"/>
      <c r="MG6" s="180"/>
      <c r="MH6" s="180"/>
      <c r="MI6" s="180"/>
      <c r="MJ6" s="180"/>
      <c r="MK6" s="180"/>
      <c r="ML6" s="180"/>
      <c r="MM6" s="180"/>
      <c r="MN6" s="180"/>
      <c r="MO6" s="180"/>
      <c r="MP6" s="180"/>
      <c r="MQ6" s="180"/>
      <c r="MR6" s="180"/>
      <c r="MS6" s="180"/>
      <c r="MT6" s="180"/>
      <c r="MU6" s="180"/>
      <c r="MV6" s="180"/>
      <c r="MW6" s="180"/>
      <c r="MX6" s="180"/>
      <c r="MY6" s="180"/>
      <c r="MZ6" s="180"/>
      <c r="NA6" s="180"/>
      <c r="NB6" s="180"/>
      <c r="NC6" s="180"/>
      <c r="ND6" s="180"/>
      <c r="NE6" s="180"/>
      <c r="NF6" s="180"/>
      <c r="NG6" s="180"/>
      <c r="NH6" s="180"/>
      <c r="NI6" s="180"/>
      <c r="NJ6" s="180"/>
      <c r="NK6" s="180"/>
      <c r="NL6" s="180"/>
      <c r="NM6" s="180"/>
      <c r="NN6" s="180"/>
      <c r="NO6" s="180"/>
      <c r="NP6" s="180"/>
      <c r="NQ6" s="180"/>
      <c r="NR6" s="180"/>
      <c r="NS6" s="180"/>
      <c r="NT6" s="180"/>
      <c r="NU6" s="180"/>
      <c r="NV6" s="180"/>
      <c r="NW6" s="180"/>
      <c r="NX6" s="180"/>
      <c r="NY6" s="180"/>
      <c r="NZ6" s="180"/>
      <c r="OA6" s="180"/>
      <c r="OB6" s="180"/>
      <c r="OC6" s="180"/>
      <c r="OD6" s="180"/>
      <c r="OE6" s="180"/>
      <c r="OF6" s="180"/>
      <c r="OG6" s="180"/>
      <c r="OH6" s="180"/>
      <c r="OI6" s="180"/>
      <c r="OJ6" s="180"/>
      <c r="OK6" s="180"/>
      <c r="OL6" s="180"/>
      <c r="OM6" s="180"/>
      <c r="ON6" s="180"/>
      <c r="OO6" s="180"/>
      <c r="OP6" s="180"/>
      <c r="OQ6" s="180"/>
      <c r="OR6" s="180"/>
      <c r="OS6" s="180"/>
      <c r="OT6" s="180"/>
      <c r="OU6" s="180"/>
      <c r="OV6" s="180"/>
      <c r="OW6" s="180"/>
      <c r="OX6" s="180"/>
      <c r="OY6" s="180"/>
      <c r="OZ6" s="180"/>
      <c r="PA6" s="180"/>
      <c r="PB6" s="180"/>
      <c r="PC6" s="180"/>
      <c r="PD6" s="180"/>
      <c r="PE6" s="180"/>
      <c r="PF6" s="180"/>
      <c r="PG6" s="180"/>
      <c r="PH6" s="180"/>
      <c r="PI6" s="180"/>
      <c r="PJ6" s="180"/>
      <c r="PK6" s="180"/>
      <c r="PL6" s="180"/>
      <c r="PM6" s="180"/>
      <c r="PN6" s="180"/>
      <c r="PO6" s="180"/>
      <c r="PP6" s="180"/>
      <c r="PQ6" s="180"/>
      <c r="PR6" s="180"/>
      <c r="PS6" s="180"/>
      <c r="PT6" s="180"/>
      <c r="PU6" s="180"/>
      <c r="PV6" s="180"/>
      <c r="PW6" s="180"/>
      <c r="PX6" s="180"/>
      <c r="PY6" s="180"/>
      <c r="PZ6" s="180"/>
      <c r="QA6" s="180"/>
      <c r="QB6" s="180"/>
      <c r="QC6" s="180"/>
      <c r="QD6" s="180"/>
      <c r="QE6" s="180"/>
      <c r="QF6" s="180"/>
      <c r="QG6" s="180"/>
      <c r="QH6" s="180"/>
      <c r="QI6" s="180"/>
      <c r="QJ6" s="180"/>
      <c r="QK6" s="180"/>
      <c r="QL6" s="180"/>
      <c r="QM6" s="180"/>
      <c r="QN6" s="180"/>
      <c r="QO6" s="180"/>
      <c r="QP6" s="180"/>
      <c r="QQ6" s="180"/>
      <c r="QR6" s="180"/>
      <c r="QS6" s="180"/>
      <c r="QT6" s="180"/>
      <c r="QU6" s="180"/>
      <c r="QV6" s="180"/>
      <c r="QW6" s="180"/>
      <c r="QX6" s="180"/>
      <c r="QY6" s="180"/>
      <c r="QZ6" s="180"/>
      <c r="RA6" s="180"/>
      <c r="RB6" s="180"/>
      <c r="RC6" s="180"/>
      <c r="RD6" s="180"/>
      <c r="RE6" s="180"/>
      <c r="RF6" s="180"/>
      <c r="RG6" s="180"/>
      <c r="RH6" s="180"/>
      <c r="RI6" s="180"/>
      <c r="RJ6" s="180"/>
      <c r="RK6" s="180"/>
      <c r="RL6" s="180"/>
      <c r="RM6" s="180"/>
      <c r="RN6" s="180"/>
      <c r="RO6" s="180"/>
      <c r="RP6" s="180"/>
      <c r="RQ6" s="180"/>
      <c r="RR6" s="180"/>
      <c r="RS6" s="180"/>
      <c r="RT6" s="180"/>
      <c r="RU6" s="180"/>
      <c r="RV6" s="180"/>
      <c r="RW6" s="180"/>
      <c r="RX6" s="180"/>
      <c r="RY6" s="180"/>
      <c r="RZ6" s="180"/>
      <c r="SA6" s="180"/>
      <c r="SB6" s="180"/>
      <c r="SC6" s="180"/>
      <c r="SD6" s="180"/>
      <c r="SE6" s="180"/>
      <c r="SF6" s="180"/>
      <c r="SG6" s="180"/>
      <c r="SH6" s="180"/>
      <c r="SI6" s="180"/>
      <c r="SJ6" s="180"/>
      <c r="SK6" s="180"/>
      <c r="SL6" s="180"/>
      <c r="SM6" s="180"/>
      <c r="SN6" s="180"/>
      <c r="SO6" s="180"/>
      <c r="SP6" s="180"/>
      <c r="SQ6" s="180"/>
      <c r="SR6" s="180"/>
      <c r="SS6" s="180"/>
      <c r="ST6" s="180"/>
      <c r="SU6" s="180"/>
      <c r="SV6" s="180"/>
      <c r="SW6" s="180"/>
      <c r="SX6" s="180"/>
      <c r="SY6" s="180"/>
      <c r="SZ6" s="180"/>
      <c r="TA6" s="180"/>
      <c r="TB6" s="180"/>
      <c r="TC6" s="180"/>
      <c r="TD6" s="180"/>
      <c r="TE6" s="180"/>
      <c r="TF6" s="180"/>
      <c r="TG6" s="180"/>
      <c r="TH6" s="180"/>
      <c r="TI6" s="180"/>
      <c r="TJ6" s="180"/>
      <c r="TK6" s="180"/>
      <c r="TL6" s="180"/>
      <c r="TM6" s="180"/>
      <c r="TN6" s="180"/>
      <c r="TO6" s="180"/>
      <c r="TP6" s="180"/>
      <c r="TQ6" s="180"/>
      <c r="TR6" s="180"/>
      <c r="TS6" s="180"/>
      <c r="TT6" s="180"/>
      <c r="TU6" s="180"/>
      <c r="TV6" s="180"/>
      <c r="TW6" s="180"/>
      <c r="TX6" s="180"/>
      <c r="TY6" s="180"/>
      <c r="TZ6" s="180"/>
      <c r="UA6" s="180"/>
      <c r="UB6" s="180"/>
      <c r="UC6" s="180"/>
      <c r="UD6" s="180"/>
      <c r="UE6" s="180"/>
      <c r="UF6" s="180"/>
      <c r="UG6" s="180"/>
      <c r="UH6" s="180"/>
      <c r="UI6" s="180"/>
      <c r="UJ6" s="180"/>
      <c r="UK6" s="180"/>
      <c r="UL6" s="180"/>
      <c r="UM6" s="180"/>
      <c r="UN6" s="180"/>
      <c r="UO6" s="180"/>
      <c r="UP6" s="180"/>
      <c r="UQ6" s="180"/>
      <c r="UR6" s="180"/>
      <c r="US6" s="180"/>
      <c r="UT6" s="180"/>
      <c r="UU6" s="180"/>
      <c r="UV6" s="180"/>
      <c r="UW6" s="180"/>
      <c r="UX6" s="180"/>
      <c r="UY6" s="180"/>
      <c r="UZ6" s="180"/>
      <c r="VA6" s="180"/>
      <c r="VB6" s="180"/>
      <c r="VC6" s="180"/>
      <c r="VD6" s="180"/>
      <c r="VE6" s="180"/>
      <c r="VF6" s="180"/>
      <c r="VG6" s="180"/>
      <c r="VH6" s="180"/>
      <c r="VI6" s="180"/>
      <c r="VJ6" s="180"/>
      <c r="VK6" s="180"/>
      <c r="VL6" s="180"/>
      <c r="VM6" s="180"/>
      <c r="VN6" s="180"/>
      <c r="VO6" s="180"/>
      <c r="VP6" s="180"/>
      <c r="VQ6" s="180"/>
      <c r="VR6" s="180"/>
      <c r="VS6" s="180"/>
      <c r="VT6" s="180"/>
      <c r="VU6" s="180"/>
      <c r="VV6" s="180"/>
      <c r="VW6" s="180"/>
      <c r="VX6" s="180"/>
      <c r="VY6" s="180"/>
      <c r="VZ6" s="180"/>
      <c r="WA6" s="180"/>
      <c r="WB6" s="180"/>
      <c r="WC6" s="180"/>
      <c r="WD6" s="180"/>
      <c r="WE6" s="180"/>
      <c r="WF6" s="180"/>
      <c r="WG6" s="180"/>
      <c r="WH6" s="180"/>
      <c r="WI6" s="180"/>
      <c r="WJ6" s="180"/>
      <c r="WK6" s="180"/>
      <c r="WL6" s="180"/>
      <c r="WM6" s="180"/>
      <c r="WN6" s="180"/>
      <c r="WO6" s="180"/>
      <c r="WP6" s="180"/>
      <c r="WQ6" s="180"/>
      <c r="WR6" s="180"/>
      <c r="WS6" s="180"/>
      <c r="WT6" s="180"/>
      <c r="WU6" s="180"/>
      <c r="WV6" s="180"/>
      <c r="WW6" s="180"/>
      <c r="WX6" s="180"/>
      <c r="WY6" s="180"/>
      <c r="WZ6" s="180"/>
      <c r="XA6" s="180"/>
      <c r="XB6" s="180"/>
      <c r="XC6" s="180"/>
      <c r="XD6" s="180"/>
      <c r="XE6" s="180"/>
      <c r="XF6" s="180"/>
      <c r="XG6" s="180"/>
      <c r="XH6" s="180"/>
      <c r="XI6" s="180"/>
      <c r="XJ6" s="180"/>
      <c r="XK6" s="180"/>
      <c r="XL6" s="180"/>
      <c r="XM6" s="180"/>
      <c r="XN6" s="180"/>
      <c r="XO6" s="180"/>
      <c r="XP6" s="180"/>
      <c r="XQ6" s="180"/>
      <c r="XR6" s="180"/>
      <c r="XS6" s="180"/>
      <c r="XT6" s="180"/>
      <c r="XU6" s="180"/>
      <c r="XV6" s="180"/>
      <c r="XW6" s="180"/>
      <c r="XX6" s="180"/>
      <c r="XY6" s="180"/>
      <c r="XZ6" s="180"/>
      <c r="YA6" s="180"/>
      <c r="YB6" s="180"/>
      <c r="YC6" s="180"/>
      <c r="YD6" s="180"/>
      <c r="YE6" s="180"/>
      <c r="YF6" s="180"/>
      <c r="YG6" s="180"/>
      <c r="YH6" s="180"/>
      <c r="YI6" s="180"/>
      <c r="YJ6" s="180"/>
      <c r="YK6" s="180"/>
      <c r="YL6" s="180"/>
      <c r="YM6" s="180"/>
      <c r="YN6" s="180"/>
      <c r="YO6" s="180"/>
      <c r="YP6" s="180"/>
      <c r="YQ6" s="180"/>
      <c r="YR6" s="180"/>
      <c r="YS6" s="180"/>
      <c r="YT6" s="180"/>
      <c r="YU6" s="180"/>
      <c r="YV6" s="180"/>
      <c r="YW6" s="180"/>
      <c r="YX6" s="180"/>
      <c r="YY6" s="180"/>
      <c r="YZ6" s="180"/>
      <c r="ZA6" s="180"/>
      <c r="ZB6" s="180"/>
      <c r="ZC6" s="180"/>
      <c r="ZD6" s="180"/>
      <c r="ZE6" s="180"/>
      <c r="ZF6" s="180"/>
      <c r="ZG6" s="180"/>
      <c r="ZH6" s="180"/>
      <c r="ZI6" s="180"/>
      <c r="ZJ6" s="180"/>
      <c r="ZK6" s="180"/>
      <c r="ZL6" s="180"/>
      <c r="ZM6" s="180"/>
      <c r="ZN6" s="180"/>
      <c r="ZO6" s="180"/>
      <c r="ZP6" s="180"/>
      <c r="ZQ6" s="180"/>
      <c r="ZR6" s="180"/>
      <c r="ZS6" s="180"/>
      <c r="ZT6" s="180"/>
      <c r="ZU6" s="180"/>
      <c r="ZV6" s="180"/>
      <c r="ZW6" s="180"/>
      <c r="ZX6" s="180"/>
      <c r="ZY6" s="180"/>
      <c r="ZZ6" s="180"/>
      <c r="AAA6" s="180"/>
      <c r="AAB6" s="180"/>
      <c r="AAC6" s="180"/>
      <c r="AAD6" s="180"/>
      <c r="AAE6" s="180"/>
      <c r="AAF6" s="180"/>
      <c r="AAG6" s="180"/>
      <c r="AAH6" s="180"/>
      <c r="AAI6" s="180"/>
      <c r="AAJ6" s="180"/>
      <c r="AAK6" s="180"/>
      <c r="AAL6" s="180"/>
      <c r="AAM6" s="180"/>
      <c r="AAN6" s="180"/>
      <c r="AAO6" s="180"/>
      <c r="AAP6" s="180"/>
      <c r="AAQ6" s="180"/>
      <c r="AAR6" s="180"/>
      <c r="AAS6" s="180"/>
      <c r="AAT6" s="180"/>
      <c r="AAU6" s="180"/>
      <c r="AAV6" s="180"/>
      <c r="AAW6" s="180"/>
      <c r="AAX6" s="180"/>
      <c r="AAY6" s="180"/>
      <c r="AAZ6" s="180"/>
      <c r="ABA6" s="180"/>
      <c r="ABB6" s="180"/>
      <c r="ABC6" s="180"/>
      <c r="ABD6" s="180"/>
      <c r="ABE6" s="180"/>
      <c r="ABF6" s="180"/>
      <c r="ABG6" s="180"/>
      <c r="ABH6" s="180"/>
      <c r="ABI6" s="180"/>
      <c r="ABJ6" s="180"/>
      <c r="ABK6" s="180"/>
      <c r="ABL6" s="180"/>
      <c r="ABM6" s="180"/>
      <c r="ABN6" s="180"/>
      <c r="ABO6" s="180"/>
      <c r="ABP6" s="180"/>
      <c r="ABQ6" s="180"/>
      <c r="ABR6" s="180"/>
      <c r="ABS6" s="180"/>
      <c r="ABT6" s="180"/>
      <c r="ABU6" s="180"/>
      <c r="ABV6" s="180"/>
      <c r="ABW6" s="180"/>
      <c r="ABX6" s="180"/>
      <c r="ABY6" s="180"/>
      <c r="ABZ6" s="180"/>
      <c r="ACA6" s="180"/>
      <c r="ACB6" s="180"/>
      <c r="ACC6" s="180"/>
      <c r="ACD6" s="180"/>
      <c r="ACE6" s="180"/>
      <c r="ACF6" s="180"/>
      <c r="ACG6" s="180"/>
      <c r="ACH6" s="180"/>
      <c r="ACI6" s="180"/>
      <c r="ACJ6" s="180"/>
      <c r="ACK6" s="180"/>
      <c r="ACL6" s="180"/>
      <c r="ACM6" s="180"/>
      <c r="ACN6" s="180"/>
      <c r="ACO6" s="180"/>
      <c r="ACP6" s="180"/>
      <c r="ACQ6" s="180"/>
      <c r="ACR6" s="180"/>
      <c r="ACS6" s="180"/>
      <c r="ACT6" s="180"/>
      <c r="ACU6" s="180"/>
      <c r="ACV6" s="180"/>
      <c r="ACW6" s="180"/>
      <c r="ACX6" s="180"/>
      <c r="ACY6" s="180"/>
      <c r="ACZ6" s="180"/>
      <c r="ADA6" s="180"/>
      <c r="ADB6" s="180"/>
      <c r="ADC6" s="180"/>
      <c r="ADD6" s="180"/>
      <c r="ADE6" s="180"/>
      <c r="ADF6" s="180"/>
      <c r="ADG6" s="180"/>
      <c r="ADH6" s="180"/>
      <c r="ADI6" s="180"/>
      <c r="ADJ6" s="180"/>
      <c r="ADK6" s="180"/>
      <c r="ADL6" s="180"/>
      <c r="ADM6" s="180"/>
      <c r="ADN6" s="180"/>
      <c r="ADO6" s="180"/>
      <c r="ADP6" s="180"/>
      <c r="ADQ6" s="180"/>
      <c r="ADR6" s="180"/>
      <c r="ADS6" s="180"/>
      <c r="ADT6" s="180"/>
      <c r="ADU6" s="180"/>
      <c r="ADV6" s="180"/>
      <c r="ADW6" s="180"/>
      <c r="ADX6" s="180"/>
      <c r="ADY6" s="180"/>
      <c r="ADZ6" s="180"/>
      <c r="AEA6" s="180"/>
      <c r="AEB6" s="180"/>
      <c r="AEC6" s="180"/>
      <c r="AED6" s="180"/>
      <c r="AEE6" s="180"/>
      <c r="AEF6" s="180"/>
      <c r="AEG6" s="180"/>
      <c r="AEH6" s="180"/>
      <c r="AEI6" s="180"/>
      <c r="AEJ6" s="180"/>
      <c r="AEK6" s="180"/>
      <c r="AEL6" s="180"/>
      <c r="AEM6" s="180"/>
      <c r="AEN6" s="180"/>
      <c r="AEO6" s="180"/>
      <c r="AEP6" s="180"/>
      <c r="AEQ6" s="180"/>
      <c r="AER6" s="180"/>
      <c r="AES6" s="180"/>
      <c r="AET6" s="180"/>
      <c r="AEU6" s="180"/>
      <c r="AEV6" s="180"/>
      <c r="AEW6" s="180"/>
      <c r="AEX6" s="180"/>
      <c r="AEY6" s="180"/>
      <c r="AEZ6" s="180"/>
      <c r="AFA6" s="180"/>
      <c r="AFB6" s="180"/>
      <c r="AFC6" s="180"/>
      <c r="AFD6" s="180"/>
      <c r="AFE6" s="180"/>
      <c r="AFF6" s="180"/>
      <c r="AFG6" s="180"/>
      <c r="AFH6" s="180"/>
      <c r="AFI6" s="180"/>
      <c r="AFJ6" s="180"/>
      <c r="AFK6" s="180"/>
      <c r="AFL6" s="180"/>
      <c r="AFM6" s="180"/>
      <c r="AFN6" s="180"/>
      <c r="AFO6" s="180"/>
      <c r="AFP6" s="180"/>
      <c r="AFQ6" s="180"/>
      <c r="AFR6" s="180"/>
      <c r="AFS6" s="180"/>
      <c r="AFT6" s="180"/>
      <c r="AFU6" s="180"/>
      <c r="AFV6" s="180"/>
      <c r="AFW6" s="180"/>
      <c r="AFX6" s="180"/>
      <c r="AFY6" s="180"/>
      <c r="AFZ6" s="180"/>
      <c r="AGA6" s="180"/>
      <c r="AGB6" s="180"/>
      <c r="AGC6" s="180"/>
      <c r="AGD6" s="180"/>
      <c r="AGE6" s="180"/>
      <c r="AGF6" s="180"/>
      <c r="AGG6" s="180"/>
      <c r="AGH6" s="180"/>
      <c r="AGI6" s="180"/>
      <c r="AGJ6" s="180"/>
      <c r="AGK6" s="180"/>
      <c r="AGL6" s="180"/>
      <c r="AGM6" s="180"/>
      <c r="AGN6" s="180"/>
      <c r="AGO6" s="180"/>
      <c r="AGP6" s="180"/>
      <c r="AGQ6" s="180"/>
      <c r="AGR6" s="180"/>
      <c r="AGS6" s="180"/>
      <c r="AGT6" s="180"/>
      <c r="AGU6" s="180"/>
      <c r="AGV6" s="180"/>
      <c r="AGW6" s="180"/>
      <c r="AGX6" s="180"/>
      <c r="AGY6" s="180"/>
      <c r="AGZ6" s="180"/>
      <c r="AHA6" s="180"/>
      <c r="AHB6" s="180"/>
      <c r="AHC6" s="180"/>
      <c r="AHD6" s="180"/>
      <c r="AHE6" s="180"/>
      <c r="AHF6" s="180"/>
      <c r="AHG6" s="180"/>
      <c r="AHH6" s="180"/>
      <c r="AHI6" s="180"/>
      <c r="AHJ6" s="180"/>
      <c r="AHK6" s="180"/>
      <c r="AHL6" s="180"/>
      <c r="AHM6" s="180"/>
      <c r="AHN6" s="180"/>
      <c r="AHO6" s="180"/>
      <c r="AHP6" s="180"/>
      <c r="AHQ6" s="180"/>
      <c r="AHR6" s="180"/>
      <c r="AHS6" s="180"/>
      <c r="AHT6" s="180"/>
      <c r="AHU6" s="180"/>
      <c r="AHV6" s="180"/>
      <c r="AHW6" s="180"/>
      <c r="AHX6" s="180"/>
      <c r="AHY6" s="180"/>
      <c r="AHZ6" s="180"/>
      <c r="AIA6" s="180"/>
      <c r="AIB6" s="180"/>
      <c r="AIC6" s="180"/>
      <c r="AID6" s="180"/>
      <c r="AIE6" s="180"/>
      <c r="AIF6" s="180"/>
      <c r="AIG6" s="180"/>
      <c r="AIH6" s="180"/>
      <c r="AII6" s="180"/>
      <c r="AIJ6" s="180"/>
      <c r="AIK6" s="180"/>
      <c r="AIL6" s="180"/>
      <c r="AIM6" s="180"/>
      <c r="AIN6" s="180"/>
      <c r="AIO6" s="180"/>
      <c r="AIP6" s="180"/>
      <c r="AIQ6" s="180"/>
      <c r="AIR6" s="180"/>
      <c r="AIS6" s="180"/>
      <c r="AIT6" s="180"/>
      <c r="AIU6" s="180"/>
      <c r="AIV6" s="180"/>
      <c r="AIW6" s="180"/>
      <c r="AIX6" s="180"/>
      <c r="AIY6" s="180"/>
      <c r="AIZ6" s="180"/>
      <c r="AJA6" s="180"/>
      <c r="AJB6" s="180"/>
      <c r="AJC6" s="180"/>
      <c r="AJD6" s="180"/>
      <c r="AJE6" s="180"/>
      <c r="AJF6" s="180"/>
      <c r="AJG6" s="180"/>
      <c r="AJH6" s="180"/>
      <c r="AJI6" s="180"/>
      <c r="AJJ6" s="180"/>
      <c r="AJK6" s="180"/>
      <c r="AJL6" s="180"/>
      <c r="AJM6" s="180"/>
      <c r="AJN6" s="180"/>
      <c r="AJO6" s="180"/>
      <c r="AJP6" s="180"/>
      <c r="AJQ6" s="180"/>
      <c r="AJR6" s="180"/>
      <c r="AJS6" s="180"/>
      <c r="AJT6" s="180"/>
      <c r="AJU6" s="180"/>
      <c r="AJV6" s="180"/>
      <c r="AJW6" s="180"/>
      <c r="AJX6" s="180"/>
      <c r="AJY6" s="180"/>
      <c r="AJZ6" s="180"/>
      <c r="AKA6" s="180"/>
      <c r="AKB6" s="180"/>
      <c r="AKC6" s="180"/>
      <c r="AKD6" s="180"/>
      <c r="AKE6" s="180"/>
      <c r="AKF6" s="180"/>
      <c r="AKG6" s="180"/>
      <c r="AKH6" s="180"/>
      <c r="AKI6" s="180"/>
      <c r="AKJ6" s="180"/>
      <c r="AKK6" s="180"/>
      <c r="AKL6" s="180"/>
      <c r="AKM6" s="180"/>
      <c r="AKN6" s="180"/>
      <c r="AKO6" s="180"/>
      <c r="AKP6" s="180"/>
      <c r="AKQ6" s="180"/>
      <c r="AKR6" s="180"/>
      <c r="AKS6" s="180"/>
      <c r="AKT6" s="180"/>
      <c r="AKU6" s="180"/>
      <c r="AKV6" s="180"/>
      <c r="AKW6" s="180"/>
      <c r="AKX6" s="180"/>
      <c r="AKY6" s="180"/>
      <c r="AKZ6" s="180"/>
      <c r="ALA6" s="180"/>
      <c r="ALB6" s="180"/>
      <c r="ALC6" s="180"/>
      <c r="ALD6" s="180"/>
      <c r="ALE6" s="180"/>
      <c r="ALF6" s="180"/>
      <c r="ALG6" s="180"/>
      <c r="ALH6" s="180"/>
      <c r="ALI6" s="180"/>
      <c r="ALJ6" s="180"/>
      <c r="ALK6" s="180"/>
      <c r="ALL6" s="180"/>
      <c r="ALM6" s="180"/>
      <c r="ALN6" s="180"/>
      <c r="ALO6" s="180"/>
      <c r="ALP6" s="180"/>
      <c r="ALQ6" s="180"/>
      <c r="ALR6" s="180"/>
      <c r="ALS6" s="180"/>
      <c r="ALT6" s="180"/>
      <c r="ALU6" s="180"/>
      <c r="ALV6" s="180"/>
      <c r="ALW6" s="180"/>
      <c r="ALX6" s="180"/>
      <c r="ALY6" s="180"/>
      <c r="ALZ6" s="180"/>
      <c r="AMA6" s="180"/>
      <c r="AMB6" s="180"/>
      <c r="AMC6" s="180"/>
      <c r="AMD6" s="180"/>
      <c r="AME6" s="180"/>
      <c r="AMF6" s="180"/>
      <c r="AMG6" s="180"/>
      <c r="AMH6" s="180"/>
      <c r="AMI6" s="180"/>
      <c r="AMJ6" s="180"/>
      <c r="AMK6" s="180"/>
      <c r="AML6" s="180"/>
      <c r="AMM6" s="180"/>
      <c r="AMN6" s="180"/>
      <c r="AMO6" s="180"/>
      <c r="AMP6" s="180"/>
      <c r="AMQ6" s="180"/>
      <c r="AMR6" s="180"/>
      <c r="AMS6" s="180"/>
      <c r="AMT6" s="180"/>
      <c r="AMU6" s="180"/>
      <c r="AMV6" s="180"/>
      <c r="AMW6" s="180"/>
      <c r="AMX6" s="180"/>
      <c r="AMY6" s="180"/>
      <c r="AMZ6" s="180"/>
      <c r="ANA6" s="180"/>
      <c r="ANB6" s="180"/>
      <c r="ANC6" s="180"/>
      <c r="AND6" s="180"/>
      <c r="ANE6" s="180"/>
      <c r="ANF6" s="180"/>
      <c r="ANG6" s="180"/>
      <c r="ANH6" s="180"/>
      <c r="ANI6" s="180"/>
      <c r="ANJ6" s="180"/>
      <c r="ANK6" s="180"/>
      <c r="ANL6" s="180"/>
      <c r="ANM6" s="180"/>
      <c r="ANN6" s="180"/>
      <c r="ANO6" s="180"/>
      <c r="ANP6" s="180"/>
      <c r="ANQ6" s="180"/>
      <c r="ANR6" s="180"/>
      <c r="ANS6" s="180"/>
      <c r="ANT6" s="180"/>
      <c r="ANU6" s="180"/>
      <c r="ANV6" s="180"/>
      <c r="ANW6" s="180"/>
      <c r="ANX6" s="180"/>
      <c r="ANY6" s="180"/>
      <c r="ANZ6" s="180"/>
      <c r="AOA6" s="180"/>
      <c r="AOB6" s="180"/>
      <c r="AOC6" s="180"/>
      <c r="AOD6" s="180"/>
      <c r="AOE6" s="180"/>
      <c r="AOF6" s="180"/>
      <c r="AOG6" s="180"/>
      <c r="AOH6" s="180"/>
      <c r="AOI6" s="180"/>
      <c r="AOJ6" s="180"/>
      <c r="AOK6" s="180"/>
      <c r="AOL6" s="180"/>
      <c r="AOM6" s="180"/>
      <c r="AON6" s="180"/>
      <c r="AOO6" s="180"/>
      <c r="AOP6" s="180"/>
      <c r="AOQ6" s="180"/>
      <c r="AOR6" s="180"/>
      <c r="AOS6" s="180"/>
      <c r="AOT6" s="180"/>
      <c r="AOU6" s="180"/>
      <c r="AOV6" s="180"/>
      <c r="AOW6" s="180"/>
      <c r="AOX6" s="180"/>
      <c r="AOY6" s="180"/>
      <c r="AOZ6" s="180"/>
      <c r="APA6" s="180"/>
      <c r="APB6" s="180"/>
      <c r="APC6" s="180"/>
      <c r="APD6" s="180"/>
      <c r="APE6" s="180"/>
      <c r="APF6" s="180"/>
      <c r="APG6" s="180"/>
      <c r="APH6" s="180"/>
      <c r="API6" s="180"/>
      <c r="APJ6" s="180"/>
      <c r="APK6" s="180"/>
      <c r="APL6" s="180"/>
      <c r="APM6" s="180"/>
      <c r="APN6" s="180"/>
      <c r="APO6" s="180"/>
      <c r="APP6" s="180"/>
      <c r="APQ6" s="180"/>
      <c r="APR6" s="180"/>
      <c r="APS6" s="180"/>
      <c r="APT6" s="180"/>
      <c r="APU6" s="180"/>
      <c r="APV6" s="180"/>
      <c r="APW6" s="180"/>
      <c r="APX6" s="180"/>
      <c r="APY6" s="180"/>
      <c r="APZ6" s="180"/>
      <c r="AQA6" s="180"/>
      <c r="AQB6" s="180"/>
      <c r="AQC6" s="180"/>
      <c r="AQD6" s="180"/>
      <c r="AQE6" s="180"/>
      <c r="AQF6" s="180"/>
      <c r="AQG6" s="180"/>
      <c r="AQH6" s="180"/>
      <c r="AQI6" s="180"/>
      <c r="AQJ6" s="180"/>
      <c r="AQK6" s="180"/>
      <c r="AQL6" s="180"/>
      <c r="AQM6" s="180"/>
      <c r="AQN6" s="180"/>
      <c r="AQO6" s="180"/>
      <c r="AQP6" s="180"/>
      <c r="AQQ6" s="180"/>
      <c r="AQR6" s="180"/>
      <c r="AQS6" s="180"/>
      <c r="AQT6" s="180"/>
      <c r="AQU6" s="180"/>
      <c r="AQV6" s="180"/>
      <c r="AQW6" s="180"/>
      <c r="AQX6" s="180"/>
      <c r="AQY6" s="180"/>
      <c r="AQZ6" s="180"/>
      <c r="ARA6" s="180"/>
      <c r="ARB6" s="180"/>
      <c r="ARC6" s="180"/>
      <c r="ARD6" s="180"/>
      <c r="ARE6" s="180"/>
      <c r="ARF6" s="180"/>
      <c r="ARG6" s="180"/>
      <c r="ARH6" s="180"/>
      <c r="ARI6" s="180"/>
      <c r="ARJ6" s="180"/>
      <c r="ARK6" s="180"/>
      <c r="ARL6" s="180"/>
      <c r="ARM6" s="180"/>
      <c r="ARN6" s="180"/>
      <c r="ARO6" s="180"/>
      <c r="ARP6" s="180"/>
      <c r="ARQ6" s="180"/>
      <c r="ARR6" s="180"/>
      <c r="ARS6" s="180"/>
      <c r="ART6" s="180"/>
      <c r="ARU6" s="180"/>
      <c r="ARV6" s="180"/>
      <c r="ARW6" s="180"/>
      <c r="ARX6" s="180"/>
      <c r="ARY6" s="180"/>
      <c r="ARZ6" s="180"/>
      <c r="ASA6" s="180"/>
      <c r="ASB6" s="180"/>
      <c r="ASC6" s="180"/>
      <c r="ASD6" s="180"/>
      <c r="ASE6" s="180"/>
      <c r="ASF6" s="180"/>
      <c r="ASG6" s="180"/>
      <c r="ASH6" s="180"/>
      <c r="ASI6" s="180"/>
      <c r="ASJ6" s="180"/>
      <c r="ASK6" s="180"/>
      <c r="ASL6" s="180"/>
      <c r="ASM6" s="180"/>
      <c r="ASN6" s="180"/>
      <c r="ASO6" s="180"/>
      <c r="ASP6" s="180"/>
      <c r="ASQ6" s="180"/>
      <c r="ASR6" s="180"/>
      <c r="ASS6" s="180"/>
      <c r="AST6" s="180"/>
      <c r="ASU6" s="180"/>
      <c r="ASV6" s="180"/>
      <c r="ASW6" s="180"/>
      <c r="ASX6" s="180"/>
      <c r="ASY6" s="180"/>
      <c r="ASZ6" s="180"/>
      <c r="ATA6" s="180"/>
      <c r="ATB6" s="180"/>
      <c r="ATC6" s="180"/>
      <c r="ATD6" s="180"/>
      <c r="ATE6" s="180"/>
      <c r="ATF6" s="180"/>
      <c r="ATG6" s="180"/>
      <c r="ATH6" s="180"/>
      <c r="ATI6" s="180"/>
      <c r="ATJ6" s="180"/>
      <c r="ATK6" s="180"/>
      <c r="ATL6" s="180"/>
      <c r="ATM6" s="180"/>
      <c r="ATN6" s="180"/>
      <c r="ATO6" s="180"/>
      <c r="ATP6" s="180"/>
      <c r="ATQ6" s="180"/>
      <c r="ATR6" s="180"/>
      <c r="ATS6" s="180"/>
      <c r="ATT6" s="180"/>
      <c r="ATU6" s="180"/>
      <c r="ATV6" s="180"/>
      <c r="ATW6" s="180"/>
      <c r="ATX6" s="180"/>
      <c r="ATY6" s="180"/>
      <c r="ATZ6" s="180"/>
      <c r="AUA6" s="180"/>
      <c r="AUB6" s="180"/>
      <c r="AUC6" s="180"/>
      <c r="AUD6" s="180"/>
      <c r="AUE6" s="180"/>
      <c r="AUF6" s="180"/>
      <c r="AUG6" s="180"/>
      <c r="AUH6" s="180"/>
      <c r="AUI6" s="180"/>
      <c r="AUJ6" s="180"/>
      <c r="AUK6" s="180"/>
      <c r="AUL6" s="180"/>
      <c r="AUM6" s="180"/>
      <c r="AUN6" s="180"/>
      <c r="AUO6" s="180"/>
      <c r="AUP6" s="180"/>
      <c r="AUQ6" s="180"/>
      <c r="AUR6" s="180"/>
      <c r="AUS6" s="180"/>
      <c r="AUT6" s="180"/>
      <c r="AUU6" s="180"/>
      <c r="AUV6" s="180"/>
      <c r="AUW6" s="180"/>
      <c r="AUX6" s="180"/>
      <c r="AUY6" s="180"/>
      <c r="AUZ6" s="180"/>
      <c r="AVA6" s="180"/>
      <c r="AVB6" s="180"/>
      <c r="AVC6" s="180"/>
      <c r="AVD6" s="180"/>
      <c r="AVE6" s="180"/>
      <c r="AVF6" s="180"/>
      <c r="AVG6" s="180"/>
      <c r="AVH6" s="180"/>
      <c r="AVI6" s="180"/>
      <c r="AVJ6" s="180"/>
      <c r="AVK6" s="180"/>
      <c r="AVL6" s="180"/>
      <c r="AVM6" s="180"/>
      <c r="AVN6" s="180"/>
      <c r="AVO6" s="180"/>
      <c r="AVP6" s="180"/>
      <c r="AVQ6" s="180"/>
      <c r="AVR6" s="180"/>
      <c r="AVS6" s="180"/>
      <c r="AVT6" s="180"/>
      <c r="AVU6" s="180"/>
      <c r="AVV6" s="180"/>
      <c r="AVW6" s="180"/>
      <c r="AVX6" s="180"/>
      <c r="AVY6" s="180"/>
      <c r="AVZ6" s="180"/>
      <c r="AWA6" s="180"/>
      <c r="AWB6" s="180"/>
      <c r="AWC6" s="180"/>
      <c r="AWD6" s="180"/>
      <c r="AWE6" s="180"/>
      <c r="AWF6" s="180"/>
      <c r="AWG6" s="180"/>
      <c r="AWH6" s="180"/>
      <c r="AWI6" s="180"/>
      <c r="AWJ6" s="180"/>
      <c r="AWK6" s="180"/>
      <c r="AWL6" s="180"/>
      <c r="AWM6" s="180"/>
      <c r="AWN6" s="180"/>
      <c r="AWO6" s="180"/>
      <c r="AWP6" s="180"/>
      <c r="AWQ6" s="180"/>
      <c r="AWR6" s="180"/>
      <c r="AWS6" s="180"/>
      <c r="AWT6" s="180"/>
      <c r="AWU6" s="180"/>
      <c r="AWV6" s="180"/>
      <c r="AWW6" s="180"/>
      <c r="AWX6" s="180"/>
      <c r="AWY6" s="180"/>
      <c r="AWZ6" s="180"/>
      <c r="AXA6" s="180"/>
      <c r="AXB6" s="180"/>
      <c r="AXC6" s="180"/>
      <c r="AXD6" s="180"/>
      <c r="AXE6" s="180"/>
      <c r="AXF6" s="180"/>
      <c r="AXG6" s="180"/>
      <c r="AXH6" s="180"/>
      <c r="AXI6" s="180"/>
      <c r="AXJ6" s="180"/>
      <c r="AXK6" s="180"/>
      <c r="AXL6" s="180"/>
      <c r="AXM6" s="180"/>
      <c r="AXN6" s="180"/>
      <c r="AXO6" s="180"/>
      <c r="AXP6" s="180"/>
      <c r="AXQ6" s="180"/>
      <c r="AXR6" s="180"/>
      <c r="AXS6" s="180"/>
      <c r="AXT6" s="180"/>
      <c r="AXU6" s="180"/>
      <c r="AXV6" s="180"/>
      <c r="AXW6" s="180"/>
      <c r="AXX6" s="180"/>
      <c r="AXY6" s="180"/>
      <c r="AXZ6" s="180"/>
      <c r="AYA6" s="180"/>
      <c r="AYB6" s="180"/>
      <c r="AYC6" s="180"/>
      <c r="AYD6" s="180"/>
      <c r="AYE6" s="180"/>
      <c r="AYF6" s="180"/>
      <c r="AYG6" s="180"/>
      <c r="AYH6" s="180"/>
      <c r="AYI6" s="180"/>
      <c r="AYJ6" s="180"/>
      <c r="AYK6" s="180"/>
      <c r="AYL6" s="180"/>
      <c r="AYM6" s="180"/>
      <c r="AYN6" s="180"/>
      <c r="AYO6" s="180"/>
      <c r="AYP6" s="180"/>
      <c r="AYQ6" s="180"/>
      <c r="AYR6" s="180"/>
      <c r="AYS6" s="180"/>
      <c r="AYT6" s="180"/>
      <c r="AYU6" s="180"/>
      <c r="AYV6" s="180"/>
      <c r="AYW6" s="180"/>
      <c r="AYX6" s="180"/>
      <c r="AYY6" s="180"/>
      <c r="AYZ6" s="180"/>
      <c r="AZA6" s="180"/>
      <c r="AZB6" s="180"/>
      <c r="AZC6" s="180"/>
      <c r="AZD6" s="180"/>
      <c r="AZE6" s="180"/>
      <c r="AZF6" s="180"/>
      <c r="AZG6" s="180"/>
      <c r="AZH6" s="180"/>
      <c r="AZI6" s="180"/>
      <c r="AZJ6" s="180"/>
      <c r="AZK6" s="180"/>
      <c r="AZL6" s="180"/>
      <c r="AZM6" s="180"/>
      <c r="AZN6" s="180"/>
      <c r="AZO6" s="180"/>
      <c r="AZP6" s="180"/>
      <c r="AZQ6" s="180"/>
      <c r="AZR6" s="180"/>
      <c r="AZS6" s="180"/>
      <c r="AZT6" s="180"/>
      <c r="AZU6" s="180"/>
      <c r="AZV6" s="180"/>
      <c r="AZW6" s="180"/>
      <c r="AZX6" s="180"/>
      <c r="AZY6" s="180"/>
      <c r="AZZ6" s="180"/>
      <c r="BAA6" s="180"/>
      <c r="BAB6" s="180"/>
      <c r="BAC6" s="180"/>
      <c r="BAD6" s="180"/>
      <c r="BAE6" s="180"/>
      <c r="BAF6" s="180"/>
      <c r="BAG6" s="180"/>
      <c r="BAH6" s="180"/>
      <c r="BAI6" s="180"/>
      <c r="BAJ6" s="180"/>
      <c r="BAK6" s="180"/>
      <c r="BAL6" s="180"/>
      <c r="BAM6" s="180"/>
      <c r="BAN6" s="180"/>
      <c r="BAO6" s="180"/>
      <c r="BAP6" s="180"/>
      <c r="BAQ6" s="180"/>
      <c r="BAR6" s="180"/>
      <c r="BAS6" s="180"/>
      <c r="BAT6" s="180"/>
      <c r="BAU6" s="180"/>
      <c r="BAV6" s="180"/>
      <c r="BAW6" s="180"/>
      <c r="BAX6" s="180"/>
      <c r="BAY6" s="180"/>
      <c r="BAZ6" s="180"/>
      <c r="BBA6" s="180"/>
      <c r="BBB6" s="180"/>
      <c r="BBC6" s="180"/>
      <c r="BBD6" s="180"/>
      <c r="BBE6" s="180"/>
      <c r="BBF6" s="180"/>
      <c r="BBG6" s="180"/>
      <c r="BBH6" s="180"/>
      <c r="BBI6" s="180"/>
      <c r="BBJ6" s="180"/>
      <c r="BBK6" s="180"/>
      <c r="BBL6" s="180"/>
      <c r="BBM6" s="180"/>
      <c r="BBN6" s="180"/>
      <c r="BBO6" s="180"/>
      <c r="BBP6" s="180"/>
      <c r="BBQ6" s="180"/>
      <c r="BBR6" s="180"/>
      <c r="BBS6" s="180"/>
      <c r="BBT6" s="180"/>
      <c r="BBU6" s="180"/>
      <c r="BBV6" s="180"/>
      <c r="BBW6" s="180"/>
      <c r="BBX6" s="180"/>
      <c r="BBY6" s="180"/>
      <c r="BBZ6" s="180"/>
      <c r="BCA6" s="180"/>
      <c r="BCB6" s="180"/>
      <c r="BCC6" s="180"/>
      <c r="BCD6" s="180"/>
      <c r="BCE6" s="180"/>
      <c r="BCF6" s="180"/>
      <c r="BCG6" s="180"/>
      <c r="BCH6" s="180"/>
      <c r="BCI6" s="180"/>
      <c r="BCJ6" s="180"/>
      <c r="BCK6" s="180"/>
      <c r="BCL6" s="180"/>
      <c r="BCM6" s="180"/>
      <c r="BCN6" s="180"/>
      <c r="BCO6" s="180"/>
      <c r="BCP6" s="180"/>
      <c r="BCQ6" s="180"/>
      <c r="BCR6" s="180"/>
      <c r="BCS6" s="180"/>
      <c r="BCT6" s="180"/>
      <c r="BCU6" s="180"/>
      <c r="BCV6" s="180"/>
      <c r="BCW6" s="180"/>
      <c r="BCX6" s="180"/>
      <c r="BCY6" s="180"/>
      <c r="BCZ6" s="180"/>
      <c r="BDA6" s="180"/>
      <c r="BDB6" s="180"/>
      <c r="BDC6" s="180"/>
      <c r="BDD6" s="180"/>
      <c r="BDE6" s="180"/>
      <c r="BDF6" s="180"/>
      <c r="BDG6" s="180"/>
      <c r="BDH6" s="180"/>
      <c r="BDI6" s="180"/>
      <c r="BDJ6" s="180"/>
      <c r="BDK6" s="180"/>
      <c r="BDL6" s="180"/>
      <c r="BDM6" s="180"/>
      <c r="BDN6" s="180"/>
      <c r="BDO6" s="180"/>
      <c r="BDP6" s="180"/>
      <c r="BDQ6" s="180"/>
      <c r="BDR6" s="180"/>
      <c r="BDS6" s="180"/>
      <c r="BDT6" s="180"/>
      <c r="BDU6" s="180"/>
      <c r="BDV6" s="180"/>
      <c r="BDW6" s="180"/>
      <c r="BDX6" s="180"/>
      <c r="BDY6" s="180"/>
      <c r="BDZ6" s="180"/>
      <c r="BEA6" s="180"/>
      <c r="BEB6" s="180"/>
      <c r="BEC6" s="180"/>
      <c r="BED6" s="180"/>
      <c r="BEE6" s="180"/>
      <c r="BEF6" s="180"/>
      <c r="BEG6" s="180"/>
      <c r="BEH6" s="180"/>
      <c r="BEI6" s="180"/>
      <c r="BEJ6" s="180"/>
      <c r="BEK6" s="180"/>
      <c r="BEL6" s="180"/>
      <c r="BEM6" s="180"/>
      <c r="BEN6" s="180"/>
      <c r="BEO6" s="180"/>
      <c r="BEP6" s="180"/>
      <c r="BEQ6" s="180"/>
      <c r="BER6" s="180"/>
      <c r="BES6" s="180"/>
      <c r="BET6" s="180"/>
      <c r="BEU6" s="180"/>
      <c r="BEV6" s="180"/>
      <c r="BEW6" s="180"/>
      <c r="BEX6" s="180"/>
      <c r="BEY6" s="180"/>
      <c r="BEZ6" s="180"/>
      <c r="BFA6" s="180"/>
      <c r="BFB6" s="180"/>
      <c r="BFC6" s="180"/>
      <c r="BFD6" s="180"/>
      <c r="BFE6" s="180"/>
      <c r="BFF6" s="180"/>
      <c r="BFG6" s="180"/>
      <c r="BFH6" s="180"/>
      <c r="BFI6" s="180"/>
      <c r="BFJ6" s="180"/>
      <c r="BFK6" s="180"/>
      <c r="BFL6" s="180"/>
      <c r="BFM6" s="180"/>
      <c r="BFN6" s="180"/>
      <c r="BFO6" s="180"/>
      <c r="BFP6" s="180"/>
      <c r="BFQ6" s="180"/>
      <c r="BFR6" s="180"/>
      <c r="BFS6" s="180"/>
      <c r="BFT6" s="180"/>
      <c r="BFU6" s="180"/>
      <c r="BFV6" s="180"/>
      <c r="BFW6" s="180"/>
      <c r="BFX6" s="180"/>
      <c r="BFY6" s="180"/>
      <c r="BFZ6" s="180"/>
      <c r="BGA6" s="180"/>
      <c r="BGB6" s="180"/>
      <c r="BGC6" s="180"/>
      <c r="BGD6" s="180"/>
      <c r="BGE6" s="180"/>
      <c r="BGF6" s="180"/>
      <c r="BGG6" s="180"/>
      <c r="BGH6" s="180"/>
      <c r="BGI6" s="180"/>
      <c r="BGJ6" s="180"/>
      <c r="BGK6" s="180"/>
      <c r="BGL6" s="180"/>
      <c r="BGM6" s="180"/>
      <c r="BGN6" s="180"/>
      <c r="BGO6" s="180"/>
      <c r="BGP6" s="180"/>
      <c r="BGQ6" s="180"/>
      <c r="BGR6" s="180"/>
      <c r="BGS6" s="180"/>
      <c r="BGT6" s="180"/>
      <c r="BGU6" s="180"/>
      <c r="BGV6" s="180"/>
      <c r="BGW6" s="180"/>
      <c r="BGX6" s="180"/>
      <c r="BGY6" s="180"/>
      <c r="BGZ6" s="180"/>
      <c r="BHA6" s="180"/>
      <c r="BHB6" s="180"/>
      <c r="BHC6" s="180"/>
      <c r="BHD6" s="180"/>
      <c r="BHE6" s="180"/>
      <c r="BHF6" s="180"/>
      <c r="BHG6" s="180"/>
      <c r="BHH6" s="180"/>
      <c r="BHI6" s="180"/>
      <c r="BHJ6" s="180"/>
      <c r="BHK6" s="180"/>
      <c r="BHL6" s="180"/>
      <c r="BHM6" s="180"/>
      <c r="BHN6" s="180"/>
      <c r="BHO6" s="180"/>
      <c r="BHP6" s="180"/>
      <c r="BHQ6" s="180"/>
      <c r="BHR6" s="180"/>
      <c r="BHS6" s="180"/>
      <c r="BHT6" s="180"/>
      <c r="BHU6" s="180"/>
      <c r="BHV6" s="180"/>
      <c r="BHW6" s="180"/>
      <c r="BHX6" s="180"/>
      <c r="BHY6" s="180"/>
      <c r="BHZ6" s="180"/>
      <c r="BIA6" s="180"/>
      <c r="BIB6" s="180"/>
      <c r="BIC6" s="180"/>
      <c r="BID6" s="180"/>
      <c r="BIE6" s="180"/>
      <c r="BIF6" s="180"/>
      <c r="BIG6" s="180"/>
      <c r="BIH6" s="180"/>
      <c r="BII6" s="180"/>
      <c r="BIJ6" s="180"/>
      <c r="BIK6" s="180"/>
      <c r="BIL6" s="180"/>
      <c r="BIM6" s="180"/>
      <c r="BIN6" s="180"/>
      <c r="BIO6" s="180"/>
      <c r="BIP6" s="180"/>
      <c r="BIQ6" s="180"/>
      <c r="BIR6" s="180"/>
      <c r="BIS6" s="180"/>
      <c r="BIT6" s="180"/>
      <c r="BIU6" s="180"/>
      <c r="BIV6" s="180"/>
      <c r="BIW6" s="180"/>
      <c r="BIX6" s="180"/>
      <c r="BIY6" s="180"/>
      <c r="BIZ6" s="180"/>
      <c r="BJA6" s="180"/>
      <c r="BJB6" s="180"/>
      <c r="BJC6" s="180"/>
      <c r="BJD6" s="180"/>
      <c r="BJE6" s="180"/>
      <c r="BJF6" s="180"/>
      <c r="BJG6" s="180"/>
      <c r="BJH6" s="180"/>
      <c r="BJI6" s="180"/>
      <c r="BJJ6" s="180"/>
      <c r="BJK6" s="180"/>
      <c r="BJL6" s="180"/>
      <c r="BJM6" s="180"/>
      <c r="BJN6" s="180"/>
      <c r="BJO6" s="180"/>
      <c r="BJP6" s="180"/>
      <c r="BJQ6" s="180"/>
      <c r="BJR6" s="180"/>
      <c r="BJS6" s="180"/>
      <c r="BJT6" s="180"/>
      <c r="BJU6" s="180"/>
      <c r="BJV6" s="180"/>
      <c r="BJW6" s="180"/>
      <c r="BJX6" s="180"/>
      <c r="BJY6" s="180"/>
      <c r="BJZ6" s="180"/>
      <c r="BKA6" s="180"/>
      <c r="BKB6" s="180"/>
      <c r="BKC6" s="180"/>
      <c r="BKD6" s="180"/>
      <c r="BKE6" s="180"/>
      <c r="BKF6" s="180"/>
      <c r="BKG6" s="180"/>
      <c r="BKH6" s="180"/>
      <c r="BKI6" s="180"/>
      <c r="BKJ6" s="180"/>
      <c r="BKK6" s="180"/>
      <c r="BKL6" s="180"/>
      <c r="BKM6" s="180"/>
      <c r="BKN6" s="180"/>
      <c r="BKO6" s="180"/>
      <c r="BKP6" s="180"/>
      <c r="BKQ6" s="180"/>
      <c r="BKR6" s="180"/>
      <c r="BKS6" s="180"/>
      <c r="BKT6" s="180"/>
      <c r="BKU6" s="180"/>
      <c r="BKV6" s="180"/>
      <c r="BKW6" s="180"/>
      <c r="BKX6" s="180"/>
      <c r="BKY6" s="180"/>
      <c r="BKZ6" s="180"/>
      <c r="BLA6" s="180"/>
      <c r="BLB6" s="180"/>
      <c r="BLC6" s="180"/>
      <c r="BLD6" s="180"/>
      <c r="BLE6" s="180"/>
      <c r="BLF6" s="180"/>
      <c r="BLG6" s="180"/>
      <c r="BLH6" s="180"/>
      <c r="BLI6" s="180"/>
      <c r="BLJ6" s="180"/>
      <c r="BLK6" s="180"/>
      <c r="BLL6" s="180"/>
      <c r="BLM6" s="180"/>
      <c r="BLN6" s="180"/>
      <c r="BLO6" s="180"/>
      <c r="BLP6" s="180"/>
      <c r="BLQ6" s="180"/>
      <c r="BLR6" s="180"/>
      <c r="BLS6" s="180"/>
      <c r="BLT6" s="180"/>
      <c r="BLU6" s="180"/>
      <c r="BLV6" s="180"/>
      <c r="BLW6" s="180"/>
      <c r="BLX6" s="180"/>
      <c r="BLY6" s="180"/>
      <c r="BLZ6" s="180"/>
      <c r="BMA6" s="180"/>
      <c r="BMB6" s="180"/>
      <c r="BMC6" s="180"/>
      <c r="BMD6" s="180"/>
      <c r="BME6" s="180"/>
      <c r="BMF6" s="180"/>
      <c r="BMG6" s="180"/>
      <c r="BMH6" s="180"/>
      <c r="BMI6" s="180"/>
      <c r="BMJ6" s="180"/>
      <c r="BMK6" s="180"/>
      <c r="BML6" s="180"/>
      <c r="BMM6" s="180"/>
      <c r="BMN6" s="180"/>
      <c r="BMO6" s="180"/>
      <c r="BMP6" s="180"/>
      <c r="BMQ6" s="180"/>
      <c r="BMR6" s="180"/>
      <c r="BMS6" s="180"/>
      <c r="BMT6" s="180"/>
      <c r="BMU6" s="180"/>
      <c r="BMV6" s="180"/>
      <c r="BMW6" s="180"/>
      <c r="BMX6" s="180"/>
      <c r="BMY6" s="180"/>
      <c r="BMZ6" s="180"/>
      <c r="BNA6" s="180"/>
      <c r="BNB6" s="180"/>
      <c r="BNC6" s="180"/>
      <c r="BND6" s="180"/>
      <c r="BNE6" s="180"/>
      <c r="BNF6" s="180"/>
      <c r="BNG6" s="180"/>
      <c r="BNH6" s="180"/>
      <c r="BNI6" s="180"/>
      <c r="BNJ6" s="180"/>
      <c r="BNK6" s="180"/>
      <c r="BNL6" s="180"/>
      <c r="BNM6" s="180"/>
      <c r="BNN6" s="180"/>
      <c r="BNO6" s="180"/>
      <c r="BNP6" s="180"/>
      <c r="BNQ6" s="180"/>
      <c r="BNR6" s="180"/>
      <c r="BNS6" s="180"/>
      <c r="BNT6" s="180"/>
      <c r="BNU6" s="180"/>
      <c r="BNV6" s="180"/>
      <c r="BNW6" s="180"/>
      <c r="BNX6" s="180"/>
      <c r="BNY6" s="180"/>
      <c r="BNZ6" s="180"/>
      <c r="BOA6" s="180"/>
      <c r="BOB6" s="180"/>
      <c r="BOC6" s="180"/>
      <c r="BOD6" s="180"/>
      <c r="BOE6" s="180"/>
      <c r="BOF6" s="180"/>
      <c r="BOG6" s="180"/>
      <c r="BOH6" s="180"/>
      <c r="BOI6" s="180"/>
      <c r="BOJ6" s="180"/>
      <c r="BOK6" s="180"/>
      <c r="BOL6" s="180"/>
      <c r="BOM6" s="180"/>
      <c r="BON6" s="180"/>
      <c r="BOO6" s="180"/>
      <c r="BOP6" s="180"/>
      <c r="BOQ6" s="180"/>
      <c r="BOR6" s="180"/>
      <c r="BOS6" s="180"/>
      <c r="BOT6" s="180"/>
      <c r="BOU6" s="180"/>
      <c r="BOV6" s="180"/>
      <c r="BOW6" s="180"/>
      <c r="BOX6" s="180"/>
      <c r="BOY6" s="180"/>
      <c r="BOZ6" s="180"/>
      <c r="BPA6" s="180"/>
      <c r="BPB6" s="180"/>
      <c r="BPC6" s="180"/>
      <c r="BPD6" s="180"/>
      <c r="BPE6" s="180"/>
      <c r="BPF6" s="180"/>
      <c r="BPG6" s="180"/>
      <c r="BPH6" s="180"/>
      <c r="BPI6" s="180"/>
      <c r="BPJ6" s="180"/>
      <c r="BPK6" s="180"/>
      <c r="BPL6" s="180"/>
      <c r="BPM6" s="180"/>
      <c r="BPN6" s="180"/>
      <c r="BPO6" s="180"/>
      <c r="BPP6" s="180"/>
      <c r="BPQ6" s="180"/>
      <c r="BPR6" s="180"/>
      <c r="BPS6" s="180"/>
      <c r="BPT6" s="180"/>
      <c r="BPU6" s="180"/>
      <c r="BPV6" s="180"/>
      <c r="BPW6" s="180"/>
      <c r="BPX6" s="180"/>
      <c r="BPY6" s="180"/>
      <c r="BPZ6" s="180"/>
      <c r="BQA6" s="180"/>
      <c r="BQB6" s="180"/>
      <c r="BQC6" s="180"/>
      <c r="BQD6" s="180"/>
      <c r="BQE6" s="180"/>
      <c r="BQF6" s="180"/>
      <c r="BQG6" s="180"/>
      <c r="BQH6" s="180"/>
      <c r="BQI6" s="180"/>
      <c r="BQJ6" s="180"/>
      <c r="BQK6" s="180"/>
      <c r="BQL6" s="180"/>
      <c r="BQM6" s="180"/>
      <c r="BQN6" s="180"/>
      <c r="BQO6" s="180"/>
      <c r="BQP6" s="180"/>
      <c r="BQQ6" s="180"/>
      <c r="BQR6" s="180"/>
      <c r="BQS6" s="180"/>
      <c r="BQT6" s="180"/>
      <c r="BQU6" s="180"/>
      <c r="BQV6" s="180"/>
      <c r="BQW6" s="180"/>
      <c r="BQX6" s="180"/>
      <c r="BQY6" s="180"/>
      <c r="BQZ6" s="180"/>
      <c r="BRA6" s="180"/>
      <c r="BRB6" s="180"/>
      <c r="BRC6" s="180"/>
      <c r="BRD6" s="180"/>
      <c r="BRE6" s="180"/>
      <c r="BRF6" s="180"/>
      <c r="BRG6" s="180"/>
      <c r="BRH6" s="180"/>
      <c r="BRI6" s="180"/>
      <c r="BRJ6" s="180"/>
      <c r="BRK6" s="180"/>
      <c r="BRL6" s="180"/>
      <c r="BRM6" s="180"/>
      <c r="BRN6" s="180"/>
      <c r="BRO6" s="180"/>
      <c r="BRP6" s="180"/>
      <c r="BRQ6" s="180"/>
      <c r="BRR6" s="180"/>
      <c r="BRS6" s="180"/>
      <c r="BRT6" s="180"/>
      <c r="BRU6" s="180"/>
      <c r="BRV6" s="180"/>
      <c r="BRW6" s="180"/>
      <c r="BRX6" s="180"/>
      <c r="BRY6" s="180"/>
      <c r="BRZ6" s="180"/>
      <c r="BSA6" s="180"/>
      <c r="BSB6" s="180"/>
      <c r="BSC6" s="180"/>
      <c r="BSD6" s="180"/>
      <c r="BSE6" s="180"/>
      <c r="BSF6" s="180"/>
      <c r="BSG6" s="180"/>
      <c r="BSH6" s="180"/>
      <c r="BSI6" s="180"/>
      <c r="BSJ6" s="180"/>
      <c r="BSK6" s="180"/>
      <c r="BSL6" s="180"/>
      <c r="BSM6" s="180"/>
      <c r="BSN6" s="180"/>
      <c r="BSO6" s="180"/>
      <c r="BSP6" s="180"/>
      <c r="BSQ6" s="180"/>
      <c r="BSR6" s="180"/>
      <c r="BSS6" s="180"/>
      <c r="BST6" s="180"/>
      <c r="BSU6" s="180"/>
      <c r="BSV6" s="180"/>
      <c r="BSW6" s="180"/>
      <c r="BSX6" s="180"/>
      <c r="BSY6" s="180"/>
      <c r="BSZ6" s="180"/>
      <c r="BTA6" s="180"/>
      <c r="BTB6" s="180"/>
      <c r="BTC6" s="180"/>
      <c r="BTD6" s="180"/>
      <c r="BTE6" s="180"/>
      <c r="BTF6" s="180"/>
      <c r="BTG6" s="180"/>
      <c r="BTH6" s="180"/>
      <c r="BTI6" s="180"/>
      <c r="BTJ6" s="180"/>
      <c r="BTK6" s="180"/>
      <c r="BTL6" s="180"/>
      <c r="BTM6" s="180"/>
      <c r="BTN6" s="180"/>
      <c r="BTO6" s="180"/>
      <c r="BTP6" s="180"/>
      <c r="BTQ6" s="180"/>
      <c r="BTR6" s="180"/>
      <c r="BTS6" s="180"/>
      <c r="BTT6" s="180"/>
      <c r="BTU6" s="180"/>
      <c r="BTV6" s="180"/>
      <c r="BTW6" s="180"/>
      <c r="BTX6" s="180"/>
      <c r="BTY6" s="180"/>
      <c r="BTZ6" s="180"/>
      <c r="BUA6" s="180"/>
      <c r="BUB6" s="180"/>
      <c r="BUC6" s="180"/>
      <c r="BUD6" s="180"/>
      <c r="BUE6" s="180"/>
      <c r="BUF6" s="180"/>
      <c r="BUG6" s="180"/>
      <c r="BUH6" s="180"/>
      <c r="BUI6" s="180"/>
      <c r="BUJ6" s="180"/>
      <c r="BUK6" s="180"/>
      <c r="BUL6" s="180"/>
      <c r="BUM6" s="180"/>
      <c r="BUN6" s="180"/>
      <c r="BUO6" s="180"/>
      <c r="BUP6" s="180"/>
      <c r="BUQ6" s="180"/>
      <c r="BUR6" s="180"/>
      <c r="BUS6" s="180"/>
      <c r="BUT6" s="180"/>
      <c r="BUU6" s="180"/>
      <c r="BUV6" s="180"/>
      <c r="BUW6" s="180"/>
      <c r="BUX6" s="180"/>
      <c r="BUY6" s="180"/>
      <c r="BUZ6" s="180"/>
      <c r="BVA6" s="180"/>
      <c r="BVB6" s="180"/>
      <c r="BVC6" s="180"/>
      <c r="BVD6" s="180"/>
      <c r="BVE6" s="180"/>
      <c r="BVF6" s="180"/>
      <c r="BVG6" s="180"/>
      <c r="BVH6" s="180"/>
      <c r="BVI6" s="180"/>
      <c r="BVJ6" s="180"/>
      <c r="BVK6" s="180"/>
      <c r="BVL6" s="180"/>
      <c r="BVM6" s="180"/>
      <c r="BVN6" s="180"/>
      <c r="BVO6" s="180"/>
      <c r="BVP6" s="180"/>
      <c r="BVQ6" s="180"/>
      <c r="BVR6" s="180"/>
      <c r="BVS6" s="180"/>
      <c r="BVT6" s="180"/>
      <c r="BVU6" s="180"/>
      <c r="BVV6" s="180"/>
      <c r="BVW6" s="180"/>
      <c r="BVX6" s="180"/>
      <c r="BVY6" s="180"/>
      <c r="BVZ6" s="180"/>
      <c r="BWA6" s="180"/>
      <c r="BWB6" s="180"/>
      <c r="BWC6" s="180"/>
      <c r="BWD6" s="180"/>
      <c r="BWE6" s="180"/>
      <c r="BWF6" s="180"/>
      <c r="BWG6" s="180"/>
      <c r="BWH6" s="180"/>
      <c r="BWI6" s="180"/>
      <c r="BWJ6" s="180"/>
      <c r="BWK6" s="180"/>
      <c r="BWL6" s="180"/>
      <c r="BWM6" s="180"/>
      <c r="BWN6" s="180"/>
      <c r="BWO6" s="180"/>
      <c r="BWP6" s="180"/>
      <c r="BWQ6" s="180"/>
      <c r="BWR6" s="180"/>
      <c r="BWS6" s="180"/>
      <c r="BWT6" s="180"/>
      <c r="BWU6" s="180"/>
      <c r="BWV6" s="180"/>
      <c r="BWW6" s="180"/>
      <c r="BWX6" s="180"/>
      <c r="BWY6" s="180"/>
      <c r="BWZ6" s="180"/>
      <c r="BXA6" s="180"/>
      <c r="BXB6" s="180"/>
      <c r="BXC6" s="180"/>
      <c r="BXD6" s="180"/>
      <c r="BXE6" s="180"/>
      <c r="BXF6" s="180"/>
      <c r="BXG6" s="180"/>
      <c r="BXH6" s="180"/>
      <c r="BXI6" s="180"/>
      <c r="BXJ6" s="180"/>
      <c r="BXK6" s="180"/>
      <c r="BXL6" s="180"/>
      <c r="BXM6" s="180"/>
      <c r="BXN6" s="180"/>
      <c r="BXO6" s="180"/>
      <c r="BXP6" s="180"/>
      <c r="BXQ6" s="180"/>
      <c r="BXR6" s="180"/>
      <c r="BXS6" s="180"/>
      <c r="BXT6" s="180"/>
      <c r="BXU6" s="180"/>
      <c r="BXV6" s="180"/>
      <c r="BXW6" s="180"/>
      <c r="BXX6" s="180"/>
      <c r="BXY6" s="180"/>
      <c r="BXZ6" s="180"/>
      <c r="BYA6" s="180"/>
      <c r="BYB6" s="180"/>
      <c r="BYC6" s="180"/>
    </row>
    <row r="7" spans="1:2005" ht="16">
      <c r="A7" s="1886"/>
      <c r="B7" s="656" t="s">
        <v>60</v>
      </c>
      <c r="C7" s="355">
        <f t="shared" ref="C7:J7" si="1">C6/2000</f>
        <v>155.5977309090909</v>
      </c>
      <c r="D7" s="710">
        <f t="shared" si="1"/>
        <v>14.558368785536388</v>
      </c>
      <c r="E7" s="355">
        <f t="shared" si="1"/>
        <v>4.4486476363636358</v>
      </c>
      <c r="F7" s="710">
        <f t="shared" si="1"/>
        <v>1.3364123082288113</v>
      </c>
      <c r="G7" s="357">
        <f t="shared" si="1"/>
        <v>1.6632741818181818</v>
      </c>
      <c r="H7" s="710">
        <f t="shared" si="1"/>
        <v>0.80458365101632767</v>
      </c>
      <c r="I7" s="355">
        <f t="shared" si="1"/>
        <v>2.1047563636363633</v>
      </c>
      <c r="J7" s="710">
        <f t="shared" si="1"/>
        <v>0.4481211140911065</v>
      </c>
      <c r="K7" s="412">
        <f>C7+E7+G7+I7</f>
        <v>163.81440909090909</v>
      </c>
      <c r="L7" s="751">
        <f>SQRT(J7^2+H7^2+F7^2+D7^2)</f>
        <v>14.64855852763823</v>
      </c>
      <c r="M7" s="357">
        <f>M6/2000</f>
        <v>34.64833085913763</v>
      </c>
      <c r="N7" s="357">
        <f>N6/2000</f>
        <v>1.8808910649252359</v>
      </c>
      <c r="O7" s="357">
        <f>O6/2000</f>
        <v>5.3789999999999996</v>
      </c>
      <c r="P7" s="357">
        <f>P6/2000</f>
        <v>1.7986689523089006</v>
      </c>
      <c r="Q7" s="636">
        <f>O7+M7+K7</f>
        <v>203.84173995004673</v>
      </c>
      <c r="R7" s="757">
        <f>SQRT(P7^2+N7^2+L7^2)</f>
        <v>14.877944351816829</v>
      </c>
      <c r="S7" s="355">
        <f>'crop yields'!N20</f>
        <v>106.41070000000002</v>
      </c>
      <c r="T7" s="409">
        <f>'crop yields'!N21</f>
        <v>2.8019122854856731</v>
      </c>
      <c r="U7" s="407">
        <f>'crop yields'!N35</f>
        <v>4.2941000000000003</v>
      </c>
      <c r="V7" s="408">
        <f>'crop yields'!N36</f>
        <v>0.75236374920055427</v>
      </c>
      <c r="W7" s="652">
        <f>ProcessedRoughage!C15/1000</f>
        <v>155.18534700000001</v>
      </c>
      <c r="X7" s="475">
        <f>ProcessedRoughage!C16/1000</f>
        <v>15.518534700000002</v>
      </c>
      <c r="Y7" s="647">
        <f>W7+U7+S7</f>
        <v>265.89014700000001</v>
      </c>
      <c r="Z7" s="773"/>
      <c r="AA7" s="521"/>
      <c r="AB7" s="180"/>
      <c r="AC7" s="648"/>
      <c r="AD7" s="1597"/>
      <c r="AE7" s="1599"/>
      <c r="AF7" s="180"/>
      <c r="AG7" s="180"/>
      <c r="AH7" s="180"/>
      <c r="AI7" s="180"/>
      <c r="AJ7" s="180"/>
      <c r="AK7" s="180"/>
      <c r="AL7" s="180"/>
      <c r="AM7" s="180"/>
      <c r="AN7" s="180"/>
      <c r="AO7" s="180"/>
      <c r="AP7" s="180"/>
      <c r="AQ7" s="180"/>
      <c r="AR7" s="180"/>
      <c r="AS7" s="180"/>
      <c r="AT7" s="180"/>
      <c r="AU7" s="180"/>
      <c r="AV7" s="180"/>
      <c r="AW7" s="180"/>
      <c r="AX7" s="180"/>
      <c r="AY7" s="180"/>
      <c r="AZ7" s="180"/>
      <c r="BA7" s="180"/>
      <c r="BB7" s="180"/>
      <c r="BC7" s="180"/>
      <c r="BD7" s="180"/>
      <c r="BE7" s="180"/>
      <c r="BF7" s="180"/>
      <c r="BG7" s="180"/>
      <c r="BH7" s="180"/>
      <c r="BI7" s="180"/>
      <c r="BJ7" s="180"/>
      <c r="BK7" s="180"/>
      <c r="BL7" s="180"/>
      <c r="BM7" s="180"/>
      <c r="BN7" s="180"/>
      <c r="BO7" s="180"/>
      <c r="BP7" s="180"/>
      <c r="BQ7" s="180"/>
      <c r="BR7" s="180"/>
      <c r="BS7" s="180"/>
      <c r="BT7" s="180"/>
      <c r="BU7" s="180"/>
      <c r="BV7" s="180"/>
      <c r="BW7" s="180"/>
      <c r="BX7" s="180"/>
      <c r="BY7" s="180"/>
      <c r="BZ7" s="180"/>
      <c r="CA7" s="180"/>
      <c r="CB7" s="180"/>
      <c r="CC7" s="180"/>
      <c r="CD7" s="180"/>
      <c r="CE7" s="180"/>
      <c r="CF7" s="180"/>
      <c r="CG7" s="180"/>
      <c r="CH7" s="180"/>
      <c r="CI7" s="180"/>
      <c r="CJ7" s="180"/>
      <c r="CK7" s="180"/>
      <c r="CL7" s="180"/>
      <c r="CM7" s="180"/>
      <c r="CN7" s="180"/>
      <c r="CO7" s="180"/>
      <c r="CP7" s="180"/>
      <c r="CQ7" s="180"/>
      <c r="CR7" s="180"/>
      <c r="CS7" s="180"/>
      <c r="CT7" s="180"/>
      <c r="CU7" s="180"/>
      <c r="CV7" s="180"/>
      <c r="CW7" s="180"/>
      <c r="CX7" s="180"/>
      <c r="CY7" s="180"/>
      <c r="CZ7" s="180"/>
      <c r="DA7" s="180"/>
      <c r="DB7" s="180"/>
      <c r="DC7" s="180"/>
      <c r="DD7" s="180"/>
      <c r="DE7" s="180"/>
      <c r="DF7" s="180"/>
      <c r="DG7" s="180"/>
      <c r="DH7" s="180"/>
      <c r="DI7" s="180"/>
      <c r="DJ7" s="180"/>
      <c r="DK7" s="180"/>
      <c r="DL7" s="180"/>
      <c r="DM7" s="180"/>
      <c r="DN7" s="180"/>
      <c r="DO7" s="180"/>
      <c r="DP7" s="180"/>
      <c r="DQ7" s="180"/>
      <c r="DR7" s="180"/>
      <c r="DS7" s="180"/>
      <c r="DT7" s="180"/>
      <c r="DU7" s="180"/>
      <c r="DV7" s="180"/>
      <c r="DW7" s="180"/>
      <c r="DX7" s="180"/>
      <c r="DY7" s="180"/>
      <c r="DZ7" s="180"/>
      <c r="EA7" s="180"/>
      <c r="EB7" s="180"/>
      <c r="EC7" s="180"/>
      <c r="ED7" s="180"/>
      <c r="EE7" s="180"/>
      <c r="EF7" s="180"/>
      <c r="EG7" s="180"/>
      <c r="EH7" s="180"/>
      <c r="EI7" s="180"/>
      <c r="EJ7" s="180"/>
      <c r="EK7" s="180"/>
      <c r="EL7" s="180"/>
      <c r="EM7" s="180"/>
      <c r="EN7" s="180"/>
      <c r="EO7" s="180"/>
      <c r="EP7" s="180"/>
      <c r="EQ7" s="180"/>
      <c r="ER7" s="180"/>
      <c r="ES7" s="180"/>
      <c r="ET7" s="180"/>
      <c r="EU7" s="180"/>
      <c r="EV7" s="180"/>
      <c r="EW7" s="180"/>
      <c r="EX7" s="180"/>
      <c r="EY7" s="180"/>
      <c r="EZ7" s="180"/>
      <c r="FA7" s="180"/>
      <c r="FB7" s="180"/>
      <c r="FC7" s="180"/>
      <c r="FD7" s="180"/>
      <c r="FE7" s="180"/>
      <c r="FF7" s="180"/>
      <c r="FG7" s="180"/>
      <c r="FH7" s="180"/>
      <c r="FI7" s="180"/>
      <c r="FJ7" s="180"/>
      <c r="FK7" s="180"/>
      <c r="FL7" s="180"/>
      <c r="FM7" s="180"/>
      <c r="FN7" s="180"/>
      <c r="FO7" s="180"/>
      <c r="FP7" s="180"/>
      <c r="FQ7" s="180"/>
      <c r="FR7" s="180"/>
      <c r="FS7" s="180"/>
      <c r="FT7" s="180"/>
      <c r="FU7" s="180"/>
      <c r="FV7" s="180"/>
      <c r="FW7" s="180"/>
      <c r="FX7" s="180"/>
      <c r="FY7" s="180"/>
      <c r="FZ7" s="180"/>
      <c r="GA7" s="180"/>
      <c r="GB7" s="180"/>
      <c r="GC7" s="180"/>
      <c r="GD7" s="180"/>
      <c r="GE7" s="180"/>
      <c r="GF7" s="180"/>
      <c r="GG7" s="180"/>
      <c r="GH7" s="180"/>
      <c r="GI7" s="180"/>
      <c r="GJ7" s="180"/>
      <c r="GK7" s="180"/>
      <c r="GL7" s="180"/>
      <c r="GM7" s="180"/>
      <c r="GN7" s="180"/>
      <c r="GO7" s="180"/>
      <c r="GP7" s="180"/>
      <c r="GQ7" s="180"/>
      <c r="GR7" s="180"/>
      <c r="GS7" s="180"/>
      <c r="GT7" s="180"/>
      <c r="GU7" s="180"/>
      <c r="GV7" s="180"/>
      <c r="GW7" s="180"/>
      <c r="GX7" s="180"/>
      <c r="GY7" s="180"/>
      <c r="GZ7" s="180"/>
      <c r="HA7" s="180"/>
      <c r="HB7" s="180"/>
      <c r="HC7" s="180"/>
      <c r="HD7" s="180"/>
      <c r="HE7" s="180"/>
      <c r="HF7" s="180"/>
      <c r="HG7" s="180"/>
      <c r="HH7" s="180"/>
      <c r="HI7" s="180"/>
      <c r="HJ7" s="180"/>
      <c r="HK7" s="180"/>
      <c r="HL7" s="180"/>
      <c r="HM7" s="180"/>
      <c r="HN7" s="180"/>
      <c r="HO7" s="180"/>
      <c r="HP7" s="180"/>
      <c r="HQ7" s="180"/>
      <c r="HR7" s="180"/>
      <c r="HS7" s="180"/>
      <c r="HT7" s="180"/>
      <c r="HU7" s="180"/>
      <c r="HV7" s="180"/>
      <c r="HW7" s="180"/>
      <c r="HX7" s="180"/>
      <c r="HY7" s="180"/>
      <c r="HZ7" s="180"/>
      <c r="IA7" s="180"/>
      <c r="IB7" s="180"/>
      <c r="IC7" s="180"/>
      <c r="ID7" s="180"/>
      <c r="IE7" s="180"/>
      <c r="IF7" s="180"/>
      <c r="IG7" s="180"/>
      <c r="IH7" s="180"/>
      <c r="II7" s="180"/>
      <c r="IJ7" s="180"/>
      <c r="IK7" s="180"/>
      <c r="IL7" s="180"/>
      <c r="IM7" s="180"/>
      <c r="IN7" s="180"/>
      <c r="IO7" s="180"/>
      <c r="IP7" s="180"/>
      <c r="IQ7" s="180"/>
      <c r="IR7" s="180"/>
      <c r="IS7" s="180"/>
      <c r="IT7" s="180"/>
      <c r="IU7" s="180"/>
      <c r="IV7" s="180"/>
      <c r="IW7" s="180"/>
      <c r="IX7" s="180"/>
      <c r="IY7" s="180"/>
      <c r="IZ7" s="180"/>
      <c r="JA7" s="180"/>
      <c r="JB7" s="180"/>
      <c r="JC7" s="180"/>
      <c r="JD7" s="180"/>
      <c r="JE7" s="180"/>
      <c r="JF7" s="180"/>
      <c r="JG7" s="180"/>
      <c r="JH7" s="180"/>
      <c r="JI7" s="180"/>
      <c r="JJ7" s="180"/>
      <c r="JK7" s="180"/>
      <c r="JL7" s="180"/>
      <c r="JM7" s="180"/>
      <c r="JN7" s="180"/>
      <c r="JO7" s="180"/>
      <c r="JP7" s="180"/>
      <c r="JQ7" s="180"/>
      <c r="JR7" s="180"/>
      <c r="JS7" s="180"/>
      <c r="JT7" s="180"/>
      <c r="JU7" s="180"/>
      <c r="JV7" s="180"/>
      <c r="JW7" s="180"/>
      <c r="JX7" s="180"/>
      <c r="JY7" s="180"/>
      <c r="JZ7" s="180"/>
      <c r="KA7" s="180"/>
      <c r="KB7" s="180"/>
      <c r="KC7" s="180"/>
      <c r="KD7" s="180"/>
      <c r="KE7" s="180"/>
      <c r="KF7" s="180"/>
      <c r="KG7" s="180"/>
      <c r="KH7" s="180"/>
      <c r="KI7" s="180"/>
      <c r="KJ7" s="180"/>
      <c r="KK7" s="180"/>
      <c r="KL7" s="180"/>
      <c r="KM7" s="180"/>
      <c r="KN7" s="180"/>
      <c r="KO7" s="180"/>
      <c r="KP7" s="180"/>
      <c r="KQ7" s="180"/>
      <c r="KR7" s="180"/>
      <c r="KS7" s="180"/>
      <c r="KT7" s="180"/>
      <c r="KU7" s="180"/>
      <c r="KV7" s="180"/>
      <c r="KW7" s="180"/>
      <c r="KX7" s="180"/>
      <c r="KY7" s="180"/>
      <c r="KZ7" s="180"/>
      <c r="LA7" s="180"/>
      <c r="LB7" s="180"/>
      <c r="LC7" s="180"/>
      <c r="LD7" s="180"/>
      <c r="LE7" s="180"/>
      <c r="LF7" s="180"/>
      <c r="LG7" s="180"/>
      <c r="LH7" s="180"/>
      <c r="LI7" s="180"/>
      <c r="LJ7" s="180"/>
      <c r="LK7" s="180"/>
      <c r="LL7" s="180"/>
      <c r="LM7" s="180"/>
      <c r="LN7" s="180"/>
      <c r="LO7" s="180"/>
      <c r="LP7" s="180"/>
      <c r="LQ7" s="180"/>
      <c r="LR7" s="180"/>
      <c r="LS7" s="180"/>
      <c r="LT7" s="180"/>
      <c r="LU7" s="180"/>
      <c r="LV7" s="180"/>
      <c r="LW7" s="180"/>
      <c r="LX7" s="180"/>
      <c r="LY7" s="180"/>
      <c r="LZ7" s="180"/>
      <c r="MA7" s="180"/>
      <c r="MB7" s="180"/>
      <c r="MC7" s="180"/>
      <c r="MD7" s="180"/>
      <c r="ME7" s="180"/>
      <c r="MF7" s="180"/>
      <c r="MG7" s="180"/>
      <c r="MH7" s="180"/>
      <c r="MI7" s="180"/>
      <c r="MJ7" s="180"/>
      <c r="MK7" s="180"/>
      <c r="ML7" s="180"/>
      <c r="MM7" s="180"/>
      <c r="MN7" s="180"/>
      <c r="MO7" s="180"/>
      <c r="MP7" s="180"/>
      <c r="MQ7" s="180"/>
      <c r="MR7" s="180"/>
      <c r="MS7" s="180"/>
      <c r="MT7" s="180"/>
      <c r="MU7" s="180"/>
      <c r="MV7" s="180"/>
      <c r="MW7" s="180"/>
      <c r="MX7" s="180"/>
      <c r="MY7" s="180"/>
      <c r="MZ7" s="180"/>
      <c r="NA7" s="180"/>
      <c r="NB7" s="180"/>
      <c r="NC7" s="180"/>
      <c r="ND7" s="180"/>
      <c r="NE7" s="180"/>
      <c r="NF7" s="180"/>
      <c r="NG7" s="180"/>
      <c r="NH7" s="180"/>
      <c r="NI7" s="180"/>
      <c r="NJ7" s="180"/>
      <c r="NK7" s="180"/>
      <c r="NL7" s="180"/>
      <c r="NM7" s="180"/>
      <c r="NN7" s="180"/>
      <c r="NO7" s="180"/>
      <c r="NP7" s="180"/>
      <c r="NQ7" s="180"/>
      <c r="NR7" s="180"/>
      <c r="NS7" s="180"/>
      <c r="NT7" s="180"/>
      <c r="NU7" s="180"/>
      <c r="NV7" s="180"/>
      <c r="NW7" s="180"/>
      <c r="NX7" s="180"/>
      <c r="NY7" s="180"/>
      <c r="NZ7" s="180"/>
      <c r="OA7" s="180"/>
      <c r="OB7" s="180"/>
      <c r="OC7" s="180"/>
      <c r="OD7" s="180"/>
      <c r="OE7" s="180"/>
      <c r="OF7" s="180"/>
      <c r="OG7" s="180"/>
      <c r="OH7" s="180"/>
      <c r="OI7" s="180"/>
      <c r="OJ7" s="180"/>
      <c r="OK7" s="180"/>
      <c r="OL7" s="180"/>
      <c r="OM7" s="180"/>
      <c r="ON7" s="180"/>
      <c r="OO7" s="180"/>
      <c r="OP7" s="180"/>
      <c r="OQ7" s="180"/>
      <c r="OR7" s="180"/>
      <c r="OS7" s="180"/>
      <c r="OT7" s="180"/>
      <c r="OU7" s="180"/>
      <c r="OV7" s="180"/>
      <c r="OW7" s="180"/>
      <c r="OX7" s="180"/>
      <c r="OY7" s="180"/>
      <c r="OZ7" s="180"/>
      <c r="PA7" s="180"/>
      <c r="PB7" s="180"/>
      <c r="PC7" s="180"/>
      <c r="PD7" s="180"/>
      <c r="PE7" s="180"/>
      <c r="PF7" s="180"/>
      <c r="PG7" s="180"/>
      <c r="PH7" s="180"/>
      <c r="PI7" s="180"/>
      <c r="PJ7" s="180"/>
      <c r="PK7" s="180"/>
      <c r="PL7" s="180"/>
      <c r="PM7" s="180"/>
      <c r="PN7" s="180"/>
      <c r="PO7" s="180"/>
      <c r="PP7" s="180"/>
      <c r="PQ7" s="180"/>
      <c r="PR7" s="180"/>
      <c r="PS7" s="180"/>
      <c r="PT7" s="180"/>
      <c r="PU7" s="180"/>
      <c r="PV7" s="180"/>
      <c r="PW7" s="180"/>
      <c r="PX7" s="180"/>
      <c r="PY7" s="180"/>
      <c r="PZ7" s="180"/>
      <c r="QA7" s="180"/>
      <c r="QB7" s="180"/>
      <c r="QC7" s="180"/>
      <c r="QD7" s="180"/>
      <c r="QE7" s="180"/>
      <c r="QF7" s="180"/>
      <c r="QG7" s="180"/>
      <c r="QH7" s="180"/>
      <c r="QI7" s="180"/>
      <c r="QJ7" s="180"/>
      <c r="QK7" s="180"/>
      <c r="QL7" s="180"/>
      <c r="QM7" s="180"/>
      <c r="QN7" s="180"/>
      <c r="QO7" s="180"/>
      <c r="QP7" s="180"/>
      <c r="QQ7" s="180"/>
      <c r="QR7" s="180"/>
      <c r="QS7" s="180"/>
      <c r="QT7" s="180"/>
      <c r="QU7" s="180"/>
      <c r="QV7" s="180"/>
      <c r="QW7" s="180"/>
      <c r="QX7" s="180"/>
      <c r="QY7" s="180"/>
      <c r="QZ7" s="180"/>
      <c r="RA7" s="180"/>
      <c r="RB7" s="180"/>
      <c r="RC7" s="180"/>
      <c r="RD7" s="180"/>
      <c r="RE7" s="180"/>
      <c r="RF7" s="180"/>
      <c r="RG7" s="180"/>
      <c r="RH7" s="180"/>
      <c r="RI7" s="180"/>
      <c r="RJ7" s="180"/>
      <c r="RK7" s="180"/>
      <c r="RL7" s="180"/>
      <c r="RM7" s="180"/>
      <c r="RN7" s="180"/>
      <c r="RO7" s="180"/>
      <c r="RP7" s="180"/>
      <c r="RQ7" s="180"/>
      <c r="RR7" s="180"/>
      <c r="RS7" s="180"/>
      <c r="RT7" s="180"/>
      <c r="RU7" s="180"/>
      <c r="RV7" s="180"/>
      <c r="RW7" s="180"/>
      <c r="RX7" s="180"/>
      <c r="RY7" s="180"/>
      <c r="RZ7" s="180"/>
      <c r="SA7" s="180"/>
      <c r="SB7" s="180"/>
      <c r="SC7" s="180"/>
      <c r="SD7" s="180"/>
      <c r="SE7" s="180"/>
      <c r="SF7" s="180"/>
      <c r="SG7" s="180"/>
      <c r="SH7" s="180"/>
      <c r="SI7" s="180"/>
      <c r="SJ7" s="180"/>
      <c r="SK7" s="180"/>
      <c r="SL7" s="180"/>
      <c r="SM7" s="180"/>
      <c r="SN7" s="180"/>
      <c r="SO7" s="180"/>
      <c r="SP7" s="180"/>
      <c r="SQ7" s="180"/>
      <c r="SR7" s="180"/>
      <c r="SS7" s="180"/>
      <c r="ST7" s="180"/>
      <c r="SU7" s="180"/>
      <c r="SV7" s="180"/>
      <c r="SW7" s="180"/>
      <c r="SX7" s="180"/>
      <c r="SY7" s="180"/>
      <c r="SZ7" s="180"/>
      <c r="TA7" s="180"/>
      <c r="TB7" s="180"/>
      <c r="TC7" s="180"/>
      <c r="TD7" s="180"/>
      <c r="TE7" s="180"/>
      <c r="TF7" s="180"/>
      <c r="TG7" s="180"/>
      <c r="TH7" s="180"/>
      <c r="TI7" s="180"/>
      <c r="TJ7" s="180"/>
      <c r="TK7" s="180"/>
      <c r="TL7" s="180"/>
      <c r="TM7" s="180"/>
      <c r="TN7" s="180"/>
      <c r="TO7" s="180"/>
      <c r="TP7" s="180"/>
      <c r="TQ7" s="180"/>
      <c r="TR7" s="180"/>
      <c r="TS7" s="180"/>
      <c r="TT7" s="180"/>
      <c r="TU7" s="180"/>
      <c r="TV7" s="180"/>
      <c r="TW7" s="180"/>
      <c r="TX7" s="180"/>
      <c r="TY7" s="180"/>
      <c r="TZ7" s="180"/>
      <c r="UA7" s="180"/>
      <c r="UB7" s="180"/>
      <c r="UC7" s="180"/>
      <c r="UD7" s="180"/>
      <c r="UE7" s="180"/>
      <c r="UF7" s="180"/>
      <c r="UG7" s="180"/>
      <c r="UH7" s="180"/>
      <c r="UI7" s="180"/>
      <c r="UJ7" s="180"/>
      <c r="UK7" s="180"/>
      <c r="UL7" s="180"/>
      <c r="UM7" s="180"/>
      <c r="UN7" s="180"/>
      <c r="UO7" s="180"/>
      <c r="UP7" s="180"/>
      <c r="UQ7" s="180"/>
      <c r="UR7" s="180"/>
      <c r="US7" s="180"/>
      <c r="UT7" s="180"/>
      <c r="UU7" s="180"/>
      <c r="UV7" s="180"/>
      <c r="UW7" s="180"/>
      <c r="UX7" s="180"/>
      <c r="UY7" s="180"/>
      <c r="UZ7" s="180"/>
      <c r="VA7" s="180"/>
      <c r="VB7" s="180"/>
      <c r="VC7" s="180"/>
      <c r="VD7" s="180"/>
      <c r="VE7" s="180"/>
      <c r="VF7" s="180"/>
      <c r="VG7" s="180"/>
      <c r="VH7" s="180"/>
      <c r="VI7" s="180"/>
      <c r="VJ7" s="180"/>
      <c r="VK7" s="180"/>
      <c r="VL7" s="180"/>
      <c r="VM7" s="180"/>
      <c r="VN7" s="180"/>
      <c r="VO7" s="180"/>
      <c r="VP7" s="180"/>
      <c r="VQ7" s="180"/>
      <c r="VR7" s="180"/>
      <c r="VS7" s="180"/>
      <c r="VT7" s="180"/>
      <c r="VU7" s="180"/>
      <c r="VV7" s="180"/>
      <c r="VW7" s="180"/>
      <c r="VX7" s="180"/>
      <c r="VY7" s="180"/>
      <c r="VZ7" s="180"/>
      <c r="WA7" s="180"/>
      <c r="WB7" s="180"/>
      <c r="WC7" s="180"/>
      <c r="WD7" s="180"/>
      <c r="WE7" s="180"/>
      <c r="WF7" s="180"/>
      <c r="WG7" s="180"/>
      <c r="WH7" s="180"/>
      <c r="WI7" s="180"/>
      <c r="WJ7" s="180"/>
      <c r="WK7" s="180"/>
      <c r="WL7" s="180"/>
      <c r="WM7" s="180"/>
      <c r="WN7" s="180"/>
      <c r="WO7" s="180"/>
      <c r="WP7" s="180"/>
      <c r="WQ7" s="180"/>
      <c r="WR7" s="180"/>
      <c r="WS7" s="180"/>
      <c r="WT7" s="180"/>
      <c r="WU7" s="180"/>
      <c r="WV7" s="180"/>
      <c r="WW7" s="180"/>
      <c r="WX7" s="180"/>
      <c r="WY7" s="180"/>
      <c r="WZ7" s="180"/>
      <c r="XA7" s="180"/>
      <c r="XB7" s="180"/>
      <c r="XC7" s="180"/>
      <c r="XD7" s="180"/>
      <c r="XE7" s="180"/>
      <c r="XF7" s="180"/>
      <c r="XG7" s="180"/>
      <c r="XH7" s="180"/>
      <c r="XI7" s="180"/>
      <c r="XJ7" s="180"/>
      <c r="XK7" s="180"/>
      <c r="XL7" s="180"/>
      <c r="XM7" s="180"/>
      <c r="XN7" s="180"/>
      <c r="XO7" s="180"/>
      <c r="XP7" s="180"/>
      <c r="XQ7" s="180"/>
      <c r="XR7" s="180"/>
      <c r="XS7" s="180"/>
      <c r="XT7" s="180"/>
      <c r="XU7" s="180"/>
      <c r="XV7" s="180"/>
      <c r="XW7" s="180"/>
      <c r="XX7" s="180"/>
      <c r="XY7" s="180"/>
      <c r="XZ7" s="180"/>
      <c r="YA7" s="180"/>
      <c r="YB7" s="180"/>
      <c r="YC7" s="180"/>
      <c r="YD7" s="180"/>
      <c r="YE7" s="180"/>
      <c r="YF7" s="180"/>
      <c r="YG7" s="180"/>
      <c r="YH7" s="180"/>
      <c r="YI7" s="180"/>
      <c r="YJ7" s="180"/>
      <c r="YK7" s="180"/>
      <c r="YL7" s="180"/>
      <c r="YM7" s="180"/>
      <c r="YN7" s="180"/>
      <c r="YO7" s="180"/>
      <c r="YP7" s="180"/>
      <c r="YQ7" s="180"/>
      <c r="YR7" s="180"/>
      <c r="YS7" s="180"/>
      <c r="YT7" s="180"/>
      <c r="YU7" s="180"/>
      <c r="YV7" s="180"/>
      <c r="YW7" s="180"/>
      <c r="YX7" s="180"/>
      <c r="YY7" s="180"/>
      <c r="YZ7" s="180"/>
      <c r="ZA7" s="180"/>
      <c r="ZB7" s="180"/>
      <c r="ZC7" s="180"/>
      <c r="ZD7" s="180"/>
      <c r="ZE7" s="180"/>
      <c r="ZF7" s="180"/>
      <c r="ZG7" s="180"/>
      <c r="ZH7" s="180"/>
      <c r="ZI7" s="180"/>
      <c r="ZJ7" s="180"/>
      <c r="ZK7" s="180"/>
      <c r="ZL7" s="180"/>
      <c r="ZM7" s="180"/>
      <c r="ZN7" s="180"/>
      <c r="ZO7" s="180"/>
      <c r="ZP7" s="180"/>
      <c r="ZQ7" s="180"/>
      <c r="ZR7" s="180"/>
      <c r="ZS7" s="180"/>
      <c r="ZT7" s="180"/>
      <c r="ZU7" s="180"/>
      <c r="ZV7" s="180"/>
      <c r="ZW7" s="180"/>
      <c r="ZX7" s="180"/>
      <c r="ZY7" s="180"/>
      <c r="ZZ7" s="180"/>
      <c r="AAA7" s="180"/>
      <c r="AAB7" s="180"/>
      <c r="AAC7" s="180"/>
      <c r="AAD7" s="180"/>
      <c r="AAE7" s="180"/>
      <c r="AAF7" s="180"/>
      <c r="AAG7" s="180"/>
      <c r="AAH7" s="180"/>
      <c r="AAI7" s="180"/>
      <c r="AAJ7" s="180"/>
      <c r="AAK7" s="180"/>
      <c r="AAL7" s="180"/>
      <c r="AAM7" s="180"/>
      <c r="AAN7" s="180"/>
      <c r="AAO7" s="180"/>
      <c r="AAP7" s="180"/>
      <c r="AAQ7" s="180"/>
      <c r="AAR7" s="180"/>
      <c r="AAS7" s="180"/>
      <c r="AAT7" s="180"/>
      <c r="AAU7" s="180"/>
      <c r="AAV7" s="180"/>
      <c r="AAW7" s="180"/>
      <c r="AAX7" s="180"/>
      <c r="AAY7" s="180"/>
      <c r="AAZ7" s="180"/>
      <c r="ABA7" s="180"/>
      <c r="ABB7" s="180"/>
      <c r="ABC7" s="180"/>
      <c r="ABD7" s="180"/>
      <c r="ABE7" s="180"/>
      <c r="ABF7" s="180"/>
      <c r="ABG7" s="180"/>
      <c r="ABH7" s="180"/>
      <c r="ABI7" s="180"/>
      <c r="ABJ7" s="180"/>
      <c r="ABK7" s="180"/>
      <c r="ABL7" s="180"/>
      <c r="ABM7" s="180"/>
      <c r="ABN7" s="180"/>
      <c r="ABO7" s="180"/>
      <c r="ABP7" s="180"/>
      <c r="ABQ7" s="180"/>
      <c r="ABR7" s="180"/>
      <c r="ABS7" s="180"/>
      <c r="ABT7" s="180"/>
      <c r="ABU7" s="180"/>
      <c r="ABV7" s="180"/>
      <c r="ABW7" s="180"/>
      <c r="ABX7" s="180"/>
      <c r="ABY7" s="180"/>
      <c r="ABZ7" s="180"/>
      <c r="ACA7" s="180"/>
      <c r="ACB7" s="180"/>
      <c r="ACC7" s="180"/>
      <c r="ACD7" s="180"/>
      <c r="ACE7" s="180"/>
      <c r="ACF7" s="180"/>
      <c r="ACG7" s="180"/>
      <c r="ACH7" s="180"/>
      <c r="ACI7" s="180"/>
      <c r="ACJ7" s="180"/>
      <c r="ACK7" s="180"/>
      <c r="ACL7" s="180"/>
      <c r="ACM7" s="180"/>
      <c r="ACN7" s="180"/>
      <c r="ACO7" s="180"/>
      <c r="ACP7" s="180"/>
      <c r="ACQ7" s="180"/>
      <c r="ACR7" s="180"/>
      <c r="ACS7" s="180"/>
      <c r="ACT7" s="180"/>
      <c r="ACU7" s="180"/>
      <c r="ACV7" s="180"/>
      <c r="ACW7" s="180"/>
      <c r="ACX7" s="180"/>
      <c r="ACY7" s="180"/>
      <c r="ACZ7" s="180"/>
      <c r="ADA7" s="180"/>
      <c r="ADB7" s="180"/>
      <c r="ADC7" s="180"/>
      <c r="ADD7" s="180"/>
      <c r="ADE7" s="180"/>
      <c r="ADF7" s="180"/>
      <c r="ADG7" s="180"/>
      <c r="ADH7" s="180"/>
      <c r="ADI7" s="180"/>
      <c r="ADJ7" s="180"/>
      <c r="ADK7" s="180"/>
      <c r="ADL7" s="180"/>
      <c r="ADM7" s="180"/>
      <c r="ADN7" s="180"/>
      <c r="ADO7" s="180"/>
      <c r="ADP7" s="180"/>
      <c r="ADQ7" s="180"/>
      <c r="ADR7" s="180"/>
      <c r="ADS7" s="180"/>
      <c r="ADT7" s="180"/>
      <c r="ADU7" s="180"/>
      <c r="ADV7" s="180"/>
      <c r="ADW7" s="180"/>
      <c r="ADX7" s="180"/>
      <c r="ADY7" s="180"/>
      <c r="ADZ7" s="180"/>
      <c r="AEA7" s="180"/>
      <c r="AEB7" s="180"/>
      <c r="AEC7" s="180"/>
      <c r="AED7" s="180"/>
      <c r="AEE7" s="180"/>
      <c r="AEF7" s="180"/>
      <c r="AEG7" s="180"/>
      <c r="AEH7" s="180"/>
      <c r="AEI7" s="180"/>
      <c r="AEJ7" s="180"/>
      <c r="AEK7" s="180"/>
      <c r="AEL7" s="180"/>
      <c r="AEM7" s="180"/>
      <c r="AEN7" s="180"/>
      <c r="AEO7" s="180"/>
      <c r="AEP7" s="180"/>
      <c r="AEQ7" s="180"/>
      <c r="AER7" s="180"/>
      <c r="AES7" s="180"/>
      <c r="AET7" s="180"/>
      <c r="AEU7" s="180"/>
      <c r="AEV7" s="180"/>
      <c r="AEW7" s="180"/>
      <c r="AEX7" s="180"/>
      <c r="AEY7" s="180"/>
      <c r="AEZ7" s="180"/>
      <c r="AFA7" s="180"/>
      <c r="AFB7" s="180"/>
      <c r="AFC7" s="180"/>
      <c r="AFD7" s="180"/>
      <c r="AFE7" s="180"/>
      <c r="AFF7" s="180"/>
      <c r="AFG7" s="180"/>
      <c r="AFH7" s="180"/>
      <c r="AFI7" s="180"/>
      <c r="AFJ7" s="180"/>
      <c r="AFK7" s="180"/>
      <c r="AFL7" s="180"/>
      <c r="AFM7" s="180"/>
      <c r="AFN7" s="180"/>
      <c r="AFO7" s="180"/>
      <c r="AFP7" s="180"/>
      <c r="AFQ7" s="180"/>
      <c r="AFR7" s="180"/>
      <c r="AFS7" s="180"/>
      <c r="AFT7" s="180"/>
      <c r="AFU7" s="180"/>
      <c r="AFV7" s="180"/>
      <c r="AFW7" s="180"/>
      <c r="AFX7" s="180"/>
      <c r="AFY7" s="180"/>
      <c r="AFZ7" s="180"/>
      <c r="AGA7" s="180"/>
      <c r="AGB7" s="180"/>
      <c r="AGC7" s="180"/>
      <c r="AGD7" s="180"/>
      <c r="AGE7" s="180"/>
      <c r="AGF7" s="180"/>
      <c r="AGG7" s="180"/>
      <c r="AGH7" s="180"/>
      <c r="AGI7" s="180"/>
      <c r="AGJ7" s="180"/>
      <c r="AGK7" s="180"/>
      <c r="AGL7" s="180"/>
      <c r="AGM7" s="180"/>
      <c r="AGN7" s="180"/>
      <c r="AGO7" s="180"/>
      <c r="AGP7" s="180"/>
      <c r="AGQ7" s="180"/>
      <c r="AGR7" s="180"/>
      <c r="AGS7" s="180"/>
      <c r="AGT7" s="180"/>
      <c r="AGU7" s="180"/>
      <c r="AGV7" s="180"/>
      <c r="AGW7" s="180"/>
      <c r="AGX7" s="180"/>
      <c r="AGY7" s="180"/>
      <c r="AGZ7" s="180"/>
      <c r="AHA7" s="180"/>
      <c r="AHB7" s="180"/>
      <c r="AHC7" s="180"/>
      <c r="AHD7" s="180"/>
      <c r="AHE7" s="180"/>
      <c r="AHF7" s="180"/>
      <c r="AHG7" s="180"/>
      <c r="AHH7" s="180"/>
      <c r="AHI7" s="180"/>
      <c r="AHJ7" s="180"/>
      <c r="AHK7" s="180"/>
      <c r="AHL7" s="180"/>
      <c r="AHM7" s="180"/>
      <c r="AHN7" s="180"/>
      <c r="AHO7" s="180"/>
      <c r="AHP7" s="180"/>
      <c r="AHQ7" s="180"/>
      <c r="AHR7" s="180"/>
      <c r="AHS7" s="180"/>
      <c r="AHT7" s="180"/>
      <c r="AHU7" s="180"/>
      <c r="AHV7" s="180"/>
      <c r="AHW7" s="180"/>
      <c r="AHX7" s="180"/>
      <c r="AHY7" s="180"/>
      <c r="AHZ7" s="180"/>
      <c r="AIA7" s="180"/>
      <c r="AIB7" s="180"/>
      <c r="AIC7" s="180"/>
      <c r="AID7" s="180"/>
      <c r="AIE7" s="180"/>
      <c r="AIF7" s="180"/>
      <c r="AIG7" s="180"/>
      <c r="AIH7" s="180"/>
      <c r="AII7" s="180"/>
      <c r="AIJ7" s="180"/>
      <c r="AIK7" s="180"/>
      <c r="AIL7" s="180"/>
      <c r="AIM7" s="180"/>
      <c r="AIN7" s="180"/>
      <c r="AIO7" s="180"/>
      <c r="AIP7" s="180"/>
      <c r="AIQ7" s="180"/>
      <c r="AIR7" s="180"/>
      <c r="AIS7" s="180"/>
      <c r="AIT7" s="180"/>
      <c r="AIU7" s="180"/>
      <c r="AIV7" s="180"/>
      <c r="AIW7" s="180"/>
      <c r="AIX7" s="180"/>
      <c r="AIY7" s="180"/>
      <c r="AIZ7" s="180"/>
      <c r="AJA7" s="180"/>
      <c r="AJB7" s="180"/>
      <c r="AJC7" s="180"/>
      <c r="AJD7" s="180"/>
      <c r="AJE7" s="180"/>
      <c r="AJF7" s="180"/>
      <c r="AJG7" s="180"/>
      <c r="AJH7" s="180"/>
      <c r="AJI7" s="180"/>
      <c r="AJJ7" s="180"/>
      <c r="AJK7" s="180"/>
      <c r="AJL7" s="180"/>
      <c r="AJM7" s="180"/>
      <c r="AJN7" s="180"/>
      <c r="AJO7" s="180"/>
      <c r="AJP7" s="180"/>
      <c r="AJQ7" s="180"/>
      <c r="AJR7" s="180"/>
      <c r="AJS7" s="180"/>
      <c r="AJT7" s="180"/>
      <c r="AJU7" s="180"/>
      <c r="AJV7" s="180"/>
      <c r="AJW7" s="180"/>
      <c r="AJX7" s="180"/>
      <c r="AJY7" s="180"/>
      <c r="AJZ7" s="180"/>
      <c r="AKA7" s="180"/>
      <c r="AKB7" s="180"/>
      <c r="AKC7" s="180"/>
      <c r="AKD7" s="180"/>
      <c r="AKE7" s="180"/>
      <c r="AKF7" s="180"/>
      <c r="AKG7" s="180"/>
      <c r="AKH7" s="180"/>
      <c r="AKI7" s="180"/>
      <c r="AKJ7" s="180"/>
      <c r="AKK7" s="180"/>
      <c r="AKL7" s="180"/>
      <c r="AKM7" s="180"/>
      <c r="AKN7" s="180"/>
      <c r="AKO7" s="180"/>
      <c r="AKP7" s="180"/>
      <c r="AKQ7" s="180"/>
      <c r="AKR7" s="180"/>
      <c r="AKS7" s="180"/>
      <c r="AKT7" s="180"/>
      <c r="AKU7" s="180"/>
      <c r="AKV7" s="180"/>
      <c r="AKW7" s="180"/>
      <c r="AKX7" s="180"/>
      <c r="AKY7" s="180"/>
      <c r="AKZ7" s="180"/>
      <c r="ALA7" s="180"/>
      <c r="ALB7" s="180"/>
      <c r="ALC7" s="180"/>
      <c r="ALD7" s="180"/>
      <c r="ALE7" s="180"/>
      <c r="ALF7" s="180"/>
      <c r="ALG7" s="180"/>
      <c r="ALH7" s="180"/>
      <c r="ALI7" s="180"/>
      <c r="ALJ7" s="180"/>
      <c r="ALK7" s="180"/>
      <c r="ALL7" s="180"/>
      <c r="ALM7" s="180"/>
      <c r="ALN7" s="180"/>
      <c r="ALO7" s="180"/>
      <c r="ALP7" s="180"/>
      <c r="ALQ7" s="180"/>
      <c r="ALR7" s="180"/>
      <c r="ALS7" s="180"/>
      <c r="ALT7" s="180"/>
      <c r="ALU7" s="180"/>
      <c r="ALV7" s="180"/>
      <c r="ALW7" s="180"/>
      <c r="ALX7" s="180"/>
      <c r="ALY7" s="180"/>
      <c r="ALZ7" s="180"/>
      <c r="AMA7" s="180"/>
      <c r="AMB7" s="180"/>
      <c r="AMC7" s="180"/>
      <c r="AMD7" s="180"/>
      <c r="AME7" s="180"/>
      <c r="AMF7" s="180"/>
      <c r="AMG7" s="180"/>
      <c r="AMH7" s="180"/>
      <c r="AMI7" s="180"/>
      <c r="AMJ7" s="180"/>
      <c r="AMK7" s="180"/>
      <c r="AML7" s="180"/>
      <c r="AMM7" s="180"/>
      <c r="AMN7" s="180"/>
      <c r="AMO7" s="180"/>
      <c r="AMP7" s="180"/>
      <c r="AMQ7" s="180"/>
      <c r="AMR7" s="180"/>
      <c r="AMS7" s="180"/>
      <c r="AMT7" s="180"/>
      <c r="AMU7" s="180"/>
      <c r="AMV7" s="180"/>
      <c r="AMW7" s="180"/>
      <c r="AMX7" s="180"/>
      <c r="AMY7" s="180"/>
      <c r="AMZ7" s="180"/>
      <c r="ANA7" s="180"/>
      <c r="ANB7" s="180"/>
      <c r="ANC7" s="180"/>
      <c r="AND7" s="180"/>
      <c r="ANE7" s="180"/>
      <c r="ANF7" s="180"/>
      <c r="ANG7" s="180"/>
      <c r="ANH7" s="180"/>
      <c r="ANI7" s="180"/>
      <c r="ANJ7" s="180"/>
      <c r="ANK7" s="180"/>
      <c r="ANL7" s="180"/>
      <c r="ANM7" s="180"/>
      <c r="ANN7" s="180"/>
      <c r="ANO7" s="180"/>
      <c r="ANP7" s="180"/>
      <c r="ANQ7" s="180"/>
      <c r="ANR7" s="180"/>
      <c r="ANS7" s="180"/>
      <c r="ANT7" s="180"/>
      <c r="ANU7" s="180"/>
      <c r="ANV7" s="180"/>
      <c r="ANW7" s="180"/>
      <c r="ANX7" s="180"/>
      <c r="ANY7" s="180"/>
      <c r="ANZ7" s="180"/>
      <c r="AOA7" s="180"/>
      <c r="AOB7" s="180"/>
      <c r="AOC7" s="180"/>
      <c r="AOD7" s="180"/>
      <c r="AOE7" s="180"/>
      <c r="AOF7" s="180"/>
      <c r="AOG7" s="180"/>
      <c r="AOH7" s="180"/>
      <c r="AOI7" s="180"/>
      <c r="AOJ7" s="180"/>
      <c r="AOK7" s="180"/>
      <c r="AOL7" s="180"/>
      <c r="AOM7" s="180"/>
      <c r="AON7" s="180"/>
      <c r="AOO7" s="180"/>
      <c r="AOP7" s="180"/>
      <c r="AOQ7" s="180"/>
      <c r="AOR7" s="180"/>
      <c r="AOS7" s="180"/>
      <c r="AOT7" s="180"/>
      <c r="AOU7" s="180"/>
      <c r="AOV7" s="180"/>
      <c r="AOW7" s="180"/>
      <c r="AOX7" s="180"/>
      <c r="AOY7" s="180"/>
      <c r="AOZ7" s="180"/>
      <c r="APA7" s="180"/>
      <c r="APB7" s="180"/>
      <c r="APC7" s="180"/>
      <c r="APD7" s="180"/>
      <c r="APE7" s="180"/>
      <c r="APF7" s="180"/>
      <c r="APG7" s="180"/>
      <c r="APH7" s="180"/>
      <c r="API7" s="180"/>
      <c r="APJ7" s="180"/>
      <c r="APK7" s="180"/>
      <c r="APL7" s="180"/>
      <c r="APM7" s="180"/>
      <c r="APN7" s="180"/>
      <c r="APO7" s="180"/>
      <c r="APP7" s="180"/>
      <c r="APQ7" s="180"/>
      <c r="APR7" s="180"/>
      <c r="APS7" s="180"/>
      <c r="APT7" s="180"/>
      <c r="APU7" s="180"/>
      <c r="APV7" s="180"/>
      <c r="APW7" s="180"/>
      <c r="APX7" s="180"/>
      <c r="APY7" s="180"/>
      <c r="APZ7" s="180"/>
      <c r="AQA7" s="180"/>
      <c r="AQB7" s="180"/>
      <c r="AQC7" s="180"/>
      <c r="AQD7" s="180"/>
      <c r="AQE7" s="180"/>
      <c r="AQF7" s="180"/>
      <c r="AQG7" s="180"/>
      <c r="AQH7" s="180"/>
      <c r="AQI7" s="180"/>
      <c r="AQJ7" s="180"/>
      <c r="AQK7" s="180"/>
      <c r="AQL7" s="180"/>
      <c r="AQM7" s="180"/>
      <c r="AQN7" s="180"/>
      <c r="AQO7" s="180"/>
      <c r="AQP7" s="180"/>
      <c r="AQQ7" s="180"/>
      <c r="AQR7" s="180"/>
      <c r="AQS7" s="180"/>
      <c r="AQT7" s="180"/>
      <c r="AQU7" s="180"/>
      <c r="AQV7" s="180"/>
      <c r="AQW7" s="180"/>
      <c r="AQX7" s="180"/>
      <c r="AQY7" s="180"/>
      <c r="AQZ7" s="180"/>
      <c r="ARA7" s="180"/>
      <c r="ARB7" s="180"/>
      <c r="ARC7" s="180"/>
      <c r="ARD7" s="180"/>
      <c r="ARE7" s="180"/>
      <c r="ARF7" s="180"/>
      <c r="ARG7" s="180"/>
      <c r="ARH7" s="180"/>
      <c r="ARI7" s="180"/>
      <c r="ARJ7" s="180"/>
      <c r="ARK7" s="180"/>
      <c r="ARL7" s="180"/>
      <c r="ARM7" s="180"/>
      <c r="ARN7" s="180"/>
      <c r="ARO7" s="180"/>
      <c r="ARP7" s="180"/>
      <c r="ARQ7" s="180"/>
      <c r="ARR7" s="180"/>
      <c r="ARS7" s="180"/>
      <c r="ART7" s="180"/>
      <c r="ARU7" s="180"/>
      <c r="ARV7" s="180"/>
      <c r="ARW7" s="180"/>
      <c r="ARX7" s="180"/>
      <c r="ARY7" s="180"/>
      <c r="ARZ7" s="180"/>
      <c r="ASA7" s="180"/>
      <c r="ASB7" s="180"/>
      <c r="ASC7" s="180"/>
      <c r="ASD7" s="180"/>
      <c r="ASE7" s="180"/>
      <c r="ASF7" s="180"/>
      <c r="ASG7" s="180"/>
      <c r="ASH7" s="180"/>
      <c r="ASI7" s="180"/>
      <c r="ASJ7" s="180"/>
      <c r="ASK7" s="180"/>
      <c r="ASL7" s="180"/>
      <c r="ASM7" s="180"/>
      <c r="ASN7" s="180"/>
      <c r="ASO7" s="180"/>
      <c r="ASP7" s="180"/>
      <c r="ASQ7" s="180"/>
      <c r="ASR7" s="180"/>
      <c r="ASS7" s="180"/>
      <c r="AST7" s="180"/>
      <c r="ASU7" s="180"/>
      <c r="ASV7" s="180"/>
      <c r="ASW7" s="180"/>
      <c r="ASX7" s="180"/>
      <c r="ASY7" s="180"/>
      <c r="ASZ7" s="180"/>
      <c r="ATA7" s="180"/>
      <c r="ATB7" s="180"/>
      <c r="ATC7" s="180"/>
      <c r="ATD7" s="180"/>
      <c r="ATE7" s="180"/>
      <c r="ATF7" s="180"/>
      <c r="ATG7" s="180"/>
      <c r="ATH7" s="180"/>
      <c r="ATI7" s="180"/>
      <c r="ATJ7" s="180"/>
      <c r="ATK7" s="180"/>
      <c r="ATL7" s="180"/>
      <c r="ATM7" s="180"/>
      <c r="ATN7" s="180"/>
      <c r="ATO7" s="180"/>
      <c r="ATP7" s="180"/>
      <c r="ATQ7" s="180"/>
      <c r="ATR7" s="180"/>
      <c r="ATS7" s="180"/>
      <c r="ATT7" s="180"/>
      <c r="ATU7" s="180"/>
      <c r="ATV7" s="180"/>
      <c r="ATW7" s="180"/>
      <c r="ATX7" s="180"/>
      <c r="ATY7" s="180"/>
      <c r="ATZ7" s="180"/>
      <c r="AUA7" s="180"/>
      <c r="AUB7" s="180"/>
      <c r="AUC7" s="180"/>
      <c r="AUD7" s="180"/>
      <c r="AUE7" s="180"/>
      <c r="AUF7" s="180"/>
      <c r="AUG7" s="180"/>
      <c r="AUH7" s="180"/>
      <c r="AUI7" s="180"/>
      <c r="AUJ7" s="180"/>
      <c r="AUK7" s="180"/>
      <c r="AUL7" s="180"/>
      <c r="AUM7" s="180"/>
      <c r="AUN7" s="180"/>
      <c r="AUO7" s="180"/>
      <c r="AUP7" s="180"/>
      <c r="AUQ7" s="180"/>
      <c r="AUR7" s="180"/>
      <c r="AUS7" s="180"/>
      <c r="AUT7" s="180"/>
      <c r="AUU7" s="180"/>
      <c r="AUV7" s="180"/>
      <c r="AUW7" s="180"/>
      <c r="AUX7" s="180"/>
      <c r="AUY7" s="180"/>
      <c r="AUZ7" s="180"/>
      <c r="AVA7" s="180"/>
      <c r="AVB7" s="180"/>
      <c r="AVC7" s="180"/>
      <c r="AVD7" s="180"/>
      <c r="AVE7" s="180"/>
      <c r="AVF7" s="180"/>
      <c r="AVG7" s="180"/>
      <c r="AVH7" s="180"/>
      <c r="AVI7" s="180"/>
      <c r="AVJ7" s="180"/>
      <c r="AVK7" s="180"/>
      <c r="AVL7" s="180"/>
      <c r="AVM7" s="180"/>
      <c r="AVN7" s="180"/>
      <c r="AVO7" s="180"/>
      <c r="AVP7" s="180"/>
      <c r="AVQ7" s="180"/>
      <c r="AVR7" s="180"/>
      <c r="AVS7" s="180"/>
      <c r="AVT7" s="180"/>
      <c r="AVU7" s="180"/>
      <c r="AVV7" s="180"/>
      <c r="AVW7" s="180"/>
      <c r="AVX7" s="180"/>
      <c r="AVY7" s="180"/>
      <c r="AVZ7" s="180"/>
      <c r="AWA7" s="180"/>
      <c r="AWB7" s="180"/>
      <c r="AWC7" s="180"/>
      <c r="AWD7" s="180"/>
      <c r="AWE7" s="180"/>
      <c r="AWF7" s="180"/>
      <c r="AWG7" s="180"/>
      <c r="AWH7" s="180"/>
      <c r="AWI7" s="180"/>
      <c r="AWJ7" s="180"/>
      <c r="AWK7" s="180"/>
      <c r="AWL7" s="180"/>
      <c r="AWM7" s="180"/>
      <c r="AWN7" s="180"/>
      <c r="AWO7" s="180"/>
      <c r="AWP7" s="180"/>
      <c r="AWQ7" s="180"/>
      <c r="AWR7" s="180"/>
      <c r="AWS7" s="180"/>
      <c r="AWT7" s="180"/>
      <c r="AWU7" s="180"/>
      <c r="AWV7" s="180"/>
      <c r="AWW7" s="180"/>
      <c r="AWX7" s="180"/>
      <c r="AWY7" s="180"/>
      <c r="AWZ7" s="180"/>
      <c r="AXA7" s="180"/>
      <c r="AXB7" s="180"/>
      <c r="AXC7" s="180"/>
      <c r="AXD7" s="180"/>
      <c r="AXE7" s="180"/>
      <c r="AXF7" s="180"/>
      <c r="AXG7" s="180"/>
      <c r="AXH7" s="180"/>
      <c r="AXI7" s="180"/>
      <c r="AXJ7" s="180"/>
      <c r="AXK7" s="180"/>
      <c r="AXL7" s="180"/>
      <c r="AXM7" s="180"/>
      <c r="AXN7" s="180"/>
      <c r="AXO7" s="180"/>
      <c r="AXP7" s="180"/>
      <c r="AXQ7" s="180"/>
      <c r="AXR7" s="180"/>
      <c r="AXS7" s="180"/>
      <c r="AXT7" s="180"/>
      <c r="AXU7" s="180"/>
      <c r="AXV7" s="180"/>
      <c r="AXW7" s="180"/>
      <c r="AXX7" s="180"/>
      <c r="AXY7" s="180"/>
      <c r="AXZ7" s="180"/>
      <c r="AYA7" s="180"/>
      <c r="AYB7" s="180"/>
      <c r="AYC7" s="180"/>
      <c r="AYD7" s="180"/>
      <c r="AYE7" s="180"/>
      <c r="AYF7" s="180"/>
      <c r="AYG7" s="180"/>
      <c r="AYH7" s="180"/>
      <c r="AYI7" s="180"/>
      <c r="AYJ7" s="180"/>
      <c r="AYK7" s="180"/>
      <c r="AYL7" s="180"/>
      <c r="AYM7" s="180"/>
      <c r="AYN7" s="180"/>
      <c r="AYO7" s="180"/>
      <c r="AYP7" s="180"/>
      <c r="AYQ7" s="180"/>
      <c r="AYR7" s="180"/>
      <c r="AYS7" s="180"/>
      <c r="AYT7" s="180"/>
      <c r="AYU7" s="180"/>
      <c r="AYV7" s="180"/>
      <c r="AYW7" s="180"/>
      <c r="AYX7" s="180"/>
      <c r="AYY7" s="180"/>
      <c r="AYZ7" s="180"/>
      <c r="AZA7" s="180"/>
      <c r="AZB7" s="180"/>
      <c r="AZC7" s="180"/>
      <c r="AZD7" s="180"/>
      <c r="AZE7" s="180"/>
      <c r="AZF7" s="180"/>
      <c r="AZG7" s="180"/>
      <c r="AZH7" s="180"/>
      <c r="AZI7" s="180"/>
      <c r="AZJ7" s="180"/>
      <c r="AZK7" s="180"/>
      <c r="AZL7" s="180"/>
      <c r="AZM7" s="180"/>
      <c r="AZN7" s="180"/>
      <c r="AZO7" s="180"/>
      <c r="AZP7" s="180"/>
      <c r="AZQ7" s="180"/>
      <c r="AZR7" s="180"/>
      <c r="AZS7" s="180"/>
      <c r="AZT7" s="180"/>
      <c r="AZU7" s="180"/>
      <c r="AZV7" s="180"/>
      <c r="AZW7" s="180"/>
      <c r="AZX7" s="180"/>
      <c r="AZY7" s="180"/>
      <c r="AZZ7" s="180"/>
      <c r="BAA7" s="180"/>
      <c r="BAB7" s="180"/>
      <c r="BAC7" s="180"/>
      <c r="BAD7" s="180"/>
      <c r="BAE7" s="180"/>
      <c r="BAF7" s="180"/>
      <c r="BAG7" s="180"/>
      <c r="BAH7" s="180"/>
      <c r="BAI7" s="180"/>
      <c r="BAJ7" s="180"/>
      <c r="BAK7" s="180"/>
      <c r="BAL7" s="180"/>
      <c r="BAM7" s="180"/>
      <c r="BAN7" s="180"/>
      <c r="BAO7" s="180"/>
      <c r="BAP7" s="180"/>
      <c r="BAQ7" s="180"/>
      <c r="BAR7" s="180"/>
      <c r="BAS7" s="180"/>
      <c r="BAT7" s="180"/>
      <c r="BAU7" s="180"/>
      <c r="BAV7" s="180"/>
      <c r="BAW7" s="180"/>
      <c r="BAX7" s="180"/>
      <c r="BAY7" s="180"/>
      <c r="BAZ7" s="180"/>
      <c r="BBA7" s="180"/>
      <c r="BBB7" s="180"/>
      <c r="BBC7" s="180"/>
      <c r="BBD7" s="180"/>
      <c r="BBE7" s="180"/>
      <c r="BBF7" s="180"/>
      <c r="BBG7" s="180"/>
      <c r="BBH7" s="180"/>
      <c r="BBI7" s="180"/>
      <c r="BBJ7" s="180"/>
      <c r="BBK7" s="180"/>
      <c r="BBL7" s="180"/>
      <c r="BBM7" s="180"/>
      <c r="BBN7" s="180"/>
      <c r="BBO7" s="180"/>
      <c r="BBP7" s="180"/>
      <c r="BBQ7" s="180"/>
      <c r="BBR7" s="180"/>
      <c r="BBS7" s="180"/>
      <c r="BBT7" s="180"/>
      <c r="BBU7" s="180"/>
      <c r="BBV7" s="180"/>
      <c r="BBW7" s="180"/>
      <c r="BBX7" s="180"/>
      <c r="BBY7" s="180"/>
      <c r="BBZ7" s="180"/>
      <c r="BCA7" s="180"/>
      <c r="BCB7" s="180"/>
      <c r="BCC7" s="180"/>
      <c r="BCD7" s="180"/>
      <c r="BCE7" s="180"/>
      <c r="BCF7" s="180"/>
      <c r="BCG7" s="180"/>
      <c r="BCH7" s="180"/>
      <c r="BCI7" s="180"/>
      <c r="BCJ7" s="180"/>
      <c r="BCK7" s="180"/>
      <c r="BCL7" s="180"/>
      <c r="BCM7" s="180"/>
      <c r="BCN7" s="180"/>
      <c r="BCO7" s="180"/>
      <c r="BCP7" s="180"/>
      <c r="BCQ7" s="180"/>
      <c r="BCR7" s="180"/>
      <c r="BCS7" s="180"/>
      <c r="BCT7" s="180"/>
      <c r="BCU7" s="180"/>
      <c r="BCV7" s="180"/>
      <c r="BCW7" s="180"/>
      <c r="BCX7" s="180"/>
      <c r="BCY7" s="180"/>
      <c r="BCZ7" s="180"/>
      <c r="BDA7" s="180"/>
      <c r="BDB7" s="180"/>
      <c r="BDC7" s="180"/>
      <c r="BDD7" s="180"/>
      <c r="BDE7" s="180"/>
      <c r="BDF7" s="180"/>
      <c r="BDG7" s="180"/>
      <c r="BDH7" s="180"/>
      <c r="BDI7" s="180"/>
      <c r="BDJ7" s="180"/>
      <c r="BDK7" s="180"/>
      <c r="BDL7" s="180"/>
      <c r="BDM7" s="180"/>
      <c r="BDN7" s="180"/>
      <c r="BDO7" s="180"/>
      <c r="BDP7" s="180"/>
      <c r="BDQ7" s="180"/>
      <c r="BDR7" s="180"/>
      <c r="BDS7" s="180"/>
      <c r="BDT7" s="180"/>
      <c r="BDU7" s="180"/>
      <c r="BDV7" s="180"/>
      <c r="BDW7" s="180"/>
      <c r="BDX7" s="180"/>
      <c r="BDY7" s="180"/>
      <c r="BDZ7" s="180"/>
      <c r="BEA7" s="180"/>
      <c r="BEB7" s="180"/>
      <c r="BEC7" s="180"/>
      <c r="BED7" s="180"/>
      <c r="BEE7" s="180"/>
      <c r="BEF7" s="180"/>
      <c r="BEG7" s="180"/>
      <c r="BEH7" s="180"/>
      <c r="BEI7" s="180"/>
      <c r="BEJ7" s="180"/>
      <c r="BEK7" s="180"/>
      <c r="BEL7" s="180"/>
      <c r="BEM7" s="180"/>
      <c r="BEN7" s="180"/>
      <c r="BEO7" s="180"/>
      <c r="BEP7" s="180"/>
      <c r="BEQ7" s="180"/>
      <c r="BER7" s="180"/>
      <c r="BES7" s="180"/>
      <c r="BET7" s="180"/>
      <c r="BEU7" s="180"/>
      <c r="BEV7" s="180"/>
      <c r="BEW7" s="180"/>
      <c r="BEX7" s="180"/>
      <c r="BEY7" s="180"/>
      <c r="BEZ7" s="180"/>
      <c r="BFA7" s="180"/>
      <c r="BFB7" s="180"/>
      <c r="BFC7" s="180"/>
      <c r="BFD7" s="180"/>
      <c r="BFE7" s="180"/>
      <c r="BFF7" s="180"/>
      <c r="BFG7" s="180"/>
      <c r="BFH7" s="180"/>
      <c r="BFI7" s="180"/>
      <c r="BFJ7" s="180"/>
      <c r="BFK7" s="180"/>
      <c r="BFL7" s="180"/>
      <c r="BFM7" s="180"/>
      <c r="BFN7" s="180"/>
      <c r="BFO7" s="180"/>
      <c r="BFP7" s="180"/>
      <c r="BFQ7" s="180"/>
      <c r="BFR7" s="180"/>
      <c r="BFS7" s="180"/>
      <c r="BFT7" s="180"/>
      <c r="BFU7" s="180"/>
      <c r="BFV7" s="180"/>
      <c r="BFW7" s="180"/>
      <c r="BFX7" s="180"/>
      <c r="BFY7" s="180"/>
      <c r="BFZ7" s="180"/>
      <c r="BGA7" s="180"/>
      <c r="BGB7" s="180"/>
      <c r="BGC7" s="180"/>
      <c r="BGD7" s="180"/>
      <c r="BGE7" s="180"/>
      <c r="BGF7" s="180"/>
      <c r="BGG7" s="180"/>
      <c r="BGH7" s="180"/>
      <c r="BGI7" s="180"/>
      <c r="BGJ7" s="180"/>
      <c r="BGK7" s="180"/>
      <c r="BGL7" s="180"/>
      <c r="BGM7" s="180"/>
      <c r="BGN7" s="180"/>
      <c r="BGO7" s="180"/>
      <c r="BGP7" s="180"/>
      <c r="BGQ7" s="180"/>
      <c r="BGR7" s="180"/>
      <c r="BGS7" s="180"/>
      <c r="BGT7" s="180"/>
      <c r="BGU7" s="180"/>
      <c r="BGV7" s="180"/>
      <c r="BGW7" s="180"/>
      <c r="BGX7" s="180"/>
      <c r="BGY7" s="180"/>
      <c r="BGZ7" s="180"/>
      <c r="BHA7" s="180"/>
      <c r="BHB7" s="180"/>
      <c r="BHC7" s="180"/>
      <c r="BHD7" s="180"/>
      <c r="BHE7" s="180"/>
      <c r="BHF7" s="180"/>
      <c r="BHG7" s="180"/>
      <c r="BHH7" s="180"/>
      <c r="BHI7" s="180"/>
      <c r="BHJ7" s="180"/>
      <c r="BHK7" s="180"/>
      <c r="BHL7" s="180"/>
      <c r="BHM7" s="180"/>
      <c r="BHN7" s="180"/>
      <c r="BHO7" s="180"/>
      <c r="BHP7" s="180"/>
      <c r="BHQ7" s="180"/>
      <c r="BHR7" s="180"/>
      <c r="BHS7" s="180"/>
      <c r="BHT7" s="180"/>
      <c r="BHU7" s="180"/>
      <c r="BHV7" s="180"/>
      <c r="BHW7" s="180"/>
      <c r="BHX7" s="180"/>
      <c r="BHY7" s="180"/>
      <c r="BHZ7" s="180"/>
      <c r="BIA7" s="180"/>
      <c r="BIB7" s="180"/>
      <c r="BIC7" s="180"/>
      <c r="BID7" s="180"/>
      <c r="BIE7" s="180"/>
      <c r="BIF7" s="180"/>
      <c r="BIG7" s="180"/>
      <c r="BIH7" s="180"/>
      <c r="BII7" s="180"/>
      <c r="BIJ7" s="180"/>
      <c r="BIK7" s="180"/>
      <c r="BIL7" s="180"/>
      <c r="BIM7" s="180"/>
      <c r="BIN7" s="180"/>
      <c r="BIO7" s="180"/>
      <c r="BIP7" s="180"/>
      <c r="BIQ7" s="180"/>
      <c r="BIR7" s="180"/>
      <c r="BIS7" s="180"/>
      <c r="BIT7" s="180"/>
      <c r="BIU7" s="180"/>
      <c r="BIV7" s="180"/>
      <c r="BIW7" s="180"/>
      <c r="BIX7" s="180"/>
      <c r="BIY7" s="180"/>
      <c r="BIZ7" s="180"/>
      <c r="BJA7" s="180"/>
      <c r="BJB7" s="180"/>
      <c r="BJC7" s="180"/>
      <c r="BJD7" s="180"/>
      <c r="BJE7" s="180"/>
      <c r="BJF7" s="180"/>
      <c r="BJG7" s="180"/>
      <c r="BJH7" s="180"/>
      <c r="BJI7" s="180"/>
      <c r="BJJ7" s="180"/>
      <c r="BJK7" s="180"/>
      <c r="BJL7" s="180"/>
      <c r="BJM7" s="180"/>
      <c r="BJN7" s="180"/>
      <c r="BJO7" s="180"/>
      <c r="BJP7" s="180"/>
      <c r="BJQ7" s="180"/>
      <c r="BJR7" s="180"/>
      <c r="BJS7" s="180"/>
      <c r="BJT7" s="180"/>
      <c r="BJU7" s="180"/>
      <c r="BJV7" s="180"/>
      <c r="BJW7" s="180"/>
      <c r="BJX7" s="180"/>
      <c r="BJY7" s="180"/>
      <c r="BJZ7" s="180"/>
      <c r="BKA7" s="180"/>
      <c r="BKB7" s="180"/>
      <c r="BKC7" s="180"/>
      <c r="BKD7" s="180"/>
      <c r="BKE7" s="180"/>
      <c r="BKF7" s="180"/>
      <c r="BKG7" s="180"/>
      <c r="BKH7" s="180"/>
      <c r="BKI7" s="180"/>
      <c r="BKJ7" s="180"/>
      <c r="BKK7" s="180"/>
      <c r="BKL7" s="180"/>
      <c r="BKM7" s="180"/>
      <c r="BKN7" s="180"/>
      <c r="BKO7" s="180"/>
      <c r="BKP7" s="180"/>
      <c r="BKQ7" s="180"/>
      <c r="BKR7" s="180"/>
      <c r="BKS7" s="180"/>
      <c r="BKT7" s="180"/>
      <c r="BKU7" s="180"/>
      <c r="BKV7" s="180"/>
      <c r="BKW7" s="180"/>
      <c r="BKX7" s="180"/>
      <c r="BKY7" s="180"/>
      <c r="BKZ7" s="180"/>
      <c r="BLA7" s="180"/>
      <c r="BLB7" s="180"/>
      <c r="BLC7" s="180"/>
      <c r="BLD7" s="180"/>
      <c r="BLE7" s="180"/>
      <c r="BLF7" s="180"/>
      <c r="BLG7" s="180"/>
      <c r="BLH7" s="180"/>
      <c r="BLI7" s="180"/>
      <c r="BLJ7" s="180"/>
      <c r="BLK7" s="180"/>
      <c r="BLL7" s="180"/>
      <c r="BLM7" s="180"/>
      <c r="BLN7" s="180"/>
      <c r="BLO7" s="180"/>
      <c r="BLP7" s="180"/>
      <c r="BLQ7" s="180"/>
      <c r="BLR7" s="180"/>
      <c r="BLS7" s="180"/>
      <c r="BLT7" s="180"/>
      <c r="BLU7" s="180"/>
      <c r="BLV7" s="180"/>
      <c r="BLW7" s="180"/>
      <c r="BLX7" s="180"/>
      <c r="BLY7" s="180"/>
      <c r="BLZ7" s="180"/>
      <c r="BMA7" s="180"/>
      <c r="BMB7" s="180"/>
      <c r="BMC7" s="180"/>
      <c r="BMD7" s="180"/>
      <c r="BME7" s="180"/>
      <c r="BMF7" s="180"/>
      <c r="BMG7" s="180"/>
      <c r="BMH7" s="180"/>
      <c r="BMI7" s="180"/>
      <c r="BMJ7" s="180"/>
      <c r="BMK7" s="180"/>
      <c r="BML7" s="180"/>
      <c r="BMM7" s="180"/>
      <c r="BMN7" s="180"/>
      <c r="BMO7" s="180"/>
      <c r="BMP7" s="180"/>
      <c r="BMQ7" s="180"/>
      <c r="BMR7" s="180"/>
      <c r="BMS7" s="180"/>
      <c r="BMT7" s="180"/>
      <c r="BMU7" s="180"/>
      <c r="BMV7" s="180"/>
      <c r="BMW7" s="180"/>
      <c r="BMX7" s="180"/>
      <c r="BMY7" s="180"/>
      <c r="BMZ7" s="180"/>
      <c r="BNA7" s="180"/>
      <c r="BNB7" s="180"/>
      <c r="BNC7" s="180"/>
      <c r="BND7" s="180"/>
      <c r="BNE7" s="180"/>
      <c r="BNF7" s="180"/>
      <c r="BNG7" s="180"/>
      <c r="BNH7" s="180"/>
      <c r="BNI7" s="180"/>
      <c r="BNJ7" s="180"/>
      <c r="BNK7" s="180"/>
      <c r="BNL7" s="180"/>
      <c r="BNM7" s="180"/>
      <c r="BNN7" s="180"/>
      <c r="BNO7" s="180"/>
      <c r="BNP7" s="180"/>
      <c r="BNQ7" s="180"/>
      <c r="BNR7" s="180"/>
      <c r="BNS7" s="180"/>
      <c r="BNT7" s="180"/>
      <c r="BNU7" s="180"/>
      <c r="BNV7" s="180"/>
      <c r="BNW7" s="180"/>
      <c r="BNX7" s="180"/>
      <c r="BNY7" s="180"/>
      <c r="BNZ7" s="180"/>
      <c r="BOA7" s="180"/>
      <c r="BOB7" s="180"/>
      <c r="BOC7" s="180"/>
      <c r="BOD7" s="180"/>
      <c r="BOE7" s="180"/>
      <c r="BOF7" s="180"/>
      <c r="BOG7" s="180"/>
      <c r="BOH7" s="180"/>
      <c r="BOI7" s="180"/>
      <c r="BOJ7" s="180"/>
      <c r="BOK7" s="180"/>
      <c r="BOL7" s="180"/>
      <c r="BOM7" s="180"/>
      <c r="BON7" s="180"/>
      <c r="BOO7" s="180"/>
      <c r="BOP7" s="180"/>
      <c r="BOQ7" s="180"/>
      <c r="BOR7" s="180"/>
      <c r="BOS7" s="180"/>
      <c r="BOT7" s="180"/>
      <c r="BOU7" s="180"/>
      <c r="BOV7" s="180"/>
      <c r="BOW7" s="180"/>
      <c r="BOX7" s="180"/>
      <c r="BOY7" s="180"/>
      <c r="BOZ7" s="180"/>
      <c r="BPA7" s="180"/>
      <c r="BPB7" s="180"/>
      <c r="BPC7" s="180"/>
      <c r="BPD7" s="180"/>
      <c r="BPE7" s="180"/>
      <c r="BPF7" s="180"/>
      <c r="BPG7" s="180"/>
      <c r="BPH7" s="180"/>
      <c r="BPI7" s="180"/>
      <c r="BPJ7" s="180"/>
      <c r="BPK7" s="180"/>
      <c r="BPL7" s="180"/>
      <c r="BPM7" s="180"/>
      <c r="BPN7" s="180"/>
      <c r="BPO7" s="180"/>
      <c r="BPP7" s="180"/>
      <c r="BPQ7" s="180"/>
      <c r="BPR7" s="180"/>
      <c r="BPS7" s="180"/>
      <c r="BPT7" s="180"/>
      <c r="BPU7" s="180"/>
      <c r="BPV7" s="180"/>
      <c r="BPW7" s="180"/>
      <c r="BPX7" s="180"/>
      <c r="BPY7" s="180"/>
      <c r="BPZ7" s="180"/>
      <c r="BQA7" s="180"/>
      <c r="BQB7" s="180"/>
      <c r="BQC7" s="180"/>
      <c r="BQD7" s="180"/>
      <c r="BQE7" s="180"/>
      <c r="BQF7" s="180"/>
      <c r="BQG7" s="180"/>
      <c r="BQH7" s="180"/>
      <c r="BQI7" s="180"/>
      <c r="BQJ7" s="180"/>
      <c r="BQK7" s="180"/>
      <c r="BQL7" s="180"/>
      <c r="BQM7" s="180"/>
      <c r="BQN7" s="180"/>
      <c r="BQO7" s="180"/>
      <c r="BQP7" s="180"/>
      <c r="BQQ7" s="180"/>
      <c r="BQR7" s="180"/>
      <c r="BQS7" s="180"/>
      <c r="BQT7" s="180"/>
      <c r="BQU7" s="180"/>
      <c r="BQV7" s="180"/>
      <c r="BQW7" s="180"/>
      <c r="BQX7" s="180"/>
      <c r="BQY7" s="180"/>
      <c r="BQZ7" s="180"/>
      <c r="BRA7" s="180"/>
      <c r="BRB7" s="180"/>
      <c r="BRC7" s="180"/>
      <c r="BRD7" s="180"/>
      <c r="BRE7" s="180"/>
      <c r="BRF7" s="180"/>
      <c r="BRG7" s="180"/>
      <c r="BRH7" s="180"/>
      <c r="BRI7" s="180"/>
      <c r="BRJ7" s="180"/>
      <c r="BRK7" s="180"/>
      <c r="BRL7" s="180"/>
      <c r="BRM7" s="180"/>
      <c r="BRN7" s="180"/>
      <c r="BRO7" s="180"/>
      <c r="BRP7" s="180"/>
      <c r="BRQ7" s="180"/>
      <c r="BRR7" s="180"/>
      <c r="BRS7" s="180"/>
      <c r="BRT7" s="180"/>
      <c r="BRU7" s="180"/>
      <c r="BRV7" s="180"/>
      <c r="BRW7" s="180"/>
      <c r="BRX7" s="180"/>
      <c r="BRY7" s="180"/>
      <c r="BRZ7" s="180"/>
      <c r="BSA7" s="180"/>
      <c r="BSB7" s="180"/>
      <c r="BSC7" s="180"/>
      <c r="BSD7" s="180"/>
      <c r="BSE7" s="180"/>
      <c r="BSF7" s="180"/>
      <c r="BSG7" s="180"/>
      <c r="BSH7" s="180"/>
      <c r="BSI7" s="180"/>
      <c r="BSJ7" s="180"/>
      <c r="BSK7" s="180"/>
      <c r="BSL7" s="180"/>
      <c r="BSM7" s="180"/>
      <c r="BSN7" s="180"/>
      <c r="BSO7" s="180"/>
      <c r="BSP7" s="180"/>
      <c r="BSQ7" s="180"/>
      <c r="BSR7" s="180"/>
      <c r="BSS7" s="180"/>
      <c r="BST7" s="180"/>
      <c r="BSU7" s="180"/>
      <c r="BSV7" s="180"/>
      <c r="BSW7" s="180"/>
      <c r="BSX7" s="180"/>
      <c r="BSY7" s="180"/>
      <c r="BSZ7" s="180"/>
      <c r="BTA7" s="180"/>
      <c r="BTB7" s="180"/>
      <c r="BTC7" s="180"/>
      <c r="BTD7" s="180"/>
      <c r="BTE7" s="180"/>
      <c r="BTF7" s="180"/>
      <c r="BTG7" s="180"/>
      <c r="BTH7" s="180"/>
      <c r="BTI7" s="180"/>
      <c r="BTJ7" s="180"/>
      <c r="BTK7" s="180"/>
      <c r="BTL7" s="180"/>
      <c r="BTM7" s="180"/>
      <c r="BTN7" s="180"/>
      <c r="BTO7" s="180"/>
      <c r="BTP7" s="180"/>
      <c r="BTQ7" s="180"/>
      <c r="BTR7" s="180"/>
      <c r="BTS7" s="180"/>
      <c r="BTT7" s="180"/>
      <c r="BTU7" s="180"/>
      <c r="BTV7" s="180"/>
      <c r="BTW7" s="180"/>
      <c r="BTX7" s="180"/>
      <c r="BTY7" s="180"/>
      <c r="BTZ7" s="180"/>
      <c r="BUA7" s="180"/>
      <c r="BUB7" s="180"/>
      <c r="BUC7" s="180"/>
      <c r="BUD7" s="180"/>
      <c r="BUE7" s="180"/>
      <c r="BUF7" s="180"/>
      <c r="BUG7" s="180"/>
      <c r="BUH7" s="180"/>
      <c r="BUI7" s="180"/>
      <c r="BUJ7" s="180"/>
      <c r="BUK7" s="180"/>
      <c r="BUL7" s="180"/>
      <c r="BUM7" s="180"/>
      <c r="BUN7" s="180"/>
      <c r="BUO7" s="180"/>
      <c r="BUP7" s="180"/>
      <c r="BUQ7" s="180"/>
      <c r="BUR7" s="180"/>
      <c r="BUS7" s="180"/>
      <c r="BUT7" s="180"/>
      <c r="BUU7" s="180"/>
      <c r="BUV7" s="180"/>
      <c r="BUW7" s="180"/>
      <c r="BUX7" s="180"/>
      <c r="BUY7" s="180"/>
      <c r="BUZ7" s="180"/>
      <c r="BVA7" s="180"/>
      <c r="BVB7" s="180"/>
      <c r="BVC7" s="180"/>
      <c r="BVD7" s="180"/>
      <c r="BVE7" s="180"/>
      <c r="BVF7" s="180"/>
      <c r="BVG7" s="180"/>
      <c r="BVH7" s="180"/>
      <c r="BVI7" s="180"/>
      <c r="BVJ7" s="180"/>
      <c r="BVK7" s="180"/>
      <c r="BVL7" s="180"/>
      <c r="BVM7" s="180"/>
      <c r="BVN7" s="180"/>
      <c r="BVO7" s="180"/>
      <c r="BVP7" s="180"/>
      <c r="BVQ7" s="180"/>
      <c r="BVR7" s="180"/>
      <c r="BVS7" s="180"/>
      <c r="BVT7" s="180"/>
      <c r="BVU7" s="180"/>
      <c r="BVV7" s="180"/>
      <c r="BVW7" s="180"/>
      <c r="BVX7" s="180"/>
      <c r="BVY7" s="180"/>
      <c r="BVZ7" s="180"/>
      <c r="BWA7" s="180"/>
      <c r="BWB7" s="180"/>
      <c r="BWC7" s="180"/>
      <c r="BWD7" s="180"/>
      <c r="BWE7" s="180"/>
      <c r="BWF7" s="180"/>
      <c r="BWG7" s="180"/>
      <c r="BWH7" s="180"/>
      <c r="BWI7" s="180"/>
      <c r="BWJ7" s="180"/>
      <c r="BWK7" s="180"/>
      <c r="BWL7" s="180"/>
      <c r="BWM7" s="180"/>
      <c r="BWN7" s="180"/>
      <c r="BWO7" s="180"/>
      <c r="BWP7" s="180"/>
      <c r="BWQ7" s="180"/>
      <c r="BWR7" s="180"/>
      <c r="BWS7" s="180"/>
      <c r="BWT7" s="180"/>
      <c r="BWU7" s="180"/>
      <c r="BWV7" s="180"/>
      <c r="BWW7" s="180"/>
      <c r="BWX7" s="180"/>
      <c r="BWY7" s="180"/>
      <c r="BWZ7" s="180"/>
      <c r="BXA7" s="180"/>
      <c r="BXB7" s="180"/>
      <c r="BXC7" s="180"/>
      <c r="BXD7" s="180"/>
      <c r="BXE7" s="180"/>
      <c r="BXF7" s="180"/>
      <c r="BXG7" s="180"/>
      <c r="BXH7" s="180"/>
      <c r="BXI7" s="180"/>
      <c r="BXJ7" s="180"/>
      <c r="BXK7" s="180"/>
      <c r="BXL7" s="180"/>
      <c r="BXM7" s="180"/>
      <c r="BXN7" s="180"/>
      <c r="BXO7" s="180"/>
      <c r="BXP7" s="180"/>
      <c r="BXQ7" s="180"/>
      <c r="BXR7" s="180"/>
      <c r="BXS7" s="180"/>
      <c r="BXT7" s="180"/>
      <c r="BXU7" s="180"/>
      <c r="BXV7" s="180"/>
      <c r="BXW7" s="180"/>
      <c r="BXX7" s="180"/>
      <c r="BXY7" s="180"/>
      <c r="BXZ7" s="180"/>
      <c r="BYA7" s="180"/>
      <c r="BYB7" s="180"/>
      <c r="BYC7" s="180"/>
    </row>
    <row r="8" spans="1:2005" s="182" customFormat="1">
      <c r="A8" s="1886"/>
      <c r="B8" s="517" t="s">
        <v>66</v>
      </c>
      <c r="C8" s="1079">
        <f>AVERAGE(FeedNutrientComposition!B92:B97,FeedNutrientComposition!B99:B101)/100</f>
        <v>0.87222222222222223</v>
      </c>
      <c r="D8" s="711">
        <f>STDEV(FeedNutrientComposition!B92:B97,FeedNutrientComposition!B99:B101)/100</f>
        <v>5.4949471739448461E-2</v>
      </c>
      <c r="E8" s="362">
        <f>AVERAGE(FeedNutrientComposition!B231:B232)/100</f>
        <v>0.84499999999999997</v>
      </c>
      <c r="F8" s="362">
        <f>STDEV(FeedNutrientComposition!B231:B232)/100</f>
        <v>3.5355339059327376E-2</v>
      </c>
      <c r="G8" s="462">
        <f>AVERAGE(FeedNutrientComposition!B32:B38,FeedNutrientComposition!B40)/100</f>
        <v>0.8125</v>
      </c>
      <c r="H8" s="710">
        <f>STDEV(FeedNutrientComposition!B32:B38,FeedNutrientComposition!B40)/100</f>
        <v>0.18774983355518585</v>
      </c>
      <c r="I8" s="362">
        <f>AVERAGE(FeedNutrientComposition!B181:B184)/100</f>
        <v>0.90500000000000003</v>
      </c>
      <c r="J8" s="362">
        <f>STDEV(FeedNutrientComposition!B181:B184)/100</f>
        <v>1.7320508075688773E-2</v>
      </c>
      <c r="K8" s="412"/>
      <c r="L8" s="751"/>
      <c r="M8" s="462">
        <f>AVERAGE(FeedNutrientComposition!B231:B232,FeedNutrientComposition!B235:B240)/100</f>
        <v>0.87875000000000003</v>
      </c>
      <c r="N8" s="711">
        <f>STDEV(FeedNutrientComposition!B231:B232,FeedNutrientComposition!B235:B240)/100</f>
        <v>2.6423744732991302E-2</v>
      </c>
      <c r="O8" s="362">
        <f>AVERAGE(FeedNutrientComposition!B268:B273)/100</f>
        <v>0.88166666666666671</v>
      </c>
      <c r="P8" s="755">
        <f>STDEV(FeedNutrientComposition!B268:B273)/100</f>
        <v>2.1369760566432805E-2</v>
      </c>
      <c r="Q8" s="636"/>
      <c r="R8" s="757"/>
      <c r="S8" s="362">
        <f>AVERAGE(FeedNutrientComposition!B102:B104)/100</f>
        <v>0.28000000000000003</v>
      </c>
      <c r="T8" s="758">
        <f>STDEV(FeedNutrientComposition!B102:B104)/100</f>
        <v>5.2915026221291815E-2</v>
      </c>
      <c r="U8" s="180">
        <f>FeedNutrientComposition!B230/100</f>
        <v>0.32</v>
      </c>
      <c r="V8" s="180">
        <f>U8*0.1</f>
        <v>3.2000000000000001E-2</v>
      </c>
      <c r="W8" s="404">
        <v>0.87</v>
      </c>
      <c r="X8" s="475">
        <f>W8*0.1</f>
        <v>8.7000000000000008E-2</v>
      </c>
      <c r="Y8" s="647"/>
      <c r="Z8" s="773"/>
      <c r="AA8" s="1180" t="s">
        <v>375</v>
      </c>
      <c r="AB8" s="180"/>
      <c r="AC8" s="648"/>
      <c r="AD8" s="1597"/>
      <c r="AE8" s="1600"/>
      <c r="AF8" s="180"/>
      <c r="AG8" s="180"/>
      <c r="AH8" s="180"/>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c r="BQ8" s="180"/>
      <c r="BR8" s="180"/>
      <c r="BS8" s="180"/>
      <c r="BT8" s="180"/>
      <c r="BU8" s="180"/>
      <c r="BV8" s="180"/>
      <c r="BW8" s="180"/>
      <c r="BX8" s="180"/>
      <c r="BY8" s="180"/>
      <c r="BZ8" s="180"/>
      <c r="CA8" s="180"/>
      <c r="CB8" s="180"/>
      <c r="CC8" s="180"/>
      <c r="CD8" s="180"/>
      <c r="CE8" s="180"/>
      <c r="CF8" s="180"/>
      <c r="CG8" s="180"/>
      <c r="CH8" s="180"/>
      <c r="CI8" s="180"/>
      <c r="CJ8" s="180"/>
      <c r="CK8" s="180"/>
      <c r="CL8" s="180"/>
      <c r="CM8" s="180"/>
      <c r="CN8" s="180"/>
      <c r="CO8" s="180"/>
      <c r="CP8" s="180"/>
      <c r="CQ8" s="180"/>
      <c r="CR8" s="180"/>
      <c r="CS8" s="180"/>
      <c r="CT8" s="180"/>
      <c r="CU8" s="180"/>
      <c r="CV8" s="180"/>
      <c r="CW8" s="180"/>
      <c r="CX8" s="180"/>
      <c r="CY8" s="180"/>
      <c r="CZ8" s="180"/>
      <c r="DA8" s="180"/>
      <c r="DB8" s="180"/>
      <c r="DC8" s="180"/>
      <c r="DD8" s="180"/>
      <c r="DE8" s="180"/>
      <c r="DF8" s="180"/>
      <c r="DG8" s="180"/>
      <c r="DH8" s="180"/>
      <c r="DI8" s="180"/>
      <c r="DJ8" s="180"/>
      <c r="DK8" s="180"/>
      <c r="DL8" s="180"/>
      <c r="DM8" s="180"/>
      <c r="DN8" s="180"/>
      <c r="DO8" s="180"/>
      <c r="DP8" s="180"/>
      <c r="DQ8" s="180"/>
      <c r="DR8" s="180"/>
      <c r="DS8" s="180"/>
      <c r="DT8" s="180"/>
      <c r="DU8" s="180"/>
      <c r="DV8" s="180"/>
      <c r="DW8" s="180"/>
      <c r="DX8" s="180"/>
      <c r="DY8" s="180"/>
      <c r="DZ8" s="180"/>
      <c r="EA8" s="180"/>
      <c r="EB8" s="180"/>
      <c r="EC8" s="180"/>
      <c r="ED8" s="180"/>
      <c r="EE8" s="180"/>
      <c r="EF8" s="180"/>
      <c r="EG8" s="180"/>
      <c r="EH8" s="180"/>
      <c r="EI8" s="180"/>
      <c r="EJ8" s="180"/>
      <c r="EK8" s="180"/>
      <c r="EL8" s="180"/>
      <c r="EM8" s="180"/>
      <c r="EN8" s="180"/>
      <c r="EO8" s="180"/>
      <c r="EP8" s="180"/>
      <c r="EQ8" s="180"/>
      <c r="ER8" s="180"/>
      <c r="ES8" s="180"/>
      <c r="ET8" s="180"/>
      <c r="EU8" s="180"/>
      <c r="EV8" s="180"/>
      <c r="EW8" s="180"/>
      <c r="EX8" s="180"/>
      <c r="EY8" s="180"/>
      <c r="EZ8" s="180"/>
      <c r="FA8" s="180"/>
      <c r="FB8" s="180"/>
      <c r="FC8" s="180"/>
      <c r="FD8" s="180"/>
      <c r="FE8" s="180"/>
      <c r="FF8" s="180"/>
      <c r="FG8" s="180"/>
      <c r="FH8" s="180"/>
      <c r="FI8" s="180"/>
      <c r="FJ8" s="180"/>
      <c r="FK8" s="180"/>
      <c r="FL8" s="180"/>
      <c r="FM8" s="180"/>
      <c r="FN8" s="180"/>
      <c r="FO8" s="180"/>
      <c r="FP8" s="180"/>
      <c r="FQ8" s="180"/>
      <c r="FR8" s="180"/>
      <c r="FS8" s="180"/>
      <c r="FT8" s="180"/>
      <c r="FU8" s="180"/>
      <c r="FV8" s="180"/>
      <c r="FW8" s="180"/>
      <c r="FX8" s="180"/>
      <c r="FY8" s="180"/>
      <c r="FZ8" s="180"/>
      <c r="GA8" s="180"/>
      <c r="GB8" s="180"/>
      <c r="GC8" s="180"/>
      <c r="GD8" s="180"/>
      <c r="GE8" s="180"/>
      <c r="GF8" s="180"/>
      <c r="GG8" s="180"/>
      <c r="GH8" s="180"/>
      <c r="GI8" s="180"/>
      <c r="GJ8" s="180"/>
      <c r="GK8" s="180"/>
      <c r="GL8" s="180"/>
      <c r="GM8" s="180"/>
      <c r="GN8" s="180"/>
      <c r="GO8" s="180"/>
      <c r="GP8" s="180"/>
      <c r="GQ8" s="180"/>
      <c r="GR8" s="180"/>
      <c r="GS8" s="180"/>
      <c r="GT8" s="180"/>
      <c r="GU8" s="180"/>
      <c r="GV8" s="180"/>
      <c r="GW8" s="180"/>
      <c r="GX8" s="180"/>
      <c r="GY8" s="180"/>
      <c r="GZ8" s="180"/>
      <c r="HA8" s="180"/>
      <c r="HB8" s="180"/>
      <c r="HC8" s="180"/>
      <c r="HD8" s="180"/>
      <c r="HE8" s="180"/>
      <c r="HF8" s="180"/>
      <c r="HG8" s="180"/>
      <c r="HH8" s="180"/>
      <c r="HI8" s="180"/>
      <c r="HJ8" s="180"/>
      <c r="HK8" s="180"/>
      <c r="HL8" s="180"/>
      <c r="HM8" s="180"/>
      <c r="HN8" s="180"/>
      <c r="HO8" s="180"/>
      <c r="HP8" s="180"/>
      <c r="HQ8" s="180"/>
      <c r="HR8" s="180"/>
      <c r="HS8" s="180"/>
      <c r="HT8" s="180"/>
      <c r="HU8" s="180"/>
      <c r="HV8" s="180"/>
      <c r="HW8" s="180"/>
      <c r="HX8" s="180"/>
      <c r="HY8" s="180"/>
      <c r="HZ8" s="180"/>
      <c r="IA8" s="180"/>
      <c r="IB8" s="180"/>
      <c r="IC8" s="180"/>
      <c r="ID8" s="180"/>
      <c r="IE8" s="180"/>
      <c r="IF8" s="180"/>
      <c r="IG8" s="180"/>
      <c r="IH8" s="180"/>
      <c r="II8" s="180"/>
      <c r="IJ8" s="180"/>
      <c r="IK8" s="180"/>
      <c r="IL8" s="180"/>
      <c r="IM8" s="180"/>
      <c r="IN8" s="180"/>
      <c r="IO8" s="180"/>
      <c r="IP8" s="180"/>
      <c r="IQ8" s="180"/>
      <c r="IR8" s="180"/>
      <c r="IS8" s="180"/>
      <c r="IT8" s="180"/>
      <c r="IU8" s="180"/>
      <c r="IV8" s="180"/>
      <c r="IW8" s="180"/>
      <c r="IX8" s="180"/>
      <c r="IY8" s="180"/>
      <c r="IZ8" s="180"/>
      <c r="JA8" s="180"/>
      <c r="JB8" s="180"/>
      <c r="JC8" s="180"/>
      <c r="JD8" s="180"/>
      <c r="JE8" s="180"/>
      <c r="JF8" s="180"/>
      <c r="JG8" s="180"/>
      <c r="JH8" s="180"/>
      <c r="JI8" s="180"/>
      <c r="JJ8" s="180"/>
      <c r="JK8" s="180"/>
      <c r="JL8" s="180"/>
      <c r="JM8" s="180"/>
      <c r="JN8" s="180"/>
      <c r="JO8" s="180"/>
      <c r="JP8" s="180"/>
      <c r="JQ8" s="180"/>
      <c r="JR8" s="180"/>
      <c r="JS8" s="180"/>
      <c r="JT8" s="180"/>
      <c r="JU8" s="180"/>
      <c r="JV8" s="180"/>
      <c r="JW8" s="180"/>
      <c r="JX8" s="180"/>
      <c r="JY8" s="180"/>
      <c r="JZ8" s="180"/>
      <c r="KA8" s="180"/>
      <c r="KB8" s="180"/>
      <c r="KC8" s="180"/>
      <c r="KD8" s="180"/>
      <c r="KE8" s="180"/>
      <c r="KF8" s="180"/>
      <c r="KG8" s="180"/>
      <c r="KH8" s="180"/>
      <c r="KI8" s="180"/>
      <c r="KJ8" s="180"/>
      <c r="KK8" s="180"/>
      <c r="KL8" s="180"/>
      <c r="KM8" s="180"/>
      <c r="KN8" s="180"/>
      <c r="KO8" s="180"/>
      <c r="KP8" s="180"/>
      <c r="KQ8" s="180"/>
      <c r="KR8" s="180"/>
      <c r="KS8" s="180"/>
      <c r="KT8" s="180"/>
      <c r="KU8" s="180"/>
      <c r="KV8" s="180"/>
      <c r="KW8" s="180"/>
      <c r="KX8" s="180"/>
      <c r="KY8" s="180"/>
      <c r="KZ8" s="180"/>
      <c r="LA8" s="180"/>
      <c r="LB8" s="180"/>
      <c r="LC8" s="180"/>
      <c r="LD8" s="180"/>
      <c r="LE8" s="180"/>
      <c r="LF8" s="180"/>
      <c r="LG8" s="180"/>
      <c r="LH8" s="180"/>
      <c r="LI8" s="180"/>
      <c r="LJ8" s="180"/>
      <c r="LK8" s="180"/>
      <c r="LL8" s="180"/>
      <c r="LM8" s="180"/>
      <c r="LN8" s="180"/>
      <c r="LO8" s="180"/>
      <c r="LP8" s="180"/>
      <c r="LQ8" s="180"/>
      <c r="LR8" s="180"/>
      <c r="LS8" s="180"/>
      <c r="LT8" s="180"/>
      <c r="LU8" s="180"/>
      <c r="LV8" s="180"/>
      <c r="LW8" s="180"/>
      <c r="LX8" s="180"/>
      <c r="LY8" s="180"/>
      <c r="LZ8" s="180"/>
      <c r="MA8" s="180"/>
      <c r="MB8" s="180"/>
      <c r="MC8" s="180"/>
      <c r="MD8" s="180"/>
      <c r="ME8" s="180"/>
      <c r="MF8" s="180"/>
      <c r="MG8" s="180"/>
      <c r="MH8" s="180"/>
      <c r="MI8" s="180"/>
      <c r="MJ8" s="180"/>
      <c r="MK8" s="180"/>
      <c r="ML8" s="180"/>
      <c r="MM8" s="180"/>
      <c r="MN8" s="180"/>
      <c r="MO8" s="180"/>
      <c r="MP8" s="180"/>
      <c r="MQ8" s="180"/>
      <c r="MR8" s="180"/>
      <c r="MS8" s="180"/>
      <c r="MT8" s="180"/>
      <c r="MU8" s="180"/>
      <c r="MV8" s="180"/>
      <c r="MW8" s="180"/>
      <c r="MX8" s="180"/>
      <c r="MY8" s="180"/>
      <c r="MZ8" s="180"/>
      <c r="NA8" s="180"/>
      <c r="NB8" s="180"/>
      <c r="NC8" s="180"/>
      <c r="ND8" s="180"/>
      <c r="NE8" s="180"/>
      <c r="NF8" s="180"/>
      <c r="NG8" s="180"/>
      <c r="NH8" s="180"/>
      <c r="NI8" s="180"/>
      <c r="NJ8" s="180"/>
      <c r="NK8" s="180"/>
      <c r="NL8" s="180"/>
      <c r="NM8" s="180"/>
      <c r="NN8" s="180"/>
      <c r="NO8" s="180"/>
      <c r="NP8" s="180"/>
      <c r="NQ8" s="180"/>
      <c r="NR8" s="180"/>
      <c r="NS8" s="180"/>
      <c r="NT8" s="180"/>
      <c r="NU8" s="180"/>
      <c r="NV8" s="180"/>
      <c r="NW8" s="180"/>
      <c r="NX8" s="180"/>
      <c r="NY8" s="180"/>
      <c r="NZ8" s="180"/>
      <c r="OA8" s="180"/>
      <c r="OB8" s="180"/>
      <c r="OC8" s="180"/>
      <c r="OD8" s="180"/>
      <c r="OE8" s="180"/>
      <c r="OF8" s="180"/>
      <c r="OG8" s="180"/>
      <c r="OH8" s="180"/>
      <c r="OI8" s="180"/>
      <c r="OJ8" s="180"/>
      <c r="OK8" s="180"/>
      <c r="OL8" s="180"/>
      <c r="OM8" s="180"/>
      <c r="ON8" s="180"/>
      <c r="OO8" s="180"/>
      <c r="OP8" s="180"/>
      <c r="OQ8" s="180"/>
      <c r="OR8" s="180"/>
      <c r="OS8" s="180"/>
      <c r="OT8" s="180"/>
      <c r="OU8" s="180"/>
      <c r="OV8" s="180"/>
      <c r="OW8" s="180"/>
      <c r="OX8" s="180"/>
      <c r="OY8" s="180"/>
      <c r="OZ8" s="180"/>
      <c r="PA8" s="180"/>
      <c r="PB8" s="180"/>
      <c r="PC8" s="180"/>
      <c r="PD8" s="180"/>
      <c r="PE8" s="180"/>
      <c r="PF8" s="180"/>
      <c r="PG8" s="180"/>
      <c r="PH8" s="180"/>
      <c r="PI8" s="180"/>
      <c r="PJ8" s="180"/>
      <c r="PK8" s="180"/>
      <c r="PL8" s="180"/>
      <c r="PM8" s="180"/>
      <c r="PN8" s="180"/>
      <c r="PO8" s="180"/>
      <c r="PP8" s="180"/>
      <c r="PQ8" s="180"/>
      <c r="PR8" s="180"/>
      <c r="PS8" s="180"/>
      <c r="PT8" s="180"/>
      <c r="PU8" s="180"/>
      <c r="PV8" s="180"/>
      <c r="PW8" s="180"/>
      <c r="PX8" s="180"/>
      <c r="PY8" s="180"/>
      <c r="PZ8" s="180"/>
      <c r="QA8" s="180"/>
      <c r="QB8" s="180"/>
      <c r="QC8" s="180"/>
      <c r="QD8" s="180"/>
      <c r="QE8" s="180"/>
      <c r="QF8" s="180"/>
      <c r="QG8" s="180"/>
      <c r="QH8" s="180"/>
      <c r="QI8" s="180"/>
      <c r="QJ8" s="180"/>
      <c r="QK8" s="180"/>
      <c r="QL8" s="180"/>
      <c r="QM8" s="180"/>
      <c r="QN8" s="180"/>
      <c r="QO8" s="180"/>
      <c r="QP8" s="180"/>
      <c r="QQ8" s="180"/>
      <c r="QR8" s="180"/>
      <c r="QS8" s="180"/>
      <c r="QT8" s="180"/>
      <c r="QU8" s="180"/>
      <c r="QV8" s="180"/>
      <c r="QW8" s="180"/>
      <c r="QX8" s="180"/>
      <c r="QY8" s="180"/>
      <c r="QZ8" s="180"/>
      <c r="RA8" s="180"/>
      <c r="RB8" s="180"/>
      <c r="RC8" s="180"/>
      <c r="RD8" s="180"/>
      <c r="RE8" s="180"/>
      <c r="RF8" s="180"/>
      <c r="RG8" s="180"/>
      <c r="RH8" s="180"/>
      <c r="RI8" s="180"/>
      <c r="RJ8" s="180"/>
      <c r="RK8" s="180"/>
      <c r="RL8" s="180"/>
      <c r="RM8" s="180"/>
      <c r="RN8" s="180"/>
      <c r="RO8" s="180"/>
      <c r="RP8" s="180"/>
      <c r="RQ8" s="180"/>
      <c r="RR8" s="180"/>
      <c r="RS8" s="180"/>
      <c r="RT8" s="180"/>
      <c r="RU8" s="180"/>
      <c r="RV8" s="180"/>
      <c r="RW8" s="180"/>
      <c r="RX8" s="180"/>
      <c r="RY8" s="180"/>
      <c r="RZ8" s="180"/>
      <c r="SA8" s="180"/>
      <c r="SB8" s="180"/>
      <c r="SC8" s="180"/>
      <c r="SD8" s="180"/>
      <c r="SE8" s="180"/>
      <c r="SF8" s="180"/>
      <c r="SG8" s="180"/>
      <c r="SH8" s="180"/>
      <c r="SI8" s="180"/>
      <c r="SJ8" s="180"/>
      <c r="SK8" s="180"/>
      <c r="SL8" s="180"/>
      <c r="SM8" s="180"/>
      <c r="SN8" s="180"/>
      <c r="SO8" s="180"/>
      <c r="SP8" s="180"/>
      <c r="SQ8" s="180"/>
      <c r="SR8" s="180"/>
      <c r="SS8" s="180"/>
      <c r="ST8" s="180"/>
      <c r="SU8" s="180"/>
      <c r="SV8" s="180"/>
      <c r="SW8" s="180"/>
      <c r="SX8" s="180"/>
      <c r="SY8" s="180"/>
      <c r="SZ8" s="180"/>
      <c r="TA8" s="180"/>
      <c r="TB8" s="180"/>
      <c r="TC8" s="180"/>
      <c r="TD8" s="180"/>
      <c r="TE8" s="180"/>
      <c r="TF8" s="180"/>
      <c r="TG8" s="180"/>
      <c r="TH8" s="180"/>
      <c r="TI8" s="180"/>
      <c r="TJ8" s="180"/>
      <c r="TK8" s="180"/>
      <c r="TL8" s="180"/>
      <c r="TM8" s="180"/>
      <c r="TN8" s="180"/>
      <c r="TO8" s="180"/>
      <c r="TP8" s="180"/>
      <c r="TQ8" s="180"/>
      <c r="TR8" s="180"/>
      <c r="TS8" s="180"/>
      <c r="TT8" s="180"/>
      <c r="TU8" s="180"/>
      <c r="TV8" s="180"/>
      <c r="TW8" s="180"/>
      <c r="TX8" s="180"/>
      <c r="TY8" s="180"/>
      <c r="TZ8" s="180"/>
      <c r="UA8" s="180"/>
      <c r="UB8" s="180"/>
      <c r="UC8" s="180"/>
      <c r="UD8" s="180"/>
      <c r="UE8" s="180"/>
      <c r="UF8" s="180"/>
      <c r="UG8" s="180"/>
      <c r="UH8" s="180"/>
      <c r="UI8" s="180"/>
      <c r="UJ8" s="180"/>
      <c r="UK8" s="180"/>
      <c r="UL8" s="180"/>
      <c r="UM8" s="180"/>
      <c r="UN8" s="180"/>
      <c r="UO8" s="180"/>
      <c r="UP8" s="180"/>
      <c r="UQ8" s="180"/>
      <c r="UR8" s="180"/>
      <c r="US8" s="180"/>
      <c r="UT8" s="180"/>
      <c r="UU8" s="180"/>
      <c r="UV8" s="180"/>
      <c r="UW8" s="180"/>
      <c r="UX8" s="180"/>
      <c r="UY8" s="180"/>
      <c r="UZ8" s="180"/>
      <c r="VA8" s="180"/>
      <c r="VB8" s="180"/>
      <c r="VC8" s="180"/>
      <c r="VD8" s="180"/>
      <c r="VE8" s="180"/>
      <c r="VF8" s="180"/>
      <c r="VG8" s="180"/>
      <c r="VH8" s="180"/>
      <c r="VI8" s="180"/>
      <c r="VJ8" s="180"/>
      <c r="VK8" s="180"/>
      <c r="VL8" s="180"/>
      <c r="VM8" s="180"/>
      <c r="VN8" s="180"/>
      <c r="VO8" s="180"/>
      <c r="VP8" s="180"/>
      <c r="VQ8" s="180"/>
      <c r="VR8" s="180"/>
      <c r="VS8" s="180"/>
      <c r="VT8" s="180"/>
      <c r="VU8" s="180"/>
      <c r="VV8" s="180"/>
      <c r="VW8" s="180"/>
      <c r="VX8" s="180"/>
      <c r="VY8" s="180"/>
      <c r="VZ8" s="180"/>
      <c r="WA8" s="180"/>
      <c r="WB8" s="180"/>
      <c r="WC8" s="180"/>
      <c r="WD8" s="180"/>
      <c r="WE8" s="180"/>
      <c r="WF8" s="180"/>
      <c r="WG8" s="180"/>
      <c r="WH8" s="180"/>
      <c r="WI8" s="180"/>
      <c r="WJ8" s="180"/>
      <c r="WK8" s="180"/>
      <c r="WL8" s="180"/>
      <c r="WM8" s="180"/>
      <c r="WN8" s="180"/>
      <c r="WO8" s="180"/>
      <c r="WP8" s="180"/>
      <c r="WQ8" s="180"/>
      <c r="WR8" s="180"/>
      <c r="WS8" s="180"/>
      <c r="WT8" s="180"/>
      <c r="WU8" s="180"/>
      <c r="WV8" s="180"/>
      <c r="WW8" s="180"/>
      <c r="WX8" s="180"/>
      <c r="WY8" s="180"/>
      <c r="WZ8" s="180"/>
      <c r="XA8" s="180"/>
      <c r="XB8" s="180"/>
      <c r="XC8" s="180"/>
      <c r="XD8" s="180"/>
      <c r="XE8" s="180"/>
      <c r="XF8" s="180"/>
      <c r="XG8" s="180"/>
      <c r="XH8" s="180"/>
      <c r="XI8" s="180"/>
      <c r="XJ8" s="180"/>
      <c r="XK8" s="180"/>
      <c r="XL8" s="180"/>
      <c r="XM8" s="180"/>
      <c r="XN8" s="180"/>
      <c r="XO8" s="180"/>
      <c r="XP8" s="180"/>
      <c r="XQ8" s="180"/>
      <c r="XR8" s="180"/>
      <c r="XS8" s="180"/>
      <c r="XT8" s="180"/>
      <c r="XU8" s="180"/>
      <c r="XV8" s="180"/>
      <c r="XW8" s="180"/>
      <c r="XX8" s="180"/>
      <c r="XY8" s="180"/>
      <c r="XZ8" s="180"/>
      <c r="YA8" s="180"/>
      <c r="YB8" s="180"/>
      <c r="YC8" s="180"/>
      <c r="YD8" s="180"/>
      <c r="YE8" s="180"/>
      <c r="YF8" s="180"/>
      <c r="YG8" s="180"/>
      <c r="YH8" s="180"/>
      <c r="YI8" s="180"/>
      <c r="YJ8" s="180"/>
      <c r="YK8" s="180"/>
      <c r="YL8" s="180"/>
      <c r="YM8" s="180"/>
      <c r="YN8" s="180"/>
      <c r="YO8" s="180"/>
      <c r="YP8" s="180"/>
      <c r="YQ8" s="180"/>
      <c r="YR8" s="180"/>
      <c r="YS8" s="180"/>
      <c r="YT8" s="180"/>
      <c r="YU8" s="180"/>
      <c r="YV8" s="180"/>
      <c r="YW8" s="180"/>
      <c r="YX8" s="180"/>
      <c r="YY8" s="180"/>
      <c r="YZ8" s="180"/>
      <c r="ZA8" s="180"/>
      <c r="ZB8" s="180"/>
      <c r="ZC8" s="180"/>
      <c r="ZD8" s="180"/>
      <c r="ZE8" s="180"/>
      <c r="ZF8" s="180"/>
      <c r="ZG8" s="180"/>
      <c r="ZH8" s="180"/>
      <c r="ZI8" s="180"/>
      <c r="ZJ8" s="180"/>
      <c r="ZK8" s="180"/>
      <c r="ZL8" s="180"/>
      <c r="ZM8" s="180"/>
      <c r="ZN8" s="180"/>
      <c r="ZO8" s="180"/>
      <c r="ZP8" s="180"/>
      <c r="ZQ8" s="180"/>
      <c r="ZR8" s="180"/>
      <c r="ZS8" s="180"/>
      <c r="ZT8" s="180"/>
      <c r="ZU8" s="180"/>
      <c r="ZV8" s="180"/>
      <c r="ZW8" s="180"/>
      <c r="ZX8" s="180"/>
      <c r="ZY8" s="180"/>
      <c r="ZZ8" s="180"/>
      <c r="AAA8" s="180"/>
      <c r="AAB8" s="180"/>
      <c r="AAC8" s="180"/>
      <c r="AAD8" s="180"/>
      <c r="AAE8" s="180"/>
      <c r="AAF8" s="180"/>
      <c r="AAG8" s="180"/>
      <c r="AAH8" s="180"/>
      <c r="AAI8" s="180"/>
      <c r="AAJ8" s="180"/>
      <c r="AAK8" s="180"/>
      <c r="AAL8" s="180"/>
      <c r="AAM8" s="180"/>
      <c r="AAN8" s="180"/>
      <c r="AAO8" s="180"/>
      <c r="AAP8" s="180"/>
      <c r="AAQ8" s="180"/>
      <c r="AAR8" s="180"/>
      <c r="AAS8" s="180"/>
      <c r="AAT8" s="180"/>
      <c r="AAU8" s="180"/>
      <c r="AAV8" s="180"/>
      <c r="AAW8" s="180"/>
      <c r="AAX8" s="180"/>
      <c r="AAY8" s="180"/>
      <c r="AAZ8" s="180"/>
      <c r="ABA8" s="180"/>
      <c r="ABB8" s="180"/>
      <c r="ABC8" s="180"/>
      <c r="ABD8" s="180"/>
      <c r="ABE8" s="180"/>
      <c r="ABF8" s="180"/>
      <c r="ABG8" s="180"/>
      <c r="ABH8" s="180"/>
      <c r="ABI8" s="180"/>
      <c r="ABJ8" s="180"/>
      <c r="ABK8" s="180"/>
      <c r="ABL8" s="180"/>
      <c r="ABM8" s="180"/>
      <c r="ABN8" s="180"/>
      <c r="ABO8" s="180"/>
      <c r="ABP8" s="180"/>
      <c r="ABQ8" s="180"/>
      <c r="ABR8" s="180"/>
      <c r="ABS8" s="180"/>
      <c r="ABT8" s="180"/>
      <c r="ABU8" s="180"/>
      <c r="ABV8" s="180"/>
      <c r="ABW8" s="180"/>
      <c r="ABX8" s="180"/>
      <c r="ABY8" s="180"/>
      <c r="ABZ8" s="180"/>
      <c r="ACA8" s="180"/>
      <c r="ACB8" s="180"/>
      <c r="ACC8" s="180"/>
      <c r="ACD8" s="180"/>
      <c r="ACE8" s="180"/>
      <c r="ACF8" s="180"/>
      <c r="ACG8" s="180"/>
      <c r="ACH8" s="180"/>
      <c r="ACI8" s="180"/>
      <c r="ACJ8" s="180"/>
      <c r="ACK8" s="180"/>
      <c r="ACL8" s="180"/>
      <c r="ACM8" s="180"/>
      <c r="ACN8" s="180"/>
      <c r="ACO8" s="180"/>
      <c r="ACP8" s="180"/>
      <c r="ACQ8" s="180"/>
      <c r="ACR8" s="180"/>
      <c r="ACS8" s="180"/>
      <c r="ACT8" s="180"/>
      <c r="ACU8" s="180"/>
      <c r="ACV8" s="180"/>
      <c r="ACW8" s="180"/>
      <c r="ACX8" s="180"/>
      <c r="ACY8" s="180"/>
      <c r="ACZ8" s="180"/>
      <c r="ADA8" s="180"/>
      <c r="ADB8" s="180"/>
      <c r="ADC8" s="180"/>
      <c r="ADD8" s="180"/>
      <c r="ADE8" s="180"/>
      <c r="ADF8" s="180"/>
      <c r="ADG8" s="180"/>
      <c r="ADH8" s="180"/>
      <c r="ADI8" s="180"/>
      <c r="ADJ8" s="180"/>
      <c r="ADK8" s="180"/>
      <c r="ADL8" s="180"/>
      <c r="ADM8" s="180"/>
      <c r="ADN8" s="180"/>
      <c r="ADO8" s="180"/>
      <c r="ADP8" s="180"/>
      <c r="ADQ8" s="180"/>
      <c r="ADR8" s="180"/>
      <c r="ADS8" s="180"/>
      <c r="ADT8" s="180"/>
      <c r="ADU8" s="180"/>
      <c r="ADV8" s="180"/>
      <c r="ADW8" s="180"/>
      <c r="ADX8" s="180"/>
      <c r="ADY8" s="180"/>
      <c r="ADZ8" s="180"/>
      <c r="AEA8" s="180"/>
      <c r="AEB8" s="180"/>
      <c r="AEC8" s="180"/>
      <c r="AED8" s="180"/>
      <c r="AEE8" s="180"/>
      <c r="AEF8" s="180"/>
      <c r="AEG8" s="180"/>
      <c r="AEH8" s="180"/>
      <c r="AEI8" s="180"/>
      <c r="AEJ8" s="180"/>
      <c r="AEK8" s="180"/>
      <c r="AEL8" s="180"/>
      <c r="AEM8" s="180"/>
      <c r="AEN8" s="180"/>
      <c r="AEO8" s="180"/>
      <c r="AEP8" s="180"/>
      <c r="AEQ8" s="180"/>
      <c r="AER8" s="180"/>
      <c r="AES8" s="180"/>
      <c r="AET8" s="180"/>
      <c r="AEU8" s="180"/>
      <c r="AEV8" s="180"/>
      <c r="AEW8" s="180"/>
      <c r="AEX8" s="180"/>
      <c r="AEY8" s="180"/>
      <c r="AEZ8" s="180"/>
      <c r="AFA8" s="180"/>
      <c r="AFB8" s="180"/>
      <c r="AFC8" s="180"/>
      <c r="AFD8" s="180"/>
      <c r="AFE8" s="180"/>
      <c r="AFF8" s="180"/>
      <c r="AFG8" s="180"/>
      <c r="AFH8" s="180"/>
      <c r="AFI8" s="180"/>
      <c r="AFJ8" s="180"/>
      <c r="AFK8" s="180"/>
      <c r="AFL8" s="180"/>
      <c r="AFM8" s="180"/>
      <c r="AFN8" s="180"/>
      <c r="AFO8" s="180"/>
      <c r="AFP8" s="180"/>
      <c r="AFQ8" s="180"/>
      <c r="AFR8" s="180"/>
      <c r="AFS8" s="180"/>
      <c r="AFT8" s="180"/>
      <c r="AFU8" s="180"/>
      <c r="AFV8" s="180"/>
      <c r="AFW8" s="180"/>
      <c r="AFX8" s="180"/>
      <c r="AFY8" s="180"/>
      <c r="AFZ8" s="180"/>
      <c r="AGA8" s="180"/>
      <c r="AGB8" s="180"/>
      <c r="AGC8" s="180"/>
      <c r="AGD8" s="180"/>
      <c r="AGE8" s="180"/>
      <c r="AGF8" s="180"/>
      <c r="AGG8" s="180"/>
      <c r="AGH8" s="180"/>
      <c r="AGI8" s="180"/>
      <c r="AGJ8" s="180"/>
      <c r="AGK8" s="180"/>
      <c r="AGL8" s="180"/>
      <c r="AGM8" s="180"/>
      <c r="AGN8" s="180"/>
      <c r="AGO8" s="180"/>
      <c r="AGP8" s="180"/>
      <c r="AGQ8" s="180"/>
      <c r="AGR8" s="180"/>
      <c r="AGS8" s="180"/>
      <c r="AGT8" s="180"/>
      <c r="AGU8" s="180"/>
      <c r="AGV8" s="180"/>
      <c r="AGW8" s="180"/>
      <c r="AGX8" s="180"/>
      <c r="AGY8" s="180"/>
      <c r="AGZ8" s="180"/>
      <c r="AHA8" s="180"/>
      <c r="AHB8" s="180"/>
      <c r="AHC8" s="180"/>
      <c r="AHD8" s="180"/>
      <c r="AHE8" s="180"/>
      <c r="AHF8" s="180"/>
      <c r="AHG8" s="180"/>
      <c r="AHH8" s="180"/>
      <c r="AHI8" s="180"/>
      <c r="AHJ8" s="180"/>
      <c r="AHK8" s="180"/>
      <c r="AHL8" s="180"/>
      <c r="AHM8" s="180"/>
      <c r="AHN8" s="180"/>
      <c r="AHO8" s="180"/>
      <c r="AHP8" s="180"/>
      <c r="AHQ8" s="180"/>
      <c r="AHR8" s="180"/>
      <c r="AHS8" s="180"/>
      <c r="AHT8" s="180"/>
      <c r="AHU8" s="180"/>
      <c r="AHV8" s="180"/>
      <c r="AHW8" s="180"/>
      <c r="AHX8" s="180"/>
      <c r="AHY8" s="180"/>
      <c r="AHZ8" s="180"/>
      <c r="AIA8" s="180"/>
      <c r="AIB8" s="180"/>
      <c r="AIC8" s="180"/>
      <c r="AID8" s="180"/>
      <c r="AIE8" s="180"/>
      <c r="AIF8" s="180"/>
      <c r="AIG8" s="180"/>
      <c r="AIH8" s="180"/>
      <c r="AII8" s="180"/>
      <c r="AIJ8" s="180"/>
      <c r="AIK8" s="180"/>
      <c r="AIL8" s="180"/>
      <c r="AIM8" s="180"/>
      <c r="AIN8" s="180"/>
      <c r="AIO8" s="180"/>
      <c r="AIP8" s="180"/>
      <c r="AIQ8" s="180"/>
      <c r="AIR8" s="180"/>
      <c r="AIS8" s="180"/>
      <c r="AIT8" s="180"/>
      <c r="AIU8" s="180"/>
      <c r="AIV8" s="180"/>
      <c r="AIW8" s="180"/>
      <c r="AIX8" s="180"/>
      <c r="AIY8" s="180"/>
      <c r="AIZ8" s="180"/>
      <c r="AJA8" s="180"/>
      <c r="AJB8" s="180"/>
      <c r="AJC8" s="180"/>
      <c r="AJD8" s="180"/>
      <c r="AJE8" s="180"/>
      <c r="AJF8" s="180"/>
      <c r="AJG8" s="180"/>
      <c r="AJH8" s="180"/>
      <c r="AJI8" s="180"/>
      <c r="AJJ8" s="180"/>
      <c r="AJK8" s="180"/>
      <c r="AJL8" s="180"/>
      <c r="AJM8" s="180"/>
      <c r="AJN8" s="180"/>
      <c r="AJO8" s="180"/>
      <c r="AJP8" s="180"/>
      <c r="AJQ8" s="180"/>
      <c r="AJR8" s="180"/>
      <c r="AJS8" s="180"/>
      <c r="AJT8" s="180"/>
      <c r="AJU8" s="180"/>
      <c r="AJV8" s="180"/>
      <c r="AJW8" s="180"/>
      <c r="AJX8" s="180"/>
      <c r="AJY8" s="180"/>
      <c r="AJZ8" s="180"/>
      <c r="AKA8" s="180"/>
      <c r="AKB8" s="180"/>
      <c r="AKC8" s="180"/>
      <c r="AKD8" s="180"/>
      <c r="AKE8" s="180"/>
      <c r="AKF8" s="180"/>
      <c r="AKG8" s="180"/>
      <c r="AKH8" s="180"/>
      <c r="AKI8" s="180"/>
      <c r="AKJ8" s="180"/>
      <c r="AKK8" s="180"/>
      <c r="AKL8" s="180"/>
      <c r="AKM8" s="180"/>
      <c r="AKN8" s="180"/>
      <c r="AKO8" s="180"/>
      <c r="AKP8" s="180"/>
      <c r="AKQ8" s="180"/>
      <c r="AKR8" s="180"/>
      <c r="AKS8" s="180"/>
      <c r="AKT8" s="180"/>
      <c r="AKU8" s="180"/>
      <c r="AKV8" s="180"/>
      <c r="AKW8" s="180"/>
      <c r="AKX8" s="180"/>
      <c r="AKY8" s="180"/>
      <c r="AKZ8" s="180"/>
      <c r="ALA8" s="180"/>
      <c r="ALB8" s="180"/>
      <c r="ALC8" s="180"/>
      <c r="ALD8" s="180"/>
      <c r="ALE8" s="180"/>
      <c r="ALF8" s="180"/>
      <c r="ALG8" s="180"/>
      <c r="ALH8" s="180"/>
      <c r="ALI8" s="180"/>
      <c r="ALJ8" s="180"/>
      <c r="ALK8" s="180"/>
      <c r="ALL8" s="180"/>
      <c r="ALM8" s="180"/>
      <c r="ALN8" s="180"/>
      <c r="ALO8" s="180"/>
      <c r="ALP8" s="180"/>
      <c r="ALQ8" s="180"/>
      <c r="ALR8" s="180"/>
      <c r="ALS8" s="180"/>
      <c r="ALT8" s="180"/>
      <c r="ALU8" s="180"/>
      <c r="ALV8" s="180"/>
      <c r="ALW8" s="180"/>
      <c r="ALX8" s="180"/>
      <c r="ALY8" s="180"/>
      <c r="ALZ8" s="180"/>
      <c r="AMA8" s="180"/>
      <c r="AMB8" s="180"/>
      <c r="AMC8" s="180"/>
      <c r="AMD8" s="180"/>
      <c r="AME8" s="180"/>
      <c r="AMF8" s="180"/>
      <c r="AMG8" s="180"/>
      <c r="AMH8" s="180"/>
      <c r="AMI8" s="180"/>
      <c r="AMJ8" s="180"/>
      <c r="AMK8" s="180"/>
      <c r="AML8" s="180"/>
      <c r="AMM8" s="180"/>
      <c r="AMN8" s="180"/>
      <c r="AMO8" s="180"/>
      <c r="AMP8" s="180"/>
      <c r="AMQ8" s="180"/>
      <c r="AMR8" s="180"/>
      <c r="AMS8" s="180"/>
      <c r="AMT8" s="180"/>
      <c r="AMU8" s="180"/>
      <c r="AMV8" s="180"/>
      <c r="AMW8" s="180"/>
      <c r="AMX8" s="180"/>
      <c r="AMY8" s="180"/>
      <c r="AMZ8" s="180"/>
      <c r="ANA8" s="180"/>
      <c r="ANB8" s="180"/>
      <c r="ANC8" s="180"/>
      <c r="AND8" s="180"/>
      <c r="ANE8" s="180"/>
      <c r="ANF8" s="180"/>
      <c r="ANG8" s="180"/>
      <c r="ANH8" s="180"/>
      <c r="ANI8" s="180"/>
      <c r="ANJ8" s="180"/>
      <c r="ANK8" s="180"/>
      <c r="ANL8" s="180"/>
      <c r="ANM8" s="180"/>
      <c r="ANN8" s="180"/>
      <c r="ANO8" s="180"/>
      <c r="ANP8" s="180"/>
      <c r="ANQ8" s="180"/>
      <c r="ANR8" s="180"/>
      <c r="ANS8" s="180"/>
      <c r="ANT8" s="180"/>
      <c r="ANU8" s="180"/>
      <c r="ANV8" s="180"/>
      <c r="ANW8" s="180"/>
      <c r="ANX8" s="180"/>
      <c r="ANY8" s="180"/>
      <c r="ANZ8" s="180"/>
      <c r="AOA8" s="180"/>
      <c r="AOB8" s="180"/>
      <c r="AOC8" s="180"/>
      <c r="AOD8" s="180"/>
      <c r="AOE8" s="180"/>
      <c r="AOF8" s="180"/>
      <c r="AOG8" s="180"/>
      <c r="AOH8" s="180"/>
      <c r="AOI8" s="180"/>
      <c r="AOJ8" s="180"/>
      <c r="AOK8" s="180"/>
      <c r="AOL8" s="180"/>
      <c r="AOM8" s="180"/>
      <c r="AON8" s="180"/>
      <c r="AOO8" s="180"/>
      <c r="AOP8" s="180"/>
      <c r="AOQ8" s="180"/>
      <c r="AOR8" s="180"/>
      <c r="AOS8" s="180"/>
      <c r="AOT8" s="180"/>
      <c r="AOU8" s="180"/>
      <c r="AOV8" s="180"/>
      <c r="AOW8" s="180"/>
      <c r="AOX8" s="180"/>
      <c r="AOY8" s="180"/>
      <c r="AOZ8" s="180"/>
      <c r="APA8" s="180"/>
      <c r="APB8" s="180"/>
      <c r="APC8" s="180"/>
      <c r="APD8" s="180"/>
      <c r="APE8" s="180"/>
      <c r="APF8" s="180"/>
      <c r="APG8" s="180"/>
      <c r="APH8" s="180"/>
      <c r="API8" s="180"/>
      <c r="APJ8" s="180"/>
      <c r="APK8" s="180"/>
      <c r="APL8" s="180"/>
      <c r="APM8" s="180"/>
      <c r="APN8" s="180"/>
      <c r="APO8" s="180"/>
      <c r="APP8" s="180"/>
      <c r="APQ8" s="180"/>
      <c r="APR8" s="180"/>
      <c r="APS8" s="180"/>
      <c r="APT8" s="180"/>
      <c r="APU8" s="180"/>
      <c r="APV8" s="180"/>
      <c r="APW8" s="180"/>
      <c r="APX8" s="180"/>
      <c r="APY8" s="180"/>
      <c r="APZ8" s="180"/>
      <c r="AQA8" s="180"/>
      <c r="AQB8" s="180"/>
      <c r="AQC8" s="180"/>
      <c r="AQD8" s="180"/>
      <c r="AQE8" s="180"/>
      <c r="AQF8" s="180"/>
      <c r="AQG8" s="180"/>
      <c r="AQH8" s="180"/>
      <c r="AQI8" s="180"/>
      <c r="AQJ8" s="180"/>
      <c r="AQK8" s="180"/>
      <c r="AQL8" s="180"/>
      <c r="AQM8" s="180"/>
      <c r="AQN8" s="180"/>
      <c r="AQO8" s="180"/>
      <c r="AQP8" s="180"/>
      <c r="AQQ8" s="180"/>
      <c r="AQR8" s="180"/>
      <c r="AQS8" s="180"/>
      <c r="AQT8" s="180"/>
      <c r="AQU8" s="180"/>
      <c r="AQV8" s="180"/>
      <c r="AQW8" s="180"/>
      <c r="AQX8" s="180"/>
      <c r="AQY8" s="180"/>
      <c r="AQZ8" s="180"/>
      <c r="ARA8" s="180"/>
      <c r="ARB8" s="180"/>
      <c r="ARC8" s="180"/>
      <c r="ARD8" s="180"/>
      <c r="ARE8" s="180"/>
      <c r="ARF8" s="180"/>
      <c r="ARG8" s="180"/>
      <c r="ARH8" s="180"/>
      <c r="ARI8" s="180"/>
      <c r="ARJ8" s="180"/>
      <c r="ARK8" s="180"/>
      <c r="ARL8" s="180"/>
      <c r="ARM8" s="180"/>
      <c r="ARN8" s="180"/>
      <c r="ARO8" s="180"/>
      <c r="ARP8" s="180"/>
      <c r="ARQ8" s="180"/>
      <c r="ARR8" s="180"/>
      <c r="ARS8" s="180"/>
      <c r="ART8" s="180"/>
      <c r="ARU8" s="180"/>
      <c r="ARV8" s="180"/>
      <c r="ARW8" s="180"/>
      <c r="ARX8" s="180"/>
      <c r="ARY8" s="180"/>
      <c r="ARZ8" s="180"/>
      <c r="ASA8" s="180"/>
      <c r="ASB8" s="180"/>
      <c r="ASC8" s="180"/>
      <c r="ASD8" s="180"/>
      <c r="ASE8" s="180"/>
      <c r="ASF8" s="180"/>
      <c r="ASG8" s="180"/>
      <c r="ASH8" s="180"/>
      <c r="ASI8" s="180"/>
      <c r="ASJ8" s="180"/>
      <c r="ASK8" s="180"/>
      <c r="ASL8" s="180"/>
      <c r="ASM8" s="180"/>
      <c r="ASN8" s="180"/>
      <c r="ASO8" s="180"/>
      <c r="ASP8" s="180"/>
      <c r="ASQ8" s="180"/>
      <c r="ASR8" s="180"/>
      <c r="ASS8" s="180"/>
      <c r="AST8" s="180"/>
      <c r="ASU8" s="180"/>
      <c r="ASV8" s="180"/>
      <c r="ASW8" s="180"/>
      <c r="ASX8" s="180"/>
      <c r="ASY8" s="180"/>
      <c r="ASZ8" s="180"/>
      <c r="ATA8" s="180"/>
      <c r="ATB8" s="180"/>
      <c r="ATC8" s="180"/>
      <c r="ATD8" s="180"/>
      <c r="ATE8" s="180"/>
      <c r="ATF8" s="180"/>
      <c r="ATG8" s="180"/>
      <c r="ATH8" s="180"/>
      <c r="ATI8" s="180"/>
      <c r="ATJ8" s="180"/>
      <c r="ATK8" s="180"/>
      <c r="ATL8" s="180"/>
      <c r="ATM8" s="180"/>
      <c r="ATN8" s="180"/>
      <c r="ATO8" s="180"/>
      <c r="ATP8" s="180"/>
      <c r="ATQ8" s="180"/>
      <c r="ATR8" s="180"/>
      <c r="ATS8" s="180"/>
      <c r="ATT8" s="180"/>
      <c r="ATU8" s="180"/>
      <c r="ATV8" s="180"/>
      <c r="ATW8" s="180"/>
      <c r="ATX8" s="180"/>
      <c r="ATY8" s="180"/>
      <c r="ATZ8" s="180"/>
      <c r="AUA8" s="180"/>
      <c r="AUB8" s="180"/>
      <c r="AUC8" s="180"/>
      <c r="AUD8" s="180"/>
      <c r="AUE8" s="180"/>
      <c r="AUF8" s="180"/>
      <c r="AUG8" s="180"/>
      <c r="AUH8" s="180"/>
      <c r="AUI8" s="180"/>
      <c r="AUJ8" s="180"/>
      <c r="AUK8" s="180"/>
      <c r="AUL8" s="180"/>
      <c r="AUM8" s="180"/>
      <c r="AUN8" s="180"/>
      <c r="AUO8" s="180"/>
      <c r="AUP8" s="180"/>
      <c r="AUQ8" s="180"/>
      <c r="AUR8" s="180"/>
      <c r="AUS8" s="180"/>
      <c r="AUT8" s="180"/>
      <c r="AUU8" s="180"/>
      <c r="AUV8" s="180"/>
      <c r="AUW8" s="180"/>
      <c r="AUX8" s="180"/>
      <c r="AUY8" s="180"/>
      <c r="AUZ8" s="180"/>
      <c r="AVA8" s="180"/>
      <c r="AVB8" s="180"/>
      <c r="AVC8" s="180"/>
      <c r="AVD8" s="180"/>
      <c r="AVE8" s="180"/>
      <c r="AVF8" s="180"/>
      <c r="AVG8" s="180"/>
      <c r="AVH8" s="180"/>
      <c r="AVI8" s="180"/>
      <c r="AVJ8" s="180"/>
      <c r="AVK8" s="180"/>
      <c r="AVL8" s="180"/>
      <c r="AVM8" s="180"/>
      <c r="AVN8" s="180"/>
      <c r="AVO8" s="180"/>
      <c r="AVP8" s="180"/>
      <c r="AVQ8" s="180"/>
      <c r="AVR8" s="180"/>
      <c r="AVS8" s="180"/>
      <c r="AVT8" s="180"/>
      <c r="AVU8" s="180"/>
      <c r="AVV8" s="180"/>
      <c r="AVW8" s="180"/>
      <c r="AVX8" s="180"/>
      <c r="AVY8" s="180"/>
      <c r="AVZ8" s="180"/>
      <c r="AWA8" s="180"/>
      <c r="AWB8" s="180"/>
      <c r="AWC8" s="180"/>
      <c r="AWD8" s="180"/>
      <c r="AWE8" s="180"/>
      <c r="AWF8" s="180"/>
      <c r="AWG8" s="180"/>
      <c r="AWH8" s="180"/>
      <c r="AWI8" s="180"/>
      <c r="AWJ8" s="180"/>
      <c r="AWK8" s="180"/>
      <c r="AWL8" s="180"/>
      <c r="AWM8" s="180"/>
      <c r="AWN8" s="180"/>
      <c r="AWO8" s="180"/>
      <c r="AWP8" s="180"/>
      <c r="AWQ8" s="180"/>
      <c r="AWR8" s="180"/>
      <c r="AWS8" s="180"/>
      <c r="AWT8" s="180"/>
      <c r="AWU8" s="180"/>
      <c r="AWV8" s="180"/>
      <c r="AWW8" s="180"/>
      <c r="AWX8" s="180"/>
      <c r="AWY8" s="180"/>
      <c r="AWZ8" s="180"/>
      <c r="AXA8" s="180"/>
      <c r="AXB8" s="180"/>
      <c r="AXC8" s="180"/>
      <c r="AXD8" s="180"/>
      <c r="AXE8" s="180"/>
      <c r="AXF8" s="180"/>
      <c r="AXG8" s="180"/>
      <c r="AXH8" s="180"/>
      <c r="AXI8" s="180"/>
      <c r="AXJ8" s="180"/>
      <c r="AXK8" s="180"/>
      <c r="AXL8" s="180"/>
      <c r="AXM8" s="180"/>
      <c r="AXN8" s="180"/>
      <c r="AXO8" s="180"/>
      <c r="AXP8" s="180"/>
      <c r="AXQ8" s="180"/>
      <c r="AXR8" s="180"/>
      <c r="AXS8" s="180"/>
      <c r="AXT8" s="180"/>
      <c r="AXU8" s="180"/>
      <c r="AXV8" s="180"/>
      <c r="AXW8" s="180"/>
      <c r="AXX8" s="180"/>
      <c r="AXY8" s="180"/>
      <c r="AXZ8" s="180"/>
      <c r="AYA8" s="180"/>
      <c r="AYB8" s="180"/>
      <c r="AYC8" s="180"/>
      <c r="AYD8" s="180"/>
      <c r="AYE8" s="180"/>
      <c r="AYF8" s="180"/>
      <c r="AYG8" s="180"/>
      <c r="AYH8" s="180"/>
      <c r="AYI8" s="180"/>
      <c r="AYJ8" s="180"/>
      <c r="AYK8" s="180"/>
      <c r="AYL8" s="180"/>
      <c r="AYM8" s="180"/>
      <c r="AYN8" s="180"/>
      <c r="AYO8" s="180"/>
      <c r="AYP8" s="180"/>
      <c r="AYQ8" s="180"/>
      <c r="AYR8" s="180"/>
      <c r="AYS8" s="180"/>
      <c r="AYT8" s="180"/>
      <c r="AYU8" s="180"/>
      <c r="AYV8" s="180"/>
      <c r="AYW8" s="180"/>
      <c r="AYX8" s="180"/>
      <c r="AYY8" s="180"/>
      <c r="AYZ8" s="180"/>
      <c r="AZA8" s="180"/>
      <c r="AZB8" s="180"/>
      <c r="AZC8" s="180"/>
      <c r="AZD8" s="180"/>
      <c r="AZE8" s="180"/>
      <c r="AZF8" s="180"/>
      <c r="AZG8" s="180"/>
      <c r="AZH8" s="180"/>
      <c r="AZI8" s="180"/>
      <c r="AZJ8" s="180"/>
      <c r="AZK8" s="180"/>
      <c r="AZL8" s="180"/>
      <c r="AZM8" s="180"/>
      <c r="AZN8" s="180"/>
      <c r="AZO8" s="180"/>
      <c r="AZP8" s="180"/>
      <c r="AZQ8" s="180"/>
      <c r="AZR8" s="180"/>
      <c r="AZS8" s="180"/>
      <c r="AZT8" s="180"/>
      <c r="AZU8" s="180"/>
      <c r="AZV8" s="180"/>
      <c r="AZW8" s="180"/>
      <c r="AZX8" s="180"/>
      <c r="AZY8" s="180"/>
      <c r="AZZ8" s="180"/>
      <c r="BAA8" s="180"/>
      <c r="BAB8" s="180"/>
      <c r="BAC8" s="180"/>
      <c r="BAD8" s="180"/>
      <c r="BAE8" s="180"/>
      <c r="BAF8" s="180"/>
      <c r="BAG8" s="180"/>
      <c r="BAH8" s="180"/>
      <c r="BAI8" s="180"/>
      <c r="BAJ8" s="180"/>
      <c r="BAK8" s="180"/>
      <c r="BAL8" s="180"/>
      <c r="BAM8" s="180"/>
      <c r="BAN8" s="180"/>
      <c r="BAO8" s="180"/>
      <c r="BAP8" s="180"/>
      <c r="BAQ8" s="180"/>
      <c r="BAR8" s="180"/>
      <c r="BAS8" s="180"/>
      <c r="BAT8" s="180"/>
      <c r="BAU8" s="180"/>
      <c r="BAV8" s="180"/>
      <c r="BAW8" s="180"/>
      <c r="BAX8" s="180"/>
      <c r="BAY8" s="180"/>
      <c r="BAZ8" s="180"/>
      <c r="BBA8" s="180"/>
      <c r="BBB8" s="180"/>
      <c r="BBC8" s="180"/>
      <c r="BBD8" s="180"/>
      <c r="BBE8" s="180"/>
      <c r="BBF8" s="180"/>
      <c r="BBG8" s="180"/>
      <c r="BBH8" s="180"/>
      <c r="BBI8" s="180"/>
      <c r="BBJ8" s="180"/>
      <c r="BBK8" s="180"/>
      <c r="BBL8" s="180"/>
      <c r="BBM8" s="180"/>
      <c r="BBN8" s="180"/>
      <c r="BBO8" s="180"/>
      <c r="BBP8" s="180"/>
      <c r="BBQ8" s="180"/>
      <c r="BBR8" s="180"/>
      <c r="BBS8" s="180"/>
      <c r="BBT8" s="180"/>
      <c r="BBU8" s="180"/>
      <c r="BBV8" s="180"/>
      <c r="BBW8" s="180"/>
      <c r="BBX8" s="180"/>
      <c r="BBY8" s="180"/>
      <c r="BBZ8" s="180"/>
      <c r="BCA8" s="180"/>
      <c r="BCB8" s="180"/>
      <c r="BCC8" s="180"/>
      <c r="BCD8" s="180"/>
      <c r="BCE8" s="180"/>
      <c r="BCF8" s="180"/>
      <c r="BCG8" s="180"/>
      <c r="BCH8" s="180"/>
      <c r="BCI8" s="180"/>
      <c r="BCJ8" s="180"/>
      <c r="BCK8" s="180"/>
      <c r="BCL8" s="180"/>
      <c r="BCM8" s="180"/>
      <c r="BCN8" s="180"/>
      <c r="BCO8" s="180"/>
      <c r="BCP8" s="180"/>
      <c r="BCQ8" s="180"/>
      <c r="BCR8" s="180"/>
      <c r="BCS8" s="180"/>
      <c r="BCT8" s="180"/>
      <c r="BCU8" s="180"/>
      <c r="BCV8" s="180"/>
      <c r="BCW8" s="180"/>
      <c r="BCX8" s="180"/>
      <c r="BCY8" s="180"/>
      <c r="BCZ8" s="180"/>
      <c r="BDA8" s="180"/>
      <c r="BDB8" s="180"/>
      <c r="BDC8" s="180"/>
      <c r="BDD8" s="180"/>
      <c r="BDE8" s="180"/>
      <c r="BDF8" s="180"/>
      <c r="BDG8" s="180"/>
      <c r="BDH8" s="180"/>
      <c r="BDI8" s="180"/>
      <c r="BDJ8" s="180"/>
      <c r="BDK8" s="180"/>
      <c r="BDL8" s="180"/>
      <c r="BDM8" s="180"/>
      <c r="BDN8" s="180"/>
      <c r="BDO8" s="180"/>
      <c r="BDP8" s="180"/>
      <c r="BDQ8" s="180"/>
      <c r="BDR8" s="180"/>
      <c r="BDS8" s="180"/>
      <c r="BDT8" s="180"/>
      <c r="BDU8" s="180"/>
      <c r="BDV8" s="180"/>
      <c r="BDW8" s="180"/>
      <c r="BDX8" s="180"/>
      <c r="BDY8" s="180"/>
      <c r="BDZ8" s="180"/>
      <c r="BEA8" s="180"/>
      <c r="BEB8" s="180"/>
      <c r="BEC8" s="180"/>
      <c r="BED8" s="180"/>
      <c r="BEE8" s="180"/>
      <c r="BEF8" s="180"/>
      <c r="BEG8" s="180"/>
      <c r="BEH8" s="180"/>
      <c r="BEI8" s="180"/>
      <c r="BEJ8" s="180"/>
      <c r="BEK8" s="180"/>
      <c r="BEL8" s="180"/>
      <c r="BEM8" s="180"/>
      <c r="BEN8" s="180"/>
      <c r="BEO8" s="180"/>
      <c r="BEP8" s="180"/>
      <c r="BEQ8" s="180"/>
      <c r="BER8" s="180"/>
      <c r="BES8" s="180"/>
      <c r="BET8" s="180"/>
      <c r="BEU8" s="180"/>
      <c r="BEV8" s="180"/>
      <c r="BEW8" s="180"/>
      <c r="BEX8" s="180"/>
      <c r="BEY8" s="180"/>
      <c r="BEZ8" s="180"/>
      <c r="BFA8" s="180"/>
      <c r="BFB8" s="180"/>
      <c r="BFC8" s="180"/>
      <c r="BFD8" s="180"/>
      <c r="BFE8" s="180"/>
      <c r="BFF8" s="180"/>
      <c r="BFG8" s="180"/>
      <c r="BFH8" s="180"/>
      <c r="BFI8" s="180"/>
      <c r="BFJ8" s="180"/>
      <c r="BFK8" s="180"/>
      <c r="BFL8" s="180"/>
      <c r="BFM8" s="180"/>
      <c r="BFN8" s="180"/>
      <c r="BFO8" s="180"/>
      <c r="BFP8" s="180"/>
      <c r="BFQ8" s="180"/>
      <c r="BFR8" s="180"/>
      <c r="BFS8" s="180"/>
      <c r="BFT8" s="180"/>
      <c r="BFU8" s="180"/>
      <c r="BFV8" s="180"/>
      <c r="BFW8" s="180"/>
      <c r="BFX8" s="180"/>
      <c r="BFY8" s="180"/>
      <c r="BFZ8" s="180"/>
      <c r="BGA8" s="180"/>
      <c r="BGB8" s="180"/>
      <c r="BGC8" s="180"/>
      <c r="BGD8" s="180"/>
      <c r="BGE8" s="180"/>
      <c r="BGF8" s="180"/>
      <c r="BGG8" s="180"/>
      <c r="BGH8" s="180"/>
      <c r="BGI8" s="180"/>
      <c r="BGJ8" s="180"/>
      <c r="BGK8" s="180"/>
      <c r="BGL8" s="180"/>
      <c r="BGM8" s="180"/>
      <c r="BGN8" s="180"/>
      <c r="BGO8" s="180"/>
      <c r="BGP8" s="180"/>
      <c r="BGQ8" s="180"/>
      <c r="BGR8" s="180"/>
      <c r="BGS8" s="180"/>
      <c r="BGT8" s="180"/>
      <c r="BGU8" s="180"/>
      <c r="BGV8" s="180"/>
      <c r="BGW8" s="180"/>
      <c r="BGX8" s="180"/>
      <c r="BGY8" s="180"/>
      <c r="BGZ8" s="180"/>
      <c r="BHA8" s="180"/>
      <c r="BHB8" s="180"/>
      <c r="BHC8" s="180"/>
      <c r="BHD8" s="180"/>
      <c r="BHE8" s="180"/>
      <c r="BHF8" s="180"/>
      <c r="BHG8" s="180"/>
      <c r="BHH8" s="180"/>
      <c r="BHI8" s="180"/>
      <c r="BHJ8" s="180"/>
      <c r="BHK8" s="180"/>
      <c r="BHL8" s="180"/>
      <c r="BHM8" s="180"/>
      <c r="BHN8" s="180"/>
      <c r="BHO8" s="180"/>
      <c r="BHP8" s="180"/>
      <c r="BHQ8" s="180"/>
      <c r="BHR8" s="180"/>
      <c r="BHS8" s="180"/>
      <c r="BHT8" s="180"/>
      <c r="BHU8" s="180"/>
      <c r="BHV8" s="180"/>
      <c r="BHW8" s="180"/>
      <c r="BHX8" s="180"/>
      <c r="BHY8" s="180"/>
      <c r="BHZ8" s="180"/>
      <c r="BIA8" s="180"/>
      <c r="BIB8" s="180"/>
      <c r="BIC8" s="180"/>
      <c r="BID8" s="180"/>
      <c r="BIE8" s="180"/>
      <c r="BIF8" s="180"/>
      <c r="BIG8" s="180"/>
      <c r="BIH8" s="180"/>
      <c r="BII8" s="180"/>
      <c r="BIJ8" s="180"/>
      <c r="BIK8" s="180"/>
      <c r="BIL8" s="180"/>
      <c r="BIM8" s="180"/>
      <c r="BIN8" s="180"/>
      <c r="BIO8" s="180"/>
      <c r="BIP8" s="180"/>
      <c r="BIQ8" s="180"/>
      <c r="BIR8" s="180"/>
      <c r="BIS8" s="180"/>
      <c r="BIT8" s="180"/>
      <c r="BIU8" s="180"/>
      <c r="BIV8" s="180"/>
      <c r="BIW8" s="180"/>
      <c r="BIX8" s="180"/>
      <c r="BIY8" s="180"/>
      <c r="BIZ8" s="180"/>
      <c r="BJA8" s="180"/>
      <c r="BJB8" s="180"/>
      <c r="BJC8" s="180"/>
      <c r="BJD8" s="180"/>
      <c r="BJE8" s="180"/>
      <c r="BJF8" s="180"/>
      <c r="BJG8" s="180"/>
      <c r="BJH8" s="180"/>
      <c r="BJI8" s="180"/>
      <c r="BJJ8" s="180"/>
      <c r="BJK8" s="180"/>
      <c r="BJL8" s="180"/>
      <c r="BJM8" s="180"/>
      <c r="BJN8" s="180"/>
      <c r="BJO8" s="180"/>
      <c r="BJP8" s="180"/>
      <c r="BJQ8" s="180"/>
      <c r="BJR8" s="180"/>
      <c r="BJS8" s="180"/>
      <c r="BJT8" s="180"/>
      <c r="BJU8" s="180"/>
      <c r="BJV8" s="180"/>
      <c r="BJW8" s="180"/>
      <c r="BJX8" s="180"/>
      <c r="BJY8" s="180"/>
      <c r="BJZ8" s="180"/>
      <c r="BKA8" s="180"/>
      <c r="BKB8" s="180"/>
      <c r="BKC8" s="180"/>
      <c r="BKD8" s="180"/>
      <c r="BKE8" s="180"/>
      <c r="BKF8" s="180"/>
      <c r="BKG8" s="180"/>
      <c r="BKH8" s="180"/>
      <c r="BKI8" s="180"/>
      <c r="BKJ8" s="180"/>
      <c r="BKK8" s="180"/>
      <c r="BKL8" s="180"/>
      <c r="BKM8" s="180"/>
      <c r="BKN8" s="180"/>
      <c r="BKO8" s="180"/>
      <c r="BKP8" s="180"/>
      <c r="BKQ8" s="180"/>
      <c r="BKR8" s="180"/>
      <c r="BKS8" s="180"/>
      <c r="BKT8" s="180"/>
      <c r="BKU8" s="180"/>
      <c r="BKV8" s="180"/>
      <c r="BKW8" s="180"/>
      <c r="BKX8" s="180"/>
      <c r="BKY8" s="180"/>
      <c r="BKZ8" s="180"/>
      <c r="BLA8" s="180"/>
      <c r="BLB8" s="180"/>
      <c r="BLC8" s="180"/>
      <c r="BLD8" s="180"/>
      <c r="BLE8" s="180"/>
      <c r="BLF8" s="180"/>
      <c r="BLG8" s="180"/>
      <c r="BLH8" s="180"/>
      <c r="BLI8" s="180"/>
      <c r="BLJ8" s="180"/>
      <c r="BLK8" s="180"/>
      <c r="BLL8" s="180"/>
      <c r="BLM8" s="180"/>
      <c r="BLN8" s="180"/>
      <c r="BLO8" s="180"/>
      <c r="BLP8" s="180"/>
      <c r="BLQ8" s="180"/>
      <c r="BLR8" s="180"/>
      <c r="BLS8" s="180"/>
      <c r="BLT8" s="180"/>
      <c r="BLU8" s="180"/>
      <c r="BLV8" s="180"/>
      <c r="BLW8" s="180"/>
      <c r="BLX8" s="180"/>
      <c r="BLY8" s="180"/>
      <c r="BLZ8" s="180"/>
      <c r="BMA8" s="180"/>
      <c r="BMB8" s="180"/>
      <c r="BMC8" s="180"/>
      <c r="BMD8" s="180"/>
      <c r="BME8" s="180"/>
      <c r="BMF8" s="180"/>
      <c r="BMG8" s="180"/>
      <c r="BMH8" s="180"/>
      <c r="BMI8" s="180"/>
      <c r="BMJ8" s="180"/>
      <c r="BMK8" s="180"/>
      <c r="BML8" s="180"/>
      <c r="BMM8" s="180"/>
      <c r="BMN8" s="180"/>
      <c r="BMO8" s="180"/>
      <c r="BMP8" s="180"/>
      <c r="BMQ8" s="180"/>
      <c r="BMR8" s="180"/>
      <c r="BMS8" s="180"/>
      <c r="BMT8" s="180"/>
      <c r="BMU8" s="180"/>
      <c r="BMV8" s="180"/>
      <c r="BMW8" s="180"/>
      <c r="BMX8" s="180"/>
      <c r="BMY8" s="180"/>
      <c r="BMZ8" s="180"/>
      <c r="BNA8" s="180"/>
      <c r="BNB8" s="180"/>
      <c r="BNC8" s="180"/>
      <c r="BND8" s="180"/>
      <c r="BNE8" s="180"/>
      <c r="BNF8" s="180"/>
      <c r="BNG8" s="180"/>
      <c r="BNH8" s="180"/>
      <c r="BNI8" s="180"/>
      <c r="BNJ8" s="180"/>
      <c r="BNK8" s="180"/>
      <c r="BNL8" s="180"/>
      <c r="BNM8" s="180"/>
      <c r="BNN8" s="180"/>
      <c r="BNO8" s="180"/>
      <c r="BNP8" s="180"/>
      <c r="BNQ8" s="180"/>
      <c r="BNR8" s="180"/>
      <c r="BNS8" s="180"/>
      <c r="BNT8" s="180"/>
      <c r="BNU8" s="180"/>
      <c r="BNV8" s="180"/>
      <c r="BNW8" s="180"/>
      <c r="BNX8" s="180"/>
      <c r="BNY8" s="180"/>
      <c r="BNZ8" s="180"/>
      <c r="BOA8" s="180"/>
      <c r="BOB8" s="180"/>
      <c r="BOC8" s="180"/>
      <c r="BOD8" s="180"/>
      <c r="BOE8" s="180"/>
      <c r="BOF8" s="180"/>
      <c r="BOG8" s="180"/>
      <c r="BOH8" s="180"/>
      <c r="BOI8" s="180"/>
      <c r="BOJ8" s="180"/>
      <c r="BOK8" s="180"/>
      <c r="BOL8" s="180"/>
      <c r="BOM8" s="180"/>
      <c r="BON8" s="180"/>
      <c r="BOO8" s="180"/>
      <c r="BOP8" s="180"/>
      <c r="BOQ8" s="180"/>
      <c r="BOR8" s="180"/>
      <c r="BOS8" s="180"/>
      <c r="BOT8" s="180"/>
      <c r="BOU8" s="180"/>
      <c r="BOV8" s="180"/>
      <c r="BOW8" s="180"/>
      <c r="BOX8" s="180"/>
      <c r="BOY8" s="180"/>
      <c r="BOZ8" s="180"/>
      <c r="BPA8" s="180"/>
      <c r="BPB8" s="180"/>
      <c r="BPC8" s="180"/>
      <c r="BPD8" s="180"/>
      <c r="BPE8" s="180"/>
      <c r="BPF8" s="180"/>
      <c r="BPG8" s="180"/>
      <c r="BPH8" s="180"/>
      <c r="BPI8" s="180"/>
      <c r="BPJ8" s="180"/>
      <c r="BPK8" s="180"/>
      <c r="BPL8" s="180"/>
      <c r="BPM8" s="180"/>
      <c r="BPN8" s="180"/>
      <c r="BPO8" s="180"/>
      <c r="BPP8" s="180"/>
      <c r="BPQ8" s="180"/>
      <c r="BPR8" s="180"/>
      <c r="BPS8" s="180"/>
      <c r="BPT8" s="180"/>
      <c r="BPU8" s="180"/>
      <c r="BPV8" s="180"/>
      <c r="BPW8" s="180"/>
      <c r="BPX8" s="180"/>
      <c r="BPY8" s="180"/>
      <c r="BPZ8" s="180"/>
      <c r="BQA8" s="180"/>
      <c r="BQB8" s="180"/>
      <c r="BQC8" s="180"/>
      <c r="BQD8" s="180"/>
      <c r="BQE8" s="180"/>
      <c r="BQF8" s="180"/>
      <c r="BQG8" s="180"/>
      <c r="BQH8" s="180"/>
      <c r="BQI8" s="180"/>
      <c r="BQJ8" s="180"/>
      <c r="BQK8" s="180"/>
      <c r="BQL8" s="180"/>
      <c r="BQM8" s="180"/>
      <c r="BQN8" s="180"/>
      <c r="BQO8" s="180"/>
      <c r="BQP8" s="180"/>
      <c r="BQQ8" s="180"/>
      <c r="BQR8" s="180"/>
      <c r="BQS8" s="180"/>
      <c r="BQT8" s="180"/>
      <c r="BQU8" s="180"/>
      <c r="BQV8" s="180"/>
      <c r="BQW8" s="180"/>
      <c r="BQX8" s="180"/>
      <c r="BQY8" s="180"/>
      <c r="BQZ8" s="180"/>
      <c r="BRA8" s="180"/>
      <c r="BRB8" s="180"/>
      <c r="BRC8" s="180"/>
      <c r="BRD8" s="180"/>
      <c r="BRE8" s="180"/>
      <c r="BRF8" s="180"/>
      <c r="BRG8" s="180"/>
      <c r="BRH8" s="180"/>
      <c r="BRI8" s="180"/>
      <c r="BRJ8" s="180"/>
      <c r="BRK8" s="180"/>
      <c r="BRL8" s="180"/>
      <c r="BRM8" s="180"/>
      <c r="BRN8" s="180"/>
      <c r="BRO8" s="180"/>
      <c r="BRP8" s="180"/>
      <c r="BRQ8" s="180"/>
      <c r="BRR8" s="180"/>
      <c r="BRS8" s="180"/>
      <c r="BRT8" s="180"/>
      <c r="BRU8" s="180"/>
      <c r="BRV8" s="180"/>
      <c r="BRW8" s="180"/>
      <c r="BRX8" s="180"/>
      <c r="BRY8" s="180"/>
      <c r="BRZ8" s="180"/>
      <c r="BSA8" s="180"/>
      <c r="BSB8" s="180"/>
      <c r="BSC8" s="180"/>
      <c r="BSD8" s="180"/>
      <c r="BSE8" s="180"/>
      <c r="BSF8" s="180"/>
      <c r="BSG8" s="180"/>
      <c r="BSH8" s="180"/>
      <c r="BSI8" s="180"/>
      <c r="BSJ8" s="180"/>
      <c r="BSK8" s="180"/>
      <c r="BSL8" s="180"/>
      <c r="BSM8" s="180"/>
      <c r="BSN8" s="180"/>
      <c r="BSO8" s="180"/>
      <c r="BSP8" s="180"/>
      <c r="BSQ8" s="180"/>
      <c r="BSR8" s="180"/>
      <c r="BSS8" s="180"/>
      <c r="BST8" s="180"/>
      <c r="BSU8" s="180"/>
      <c r="BSV8" s="180"/>
      <c r="BSW8" s="180"/>
      <c r="BSX8" s="180"/>
      <c r="BSY8" s="180"/>
      <c r="BSZ8" s="180"/>
      <c r="BTA8" s="180"/>
      <c r="BTB8" s="180"/>
      <c r="BTC8" s="180"/>
      <c r="BTD8" s="180"/>
      <c r="BTE8" s="180"/>
      <c r="BTF8" s="180"/>
      <c r="BTG8" s="180"/>
      <c r="BTH8" s="180"/>
      <c r="BTI8" s="180"/>
      <c r="BTJ8" s="180"/>
      <c r="BTK8" s="180"/>
      <c r="BTL8" s="180"/>
      <c r="BTM8" s="180"/>
      <c r="BTN8" s="180"/>
      <c r="BTO8" s="180"/>
      <c r="BTP8" s="180"/>
      <c r="BTQ8" s="180"/>
      <c r="BTR8" s="180"/>
      <c r="BTS8" s="180"/>
      <c r="BTT8" s="180"/>
      <c r="BTU8" s="180"/>
      <c r="BTV8" s="180"/>
      <c r="BTW8" s="180"/>
      <c r="BTX8" s="180"/>
      <c r="BTY8" s="180"/>
      <c r="BTZ8" s="180"/>
      <c r="BUA8" s="180"/>
      <c r="BUB8" s="180"/>
      <c r="BUC8" s="180"/>
      <c r="BUD8" s="180"/>
      <c r="BUE8" s="180"/>
      <c r="BUF8" s="180"/>
      <c r="BUG8" s="180"/>
      <c r="BUH8" s="180"/>
      <c r="BUI8" s="180"/>
      <c r="BUJ8" s="180"/>
      <c r="BUK8" s="180"/>
      <c r="BUL8" s="180"/>
      <c r="BUM8" s="180"/>
      <c r="BUN8" s="180"/>
      <c r="BUO8" s="180"/>
      <c r="BUP8" s="180"/>
      <c r="BUQ8" s="180"/>
      <c r="BUR8" s="180"/>
      <c r="BUS8" s="180"/>
      <c r="BUT8" s="180"/>
      <c r="BUU8" s="180"/>
      <c r="BUV8" s="180"/>
      <c r="BUW8" s="180"/>
      <c r="BUX8" s="180"/>
      <c r="BUY8" s="180"/>
      <c r="BUZ8" s="180"/>
      <c r="BVA8" s="180"/>
      <c r="BVB8" s="180"/>
      <c r="BVC8" s="180"/>
      <c r="BVD8" s="180"/>
      <c r="BVE8" s="180"/>
      <c r="BVF8" s="180"/>
      <c r="BVG8" s="180"/>
      <c r="BVH8" s="180"/>
      <c r="BVI8" s="180"/>
      <c r="BVJ8" s="180"/>
      <c r="BVK8" s="180"/>
      <c r="BVL8" s="180"/>
      <c r="BVM8" s="180"/>
      <c r="BVN8" s="180"/>
      <c r="BVO8" s="180"/>
      <c r="BVP8" s="180"/>
      <c r="BVQ8" s="180"/>
      <c r="BVR8" s="180"/>
      <c r="BVS8" s="180"/>
      <c r="BVT8" s="180"/>
      <c r="BVU8" s="180"/>
      <c r="BVV8" s="180"/>
      <c r="BVW8" s="180"/>
      <c r="BVX8" s="180"/>
      <c r="BVY8" s="180"/>
      <c r="BVZ8" s="180"/>
      <c r="BWA8" s="180"/>
      <c r="BWB8" s="180"/>
      <c r="BWC8" s="180"/>
      <c r="BWD8" s="180"/>
      <c r="BWE8" s="180"/>
      <c r="BWF8" s="180"/>
      <c r="BWG8" s="180"/>
      <c r="BWH8" s="180"/>
      <c r="BWI8" s="180"/>
      <c r="BWJ8" s="180"/>
      <c r="BWK8" s="180"/>
      <c r="BWL8" s="180"/>
      <c r="BWM8" s="180"/>
      <c r="BWN8" s="180"/>
      <c r="BWO8" s="180"/>
      <c r="BWP8" s="180"/>
      <c r="BWQ8" s="180"/>
      <c r="BWR8" s="180"/>
      <c r="BWS8" s="180"/>
      <c r="BWT8" s="180"/>
      <c r="BWU8" s="180"/>
      <c r="BWV8" s="180"/>
      <c r="BWW8" s="180"/>
      <c r="BWX8" s="180"/>
      <c r="BWY8" s="180"/>
      <c r="BWZ8" s="180"/>
      <c r="BXA8" s="180"/>
      <c r="BXB8" s="180"/>
      <c r="BXC8" s="180"/>
      <c r="BXD8" s="180"/>
      <c r="BXE8" s="180"/>
      <c r="BXF8" s="180"/>
      <c r="BXG8" s="180"/>
      <c r="BXH8" s="180"/>
      <c r="BXI8" s="180"/>
      <c r="BXJ8" s="180"/>
      <c r="BXK8" s="180"/>
      <c r="BXL8" s="180"/>
      <c r="BXM8" s="180"/>
      <c r="BXN8" s="180"/>
      <c r="BXO8" s="180"/>
      <c r="BXP8" s="180"/>
      <c r="BXQ8" s="180"/>
      <c r="BXR8" s="180"/>
      <c r="BXS8" s="180"/>
      <c r="BXT8" s="180"/>
      <c r="BXU8" s="180"/>
      <c r="BXV8" s="180"/>
      <c r="BXW8" s="180"/>
      <c r="BXX8" s="180"/>
      <c r="BXY8" s="180"/>
      <c r="BXZ8" s="180"/>
      <c r="BYA8" s="180"/>
      <c r="BYB8" s="180"/>
      <c r="BYC8" s="180"/>
    </row>
    <row r="9" spans="1:2005" s="182" customFormat="1" ht="16">
      <c r="A9" s="1886"/>
      <c r="B9" s="406" t="s">
        <v>393</v>
      </c>
      <c r="C9" s="343">
        <f>C8*C6</f>
        <v>271431.59725252521</v>
      </c>
      <c r="D9" s="360">
        <f>C9*SQRT(D8^2/C8^2+D6^2/C6^2)</f>
        <v>30616.681744018548</v>
      </c>
      <c r="E9" s="344">
        <f>E8*E6</f>
        <v>7518.2145054545445</v>
      </c>
      <c r="F9" s="360">
        <f>E9*SQRT(F8^2/E8^2+F6^2/E6^2)</f>
        <v>2280.3378718980325</v>
      </c>
      <c r="G9" s="344">
        <f>G8*G6</f>
        <v>2702.820545454545</v>
      </c>
      <c r="H9" s="360">
        <f>G9*SQRT(H8^2/G8^2+H6^2/G6^2)</f>
        <v>1448.9635006607266</v>
      </c>
      <c r="I9" s="344">
        <f>I8*I6</f>
        <v>3809.6090181818176</v>
      </c>
      <c r="J9" s="360">
        <f>I9*SQRT(J8^2/I8^2+J6^2/I6^2)</f>
        <v>814.36965699563518</v>
      </c>
      <c r="K9" s="413">
        <f>C9+E9+G9+I9</f>
        <v>285462.24132161611</v>
      </c>
      <c r="L9" s="752">
        <f>SQRT(J9^2+H9^2+F9^2+D9^2)</f>
        <v>30746.444265784834</v>
      </c>
      <c r="M9" s="344">
        <f>M8*M6</f>
        <v>60894.441484934396</v>
      </c>
      <c r="N9" s="344">
        <f>M9*SQRT(N8^2/M8^2+N6^2/M6^2)</f>
        <v>3778.9247267704604</v>
      </c>
      <c r="O9" s="344">
        <f>O8*O6</f>
        <v>9484.9700000000012</v>
      </c>
      <c r="P9" s="344">
        <f>O9*SQRT(P8^2/O8^2+P6^2/O6^2)</f>
        <v>3179.9739555020114</v>
      </c>
      <c r="Q9" s="637">
        <f>O9+M9+K9</f>
        <v>355841.6528065505</v>
      </c>
      <c r="R9" s="638">
        <f>SQRT(P9^2+N9^2+L9^2)</f>
        <v>31140.589933995812</v>
      </c>
      <c r="S9" s="344">
        <f>S8*S6</f>
        <v>59589.99200000002</v>
      </c>
      <c r="T9" s="766">
        <f>S9*SQRT(T8^2/S8^2+T6^2/S6^2)</f>
        <v>11370.234767160715</v>
      </c>
      <c r="U9" s="344">
        <f>U8*U6</f>
        <v>2748.2240000000002</v>
      </c>
      <c r="V9" s="766">
        <f>U9*SQRT(V8^2/U8^2+V6^2/U6^2)</f>
        <v>554.42035281262224</v>
      </c>
      <c r="W9" s="344">
        <f>W8*W6</f>
        <v>270022.50378000003</v>
      </c>
      <c r="X9" s="1181">
        <f>W9*SQRT(X8^2/W8^2+X6^2/W6^2)</f>
        <v>38186.948699161643</v>
      </c>
      <c r="Y9" s="648">
        <f>W9+U9+S9</f>
        <v>332360.71978000004</v>
      </c>
      <c r="Z9" s="760">
        <f>SQRT(T9^2+V9^2+X9^2)</f>
        <v>39847.618141369079</v>
      </c>
      <c r="AA9" s="1182">
        <f>AA6</f>
        <v>237696</v>
      </c>
      <c r="AB9" s="1186">
        <f>AB6</f>
        <v>74929</v>
      </c>
      <c r="AC9" s="648">
        <f>AA9+Y9</f>
        <v>570056.71978000004</v>
      </c>
      <c r="AD9" s="541">
        <f>SQRT(AB9^2+Z9^2)</f>
        <v>84865.703983059997</v>
      </c>
      <c r="AE9" s="1329">
        <f>AA9+Y9+Q9</f>
        <v>925898.37258655054</v>
      </c>
      <c r="AF9" s="452"/>
      <c r="AG9" s="180"/>
      <c r="AH9" s="180"/>
      <c r="AI9" s="180"/>
      <c r="AJ9" s="180"/>
      <c r="AK9" s="180"/>
      <c r="AL9" s="180"/>
      <c r="AM9" s="180"/>
      <c r="AN9" s="180"/>
      <c r="AO9" s="180"/>
      <c r="AP9" s="180"/>
      <c r="AQ9" s="180"/>
      <c r="AR9" s="180"/>
      <c r="AS9" s="180"/>
      <c r="AT9" s="180"/>
      <c r="AU9" s="180"/>
      <c r="AV9" s="180"/>
      <c r="AW9" s="180"/>
      <c r="AX9" s="180"/>
      <c r="AY9" s="180"/>
      <c r="AZ9" s="180"/>
      <c r="BA9" s="180"/>
      <c r="BB9" s="180"/>
      <c r="BC9" s="180"/>
      <c r="BD9" s="180"/>
      <c r="BE9" s="180"/>
      <c r="BF9" s="180"/>
      <c r="BG9" s="180"/>
      <c r="BH9" s="180"/>
      <c r="BI9" s="180"/>
      <c r="BJ9" s="180"/>
      <c r="BK9" s="180"/>
      <c r="BL9" s="180"/>
      <c r="BM9" s="180"/>
      <c r="BN9" s="180"/>
      <c r="BO9" s="180"/>
      <c r="BP9" s="180"/>
      <c r="BQ9" s="180"/>
      <c r="BR9" s="180"/>
      <c r="BS9" s="180"/>
      <c r="BT9" s="180"/>
      <c r="BU9" s="180"/>
      <c r="BV9" s="180"/>
      <c r="BW9" s="180"/>
      <c r="BX9" s="180"/>
      <c r="BY9" s="180"/>
      <c r="BZ9" s="180"/>
      <c r="CA9" s="180"/>
      <c r="CB9" s="180"/>
      <c r="CC9" s="180"/>
      <c r="CD9" s="180"/>
      <c r="CE9" s="180"/>
      <c r="CF9" s="180"/>
      <c r="CG9" s="180"/>
      <c r="CH9" s="180"/>
      <c r="CI9" s="180"/>
      <c r="CJ9" s="180"/>
      <c r="CK9" s="180"/>
      <c r="CL9" s="180"/>
      <c r="CM9" s="180"/>
      <c r="CN9" s="180"/>
      <c r="CO9" s="180"/>
      <c r="CP9" s="180"/>
      <c r="CQ9" s="180"/>
      <c r="CR9" s="180"/>
      <c r="CS9" s="180"/>
      <c r="CT9" s="180"/>
      <c r="CU9" s="180"/>
      <c r="CV9" s="180"/>
      <c r="CW9" s="180"/>
      <c r="CX9" s="180"/>
      <c r="CY9" s="180"/>
      <c r="CZ9" s="180"/>
      <c r="DA9" s="180"/>
      <c r="DB9" s="180"/>
      <c r="DC9" s="180"/>
      <c r="DD9" s="180"/>
      <c r="DE9" s="180"/>
      <c r="DF9" s="180"/>
      <c r="DG9" s="180"/>
      <c r="DH9" s="180"/>
      <c r="DI9" s="180"/>
      <c r="DJ9" s="180"/>
      <c r="DK9" s="180"/>
      <c r="DL9" s="180"/>
      <c r="DM9" s="180"/>
      <c r="DN9" s="180"/>
      <c r="DO9" s="180"/>
      <c r="DP9" s="180"/>
      <c r="DQ9" s="180"/>
      <c r="DR9" s="180"/>
      <c r="DS9" s="180"/>
      <c r="DT9" s="180"/>
      <c r="DU9" s="180"/>
      <c r="DV9" s="180"/>
      <c r="DW9" s="180"/>
      <c r="DX9" s="180"/>
      <c r="DY9" s="180"/>
      <c r="DZ9" s="180"/>
      <c r="EA9" s="180"/>
      <c r="EB9" s="180"/>
      <c r="EC9" s="180"/>
      <c r="ED9" s="180"/>
      <c r="EE9" s="180"/>
      <c r="EF9" s="180"/>
      <c r="EG9" s="180"/>
      <c r="EH9" s="180"/>
      <c r="EI9" s="180"/>
      <c r="EJ9" s="180"/>
      <c r="EK9" s="180"/>
      <c r="EL9" s="180"/>
      <c r="EM9" s="180"/>
      <c r="EN9" s="180"/>
      <c r="EO9" s="180"/>
      <c r="EP9" s="180"/>
      <c r="EQ9" s="180"/>
      <c r="ER9" s="180"/>
      <c r="ES9" s="180"/>
      <c r="ET9" s="180"/>
      <c r="EU9" s="180"/>
      <c r="EV9" s="180"/>
      <c r="EW9" s="180"/>
      <c r="EX9" s="180"/>
      <c r="EY9" s="180"/>
      <c r="EZ9" s="180"/>
      <c r="FA9" s="180"/>
      <c r="FB9" s="180"/>
      <c r="FC9" s="180"/>
      <c r="FD9" s="180"/>
      <c r="FE9" s="180"/>
      <c r="FF9" s="180"/>
      <c r="FG9" s="180"/>
      <c r="FH9" s="180"/>
      <c r="FI9" s="180"/>
      <c r="FJ9" s="180"/>
      <c r="FK9" s="180"/>
      <c r="FL9" s="180"/>
      <c r="FM9" s="180"/>
      <c r="FN9" s="180"/>
      <c r="FO9" s="180"/>
      <c r="FP9" s="180"/>
      <c r="FQ9" s="180"/>
      <c r="FR9" s="180"/>
      <c r="FS9" s="180"/>
      <c r="FT9" s="180"/>
      <c r="FU9" s="180"/>
      <c r="FV9" s="180"/>
      <c r="FW9" s="180"/>
      <c r="FX9" s="180"/>
      <c r="FY9" s="180"/>
      <c r="FZ9" s="180"/>
      <c r="GA9" s="180"/>
      <c r="GB9" s="180"/>
      <c r="GC9" s="180"/>
      <c r="GD9" s="180"/>
      <c r="GE9" s="180"/>
      <c r="GF9" s="180"/>
      <c r="GG9" s="180"/>
      <c r="GH9" s="180"/>
      <c r="GI9" s="180"/>
      <c r="GJ9" s="180"/>
      <c r="GK9" s="180"/>
      <c r="GL9" s="180"/>
      <c r="GM9" s="180"/>
      <c r="GN9" s="180"/>
      <c r="GO9" s="180"/>
      <c r="GP9" s="180"/>
      <c r="GQ9" s="180"/>
      <c r="GR9" s="180"/>
      <c r="GS9" s="180"/>
      <c r="GT9" s="180"/>
      <c r="GU9" s="180"/>
      <c r="GV9" s="180"/>
      <c r="GW9" s="180"/>
      <c r="GX9" s="180"/>
      <c r="GY9" s="180"/>
      <c r="GZ9" s="180"/>
      <c r="HA9" s="180"/>
      <c r="HB9" s="180"/>
      <c r="HC9" s="180"/>
      <c r="HD9" s="180"/>
      <c r="HE9" s="180"/>
      <c r="HF9" s="180"/>
      <c r="HG9" s="180"/>
      <c r="HH9" s="180"/>
      <c r="HI9" s="180"/>
      <c r="HJ9" s="180"/>
      <c r="HK9" s="180"/>
      <c r="HL9" s="180"/>
      <c r="HM9" s="180"/>
      <c r="HN9" s="180"/>
      <c r="HO9" s="180"/>
      <c r="HP9" s="180"/>
      <c r="HQ9" s="180"/>
      <c r="HR9" s="180"/>
      <c r="HS9" s="180"/>
      <c r="HT9" s="180"/>
      <c r="HU9" s="180"/>
      <c r="HV9" s="180"/>
      <c r="HW9" s="180"/>
      <c r="HX9" s="180"/>
      <c r="HY9" s="180"/>
      <c r="HZ9" s="180"/>
      <c r="IA9" s="180"/>
      <c r="IB9" s="180"/>
      <c r="IC9" s="180"/>
      <c r="ID9" s="180"/>
      <c r="IE9" s="180"/>
      <c r="IF9" s="180"/>
      <c r="IG9" s="180"/>
      <c r="IH9" s="180"/>
      <c r="II9" s="180"/>
      <c r="IJ9" s="180"/>
      <c r="IK9" s="180"/>
      <c r="IL9" s="180"/>
      <c r="IM9" s="180"/>
      <c r="IN9" s="180"/>
      <c r="IO9" s="180"/>
      <c r="IP9" s="180"/>
      <c r="IQ9" s="180"/>
      <c r="IR9" s="180"/>
      <c r="IS9" s="180"/>
      <c r="IT9" s="180"/>
      <c r="IU9" s="180"/>
      <c r="IV9" s="180"/>
      <c r="IW9" s="180"/>
      <c r="IX9" s="180"/>
      <c r="IY9" s="180"/>
      <c r="IZ9" s="180"/>
      <c r="JA9" s="180"/>
      <c r="JB9" s="180"/>
      <c r="JC9" s="180"/>
      <c r="JD9" s="180"/>
      <c r="JE9" s="180"/>
      <c r="JF9" s="180"/>
      <c r="JG9" s="180"/>
      <c r="JH9" s="180"/>
      <c r="JI9" s="180"/>
      <c r="JJ9" s="180"/>
      <c r="JK9" s="180"/>
      <c r="JL9" s="180"/>
      <c r="JM9" s="180"/>
      <c r="JN9" s="180"/>
      <c r="JO9" s="180"/>
      <c r="JP9" s="180"/>
      <c r="JQ9" s="180"/>
      <c r="JR9" s="180"/>
      <c r="JS9" s="180"/>
      <c r="JT9" s="180"/>
      <c r="JU9" s="180"/>
      <c r="JV9" s="180"/>
      <c r="JW9" s="180"/>
      <c r="JX9" s="180"/>
      <c r="JY9" s="180"/>
      <c r="JZ9" s="180"/>
      <c r="KA9" s="180"/>
      <c r="KB9" s="180"/>
      <c r="KC9" s="180"/>
      <c r="KD9" s="180"/>
      <c r="KE9" s="180"/>
      <c r="KF9" s="180"/>
      <c r="KG9" s="180"/>
      <c r="KH9" s="180"/>
      <c r="KI9" s="180"/>
      <c r="KJ9" s="180"/>
      <c r="KK9" s="180"/>
      <c r="KL9" s="180"/>
      <c r="KM9" s="180"/>
      <c r="KN9" s="180"/>
      <c r="KO9" s="180"/>
      <c r="KP9" s="180"/>
      <c r="KQ9" s="180"/>
      <c r="KR9" s="180"/>
      <c r="KS9" s="180"/>
      <c r="KT9" s="180"/>
      <c r="KU9" s="180"/>
      <c r="KV9" s="180"/>
      <c r="KW9" s="180"/>
      <c r="KX9" s="180"/>
      <c r="KY9" s="180"/>
      <c r="KZ9" s="180"/>
      <c r="LA9" s="180"/>
      <c r="LB9" s="180"/>
      <c r="LC9" s="180"/>
      <c r="LD9" s="180"/>
      <c r="LE9" s="180"/>
      <c r="LF9" s="180"/>
      <c r="LG9" s="180"/>
      <c r="LH9" s="180"/>
      <c r="LI9" s="180"/>
      <c r="LJ9" s="180"/>
      <c r="LK9" s="180"/>
      <c r="LL9" s="180"/>
      <c r="LM9" s="180"/>
      <c r="LN9" s="180"/>
      <c r="LO9" s="180"/>
      <c r="LP9" s="180"/>
      <c r="LQ9" s="180"/>
      <c r="LR9" s="180"/>
      <c r="LS9" s="180"/>
      <c r="LT9" s="180"/>
      <c r="LU9" s="180"/>
      <c r="LV9" s="180"/>
      <c r="LW9" s="180"/>
      <c r="LX9" s="180"/>
      <c r="LY9" s="180"/>
      <c r="LZ9" s="180"/>
      <c r="MA9" s="180"/>
      <c r="MB9" s="180"/>
      <c r="MC9" s="180"/>
      <c r="MD9" s="180"/>
      <c r="ME9" s="180"/>
      <c r="MF9" s="180"/>
      <c r="MG9" s="180"/>
      <c r="MH9" s="180"/>
      <c r="MI9" s="180"/>
      <c r="MJ9" s="180"/>
      <c r="MK9" s="180"/>
      <c r="ML9" s="180"/>
      <c r="MM9" s="180"/>
      <c r="MN9" s="180"/>
      <c r="MO9" s="180"/>
      <c r="MP9" s="180"/>
      <c r="MQ9" s="180"/>
      <c r="MR9" s="180"/>
      <c r="MS9" s="180"/>
      <c r="MT9" s="180"/>
      <c r="MU9" s="180"/>
      <c r="MV9" s="180"/>
      <c r="MW9" s="180"/>
      <c r="MX9" s="180"/>
      <c r="MY9" s="180"/>
      <c r="MZ9" s="180"/>
      <c r="NA9" s="180"/>
      <c r="NB9" s="180"/>
      <c r="NC9" s="180"/>
      <c r="ND9" s="180"/>
      <c r="NE9" s="180"/>
      <c r="NF9" s="180"/>
      <c r="NG9" s="180"/>
      <c r="NH9" s="180"/>
      <c r="NI9" s="180"/>
      <c r="NJ9" s="180"/>
      <c r="NK9" s="180"/>
      <c r="NL9" s="180"/>
      <c r="NM9" s="180"/>
      <c r="NN9" s="180"/>
      <c r="NO9" s="180"/>
      <c r="NP9" s="180"/>
      <c r="NQ9" s="180"/>
      <c r="NR9" s="180"/>
      <c r="NS9" s="180"/>
      <c r="NT9" s="180"/>
      <c r="NU9" s="180"/>
      <c r="NV9" s="180"/>
      <c r="NW9" s="180"/>
      <c r="NX9" s="180"/>
      <c r="NY9" s="180"/>
      <c r="NZ9" s="180"/>
      <c r="OA9" s="180"/>
      <c r="OB9" s="180"/>
      <c r="OC9" s="180"/>
      <c r="OD9" s="180"/>
      <c r="OE9" s="180"/>
      <c r="OF9" s="180"/>
      <c r="OG9" s="180"/>
      <c r="OH9" s="180"/>
      <c r="OI9" s="180"/>
      <c r="OJ9" s="180"/>
      <c r="OK9" s="180"/>
      <c r="OL9" s="180"/>
      <c r="OM9" s="180"/>
      <c r="ON9" s="180"/>
      <c r="OO9" s="180"/>
      <c r="OP9" s="180"/>
      <c r="OQ9" s="180"/>
      <c r="OR9" s="180"/>
      <c r="OS9" s="180"/>
      <c r="OT9" s="180"/>
      <c r="OU9" s="180"/>
      <c r="OV9" s="180"/>
      <c r="OW9" s="180"/>
      <c r="OX9" s="180"/>
      <c r="OY9" s="180"/>
      <c r="OZ9" s="180"/>
      <c r="PA9" s="180"/>
      <c r="PB9" s="180"/>
      <c r="PC9" s="180"/>
      <c r="PD9" s="180"/>
      <c r="PE9" s="180"/>
      <c r="PF9" s="180"/>
      <c r="PG9" s="180"/>
      <c r="PH9" s="180"/>
      <c r="PI9" s="180"/>
      <c r="PJ9" s="180"/>
      <c r="PK9" s="180"/>
      <c r="PL9" s="180"/>
      <c r="PM9" s="180"/>
      <c r="PN9" s="180"/>
      <c r="PO9" s="180"/>
      <c r="PP9" s="180"/>
      <c r="PQ9" s="180"/>
      <c r="PR9" s="180"/>
      <c r="PS9" s="180"/>
      <c r="PT9" s="180"/>
      <c r="PU9" s="180"/>
      <c r="PV9" s="180"/>
      <c r="PW9" s="180"/>
      <c r="PX9" s="180"/>
      <c r="PY9" s="180"/>
      <c r="PZ9" s="180"/>
      <c r="QA9" s="180"/>
      <c r="QB9" s="180"/>
      <c r="QC9" s="180"/>
      <c r="QD9" s="180"/>
      <c r="QE9" s="180"/>
      <c r="QF9" s="180"/>
      <c r="QG9" s="180"/>
      <c r="QH9" s="180"/>
      <c r="QI9" s="180"/>
      <c r="QJ9" s="180"/>
      <c r="QK9" s="180"/>
      <c r="QL9" s="180"/>
      <c r="QM9" s="180"/>
      <c r="QN9" s="180"/>
      <c r="QO9" s="180"/>
      <c r="QP9" s="180"/>
      <c r="QQ9" s="180"/>
      <c r="QR9" s="180"/>
      <c r="QS9" s="180"/>
      <c r="QT9" s="180"/>
      <c r="QU9" s="180"/>
      <c r="QV9" s="180"/>
      <c r="QW9" s="180"/>
      <c r="QX9" s="180"/>
      <c r="QY9" s="180"/>
      <c r="QZ9" s="180"/>
      <c r="RA9" s="180"/>
      <c r="RB9" s="180"/>
      <c r="RC9" s="180"/>
      <c r="RD9" s="180"/>
      <c r="RE9" s="180"/>
      <c r="RF9" s="180"/>
      <c r="RG9" s="180"/>
      <c r="RH9" s="180"/>
      <c r="RI9" s="180"/>
      <c r="RJ9" s="180"/>
      <c r="RK9" s="180"/>
      <c r="RL9" s="180"/>
      <c r="RM9" s="180"/>
      <c r="RN9" s="180"/>
      <c r="RO9" s="180"/>
      <c r="RP9" s="180"/>
      <c r="RQ9" s="180"/>
      <c r="RR9" s="180"/>
      <c r="RS9" s="180"/>
      <c r="RT9" s="180"/>
      <c r="RU9" s="180"/>
      <c r="RV9" s="180"/>
      <c r="RW9" s="180"/>
      <c r="RX9" s="180"/>
      <c r="RY9" s="180"/>
      <c r="RZ9" s="180"/>
      <c r="SA9" s="180"/>
      <c r="SB9" s="180"/>
      <c r="SC9" s="180"/>
      <c r="SD9" s="180"/>
      <c r="SE9" s="180"/>
      <c r="SF9" s="180"/>
      <c r="SG9" s="180"/>
      <c r="SH9" s="180"/>
      <c r="SI9" s="180"/>
      <c r="SJ9" s="180"/>
      <c r="SK9" s="180"/>
      <c r="SL9" s="180"/>
      <c r="SM9" s="180"/>
      <c r="SN9" s="180"/>
      <c r="SO9" s="180"/>
      <c r="SP9" s="180"/>
      <c r="SQ9" s="180"/>
      <c r="SR9" s="180"/>
      <c r="SS9" s="180"/>
      <c r="ST9" s="180"/>
      <c r="SU9" s="180"/>
      <c r="SV9" s="180"/>
      <c r="SW9" s="180"/>
      <c r="SX9" s="180"/>
      <c r="SY9" s="180"/>
      <c r="SZ9" s="180"/>
      <c r="TA9" s="180"/>
      <c r="TB9" s="180"/>
      <c r="TC9" s="180"/>
      <c r="TD9" s="180"/>
      <c r="TE9" s="180"/>
      <c r="TF9" s="180"/>
      <c r="TG9" s="180"/>
      <c r="TH9" s="180"/>
      <c r="TI9" s="180"/>
      <c r="TJ9" s="180"/>
      <c r="TK9" s="180"/>
      <c r="TL9" s="180"/>
      <c r="TM9" s="180"/>
      <c r="TN9" s="180"/>
      <c r="TO9" s="180"/>
      <c r="TP9" s="180"/>
      <c r="TQ9" s="180"/>
      <c r="TR9" s="180"/>
      <c r="TS9" s="180"/>
      <c r="TT9" s="180"/>
      <c r="TU9" s="180"/>
      <c r="TV9" s="180"/>
      <c r="TW9" s="180"/>
      <c r="TX9" s="180"/>
      <c r="TY9" s="180"/>
      <c r="TZ9" s="180"/>
      <c r="UA9" s="180"/>
      <c r="UB9" s="180"/>
      <c r="UC9" s="180"/>
      <c r="UD9" s="180"/>
      <c r="UE9" s="180"/>
      <c r="UF9" s="180"/>
      <c r="UG9" s="180"/>
      <c r="UH9" s="180"/>
      <c r="UI9" s="180"/>
      <c r="UJ9" s="180"/>
      <c r="UK9" s="180"/>
      <c r="UL9" s="180"/>
      <c r="UM9" s="180"/>
      <c r="UN9" s="180"/>
      <c r="UO9" s="180"/>
      <c r="UP9" s="180"/>
      <c r="UQ9" s="180"/>
      <c r="UR9" s="180"/>
      <c r="US9" s="180"/>
      <c r="UT9" s="180"/>
      <c r="UU9" s="180"/>
      <c r="UV9" s="180"/>
      <c r="UW9" s="180"/>
      <c r="UX9" s="180"/>
      <c r="UY9" s="180"/>
      <c r="UZ9" s="180"/>
      <c r="VA9" s="180"/>
      <c r="VB9" s="180"/>
      <c r="VC9" s="180"/>
      <c r="VD9" s="180"/>
      <c r="VE9" s="180"/>
      <c r="VF9" s="180"/>
      <c r="VG9" s="180"/>
      <c r="VH9" s="180"/>
      <c r="VI9" s="180"/>
      <c r="VJ9" s="180"/>
      <c r="VK9" s="180"/>
      <c r="VL9" s="180"/>
      <c r="VM9" s="180"/>
      <c r="VN9" s="180"/>
      <c r="VO9" s="180"/>
      <c r="VP9" s="180"/>
      <c r="VQ9" s="180"/>
      <c r="VR9" s="180"/>
      <c r="VS9" s="180"/>
      <c r="VT9" s="180"/>
      <c r="VU9" s="180"/>
      <c r="VV9" s="180"/>
      <c r="VW9" s="180"/>
      <c r="VX9" s="180"/>
      <c r="VY9" s="180"/>
      <c r="VZ9" s="180"/>
      <c r="WA9" s="180"/>
      <c r="WB9" s="180"/>
      <c r="WC9" s="180"/>
      <c r="WD9" s="180"/>
      <c r="WE9" s="180"/>
      <c r="WF9" s="180"/>
      <c r="WG9" s="180"/>
      <c r="WH9" s="180"/>
      <c r="WI9" s="180"/>
      <c r="WJ9" s="180"/>
      <c r="WK9" s="180"/>
      <c r="WL9" s="180"/>
      <c r="WM9" s="180"/>
      <c r="WN9" s="180"/>
      <c r="WO9" s="180"/>
      <c r="WP9" s="180"/>
      <c r="WQ9" s="180"/>
      <c r="WR9" s="180"/>
      <c r="WS9" s="180"/>
      <c r="WT9" s="180"/>
      <c r="WU9" s="180"/>
      <c r="WV9" s="180"/>
      <c r="WW9" s="180"/>
      <c r="WX9" s="180"/>
      <c r="WY9" s="180"/>
      <c r="WZ9" s="180"/>
      <c r="XA9" s="180"/>
      <c r="XB9" s="180"/>
      <c r="XC9" s="180"/>
      <c r="XD9" s="180"/>
      <c r="XE9" s="180"/>
      <c r="XF9" s="180"/>
      <c r="XG9" s="180"/>
      <c r="XH9" s="180"/>
      <c r="XI9" s="180"/>
      <c r="XJ9" s="180"/>
      <c r="XK9" s="180"/>
      <c r="XL9" s="180"/>
      <c r="XM9" s="180"/>
      <c r="XN9" s="180"/>
      <c r="XO9" s="180"/>
      <c r="XP9" s="180"/>
      <c r="XQ9" s="180"/>
      <c r="XR9" s="180"/>
      <c r="XS9" s="180"/>
      <c r="XT9" s="180"/>
      <c r="XU9" s="180"/>
      <c r="XV9" s="180"/>
      <c r="XW9" s="180"/>
      <c r="XX9" s="180"/>
      <c r="XY9" s="180"/>
      <c r="XZ9" s="180"/>
      <c r="YA9" s="180"/>
      <c r="YB9" s="180"/>
      <c r="YC9" s="180"/>
      <c r="YD9" s="180"/>
      <c r="YE9" s="180"/>
      <c r="YF9" s="180"/>
      <c r="YG9" s="180"/>
      <c r="YH9" s="180"/>
      <c r="YI9" s="180"/>
      <c r="YJ9" s="180"/>
      <c r="YK9" s="180"/>
      <c r="YL9" s="180"/>
      <c r="YM9" s="180"/>
      <c r="YN9" s="180"/>
      <c r="YO9" s="180"/>
      <c r="YP9" s="180"/>
      <c r="YQ9" s="180"/>
      <c r="YR9" s="180"/>
      <c r="YS9" s="180"/>
      <c r="YT9" s="180"/>
      <c r="YU9" s="180"/>
      <c r="YV9" s="180"/>
      <c r="YW9" s="180"/>
      <c r="YX9" s="180"/>
      <c r="YY9" s="180"/>
      <c r="YZ9" s="180"/>
      <c r="ZA9" s="180"/>
      <c r="ZB9" s="180"/>
      <c r="ZC9" s="180"/>
      <c r="ZD9" s="180"/>
      <c r="ZE9" s="180"/>
      <c r="ZF9" s="180"/>
      <c r="ZG9" s="180"/>
      <c r="ZH9" s="180"/>
      <c r="ZI9" s="180"/>
      <c r="ZJ9" s="180"/>
      <c r="ZK9" s="180"/>
      <c r="ZL9" s="180"/>
      <c r="ZM9" s="180"/>
      <c r="ZN9" s="180"/>
      <c r="ZO9" s="180"/>
      <c r="ZP9" s="180"/>
      <c r="ZQ9" s="180"/>
      <c r="ZR9" s="180"/>
      <c r="ZS9" s="180"/>
      <c r="ZT9" s="180"/>
      <c r="ZU9" s="180"/>
      <c r="ZV9" s="180"/>
      <c r="ZW9" s="180"/>
      <c r="ZX9" s="180"/>
      <c r="ZY9" s="180"/>
      <c r="ZZ9" s="180"/>
      <c r="AAA9" s="180"/>
      <c r="AAB9" s="180"/>
      <c r="AAC9" s="180"/>
      <c r="AAD9" s="180"/>
      <c r="AAE9" s="180"/>
      <c r="AAF9" s="180"/>
      <c r="AAG9" s="180"/>
      <c r="AAH9" s="180"/>
      <c r="AAI9" s="180"/>
      <c r="AAJ9" s="180"/>
      <c r="AAK9" s="180"/>
      <c r="AAL9" s="180"/>
      <c r="AAM9" s="180"/>
      <c r="AAN9" s="180"/>
      <c r="AAO9" s="180"/>
      <c r="AAP9" s="180"/>
      <c r="AAQ9" s="180"/>
      <c r="AAR9" s="180"/>
      <c r="AAS9" s="180"/>
      <c r="AAT9" s="180"/>
      <c r="AAU9" s="180"/>
      <c r="AAV9" s="180"/>
      <c r="AAW9" s="180"/>
      <c r="AAX9" s="180"/>
      <c r="AAY9" s="180"/>
      <c r="AAZ9" s="180"/>
      <c r="ABA9" s="180"/>
      <c r="ABB9" s="180"/>
      <c r="ABC9" s="180"/>
      <c r="ABD9" s="180"/>
      <c r="ABE9" s="180"/>
      <c r="ABF9" s="180"/>
      <c r="ABG9" s="180"/>
      <c r="ABH9" s="180"/>
      <c r="ABI9" s="180"/>
      <c r="ABJ9" s="180"/>
      <c r="ABK9" s="180"/>
      <c r="ABL9" s="180"/>
      <c r="ABM9" s="180"/>
      <c r="ABN9" s="180"/>
      <c r="ABO9" s="180"/>
      <c r="ABP9" s="180"/>
      <c r="ABQ9" s="180"/>
      <c r="ABR9" s="180"/>
      <c r="ABS9" s="180"/>
      <c r="ABT9" s="180"/>
      <c r="ABU9" s="180"/>
      <c r="ABV9" s="180"/>
      <c r="ABW9" s="180"/>
      <c r="ABX9" s="180"/>
      <c r="ABY9" s="180"/>
      <c r="ABZ9" s="180"/>
      <c r="ACA9" s="180"/>
      <c r="ACB9" s="180"/>
      <c r="ACC9" s="180"/>
      <c r="ACD9" s="180"/>
      <c r="ACE9" s="180"/>
      <c r="ACF9" s="180"/>
      <c r="ACG9" s="180"/>
      <c r="ACH9" s="180"/>
      <c r="ACI9" s="180"/>
      <c r="ACJ9" s="180"/>
      <c r="ACK9" s="180"/>
      <c r="ACL9" s="180"/>
      <c r="ACM9" s="180"/>
      <c r="ACN9" s="180"/>
      <c r="ACO9" s="180"/>
      <c r="ACP9" s="180"/>
      <c r="ACQ9" s="180"/>
      <c r="ACR9" s="180"/>
      <c r="ACS9" s="180"/>
      <c r="ACT9" s="180"/>
      <c r="ACU9" s="180"/>
      <c r="ACV9" s="180"/>
      <c r="ACW9" s="180"/>
      <c r="ACX9" s="180"/>
      <c r="ACY9" s="180"/>
      <c r="ACZ9" s="180"/>
      <c r="ADA9" s="180"/>
      <c r="ADB9" s="180"/>
      <c r="ADC9" s="180"/>
      <c r="ADD9" s="180"/>
      <c r="ADE9" s="180"/>
      <c r="ADF9" s="180"/>
      <c r="ADG9" s="180"/>
      <c r="ADH9" s="180"/>
      <c r="ADI9" s="180"/>
      <c r="ADJ9" s="180"/>
      <c r="ADK9" s="180"/>
      <c r="ADL9" s="180"/>
      <c r="ADM9" s="180"/>
      <c r="ADN9" s="180"/>
      <c r="ADO9" s="180"/>
      <c r="ADP9" s="180"/>
      <c r="ADQ9" s="180"/>
      <c r="ADR9" s="180"/>
      <c r="ADS9" s="180"/>
      <c r="ADT9" s="180"/>
      <c r="ADU9" s="180"/>
      <c r="ADV9" s="180"/>
      <c r="ADW9" s="180"/>
      <c r="ADX9" s="180"/>
      <c r="ADY9" s="180"/>
      <c r="ADZ9" s="180"/>
      <c r="AEA9" s="180"/>
      <c r="AEB9" s="180"/>
      <c r="AEC9" s="180"/>
      <c r="AED9" s="180"/>
      <c r="AEE9" s="180"/>
      <c r="AEF9" s="180"/>
      <c r="AEG9" s="180"/>
      <c r="AEH9" s="180"/>
      <c r="AEI9" s="180"/>
      <c r="AEJ9" s="180"/>
      <c r="AEK9" s="180"/>
      <c r="AEL9" s="180"/>
      <c r="AEM9" s="180"/>
      <c r="AEN9" s="180"/>
      <c r="AEO9" s="180"/>
      <c r="AEP9" s="180"/>
      <c r="AEQ9" s="180"/>
      <c r="AER9" s="180"/>
      <c r="AES9" s="180"/>
      <c r="AET9" s="180"/>
      <c r="AEU9" s="180"/>
      <c r="AEV9" s="180"/>
      <c r="AEW9" s="180"/>
      <c r="AEX9" s="180"/>
      <c r="AEY9" s="180"/>
      <c r="AEZ9" s="180"/>
      <c r="AFA9" s="180"/>
      <c r="AFB9" s="180"/>
      <c r="AFC9" s="180"/>
      <c r="AFD9" s="180"/>
      <c r="AFE9" s="180"/>
      <c r="AFF9" s="180"/>
      <c r="AFG9" s="180"/>
      <c r="AFH9" s="180"/>
      <c r="AFI9" s="180"/>
      <c r="AFJ9" s="180"/>
      <c r="AFK9" s="180"/>
      <c r="AFL9" s="180"/>
      <c r="AFM9" s="180"/>
      <c r="AFN9" s="180"/>
      <c r="AFO9" s="180"/>
      <c r="AFP9" s="180"/>
      <c r="AFQ9" s="180"/>
      <c r="AFR9" s="180"/>
      <c r="AFS9" s="180"/>
      <c r="AFT9" s="180"/>
      <c r="AFU9" s="180"/>
      <c r="AFV9" s="180"/>
      <c r="AFW9" s="180"/>
      <c r="AFX9" s="180"/>
      <c r="AFY9" s="180"/>
      <c r="AFZ9" s="180"/>
      <c r="AGA9" s="180"/>
      <c r="AGB9" s="180"/>
      <c r="AGC9" s="180"/>
      <c r="AGD9" s="180"/>
      <c r="AGE9" s="180"/>
      <c r="AGF9" s="180"/>
      <c r="AGG9" s="180"/>
      <c r="AGH9" s="180"/>
      <c r="AGI9" s="180"/>
      <c r="AGJ9" s="180"/>
      <c r="AGK9" s="180"/>
      <c r="AGL9" s="180"/>
      <c r="AGM9" s="180"/>
      <c r="AGN9" s="180"/>
      <c r="AGO9" s="180"/>
      <c r="AGP9" s="180"/>
      <c r="AGQ9" s="180"/>
      <c r="AGR9" s="180"/>
      <c r="AGS9" s="180"/>
      <c r="AGT9" s="180"/>
      <c r="AGU9" s="180"/>
      <c r="AGV9" s="180"/>
      <c r="AGW9" s="180"/>
      <c r="AGX9" s="180"/>
      <c r="AGY9" s="180"/>
      <c r="AGZ9" s="180"/>
      <c r="AHA9" s="180"/>
      <c r="AHB9" s="180"/>
      <c r="AHC9" s="180"/>
      <c r="AHD9" s="180"/>
      <c r="AHE9" s="180"/>
      <c r="AHF9" s="180"/>
      <c r="AHG9" s="180"/>
      <c r="AHH9" s="180"/>
      <c r="AHI9" s="180"/>
      <c r="AHJ9" s="180"/>
      <c r="AHK9" s="180"/>
      <c r="AHL9" s="180"/>
      <c r="AHM9" s="180"/>
      <c r="AHN9" s="180"/>
      <c r="AHO9" s="180"/>
      <c r="AHP9" s="180"/>
      <c r="AHQ9" s="180"/>
      <c r="AHR9" s="180"/>
      <c r="AHS9" s="180"/>
      <c r="AHT9" s="180"/>
      <c r="AHU9" s="180"/>
      <c r="AHV9" s="180"/>
      <c r="AHW9" s="180"/>
      <c r="AHX9" s="180"/>
      <c r="AHY9" s="180"/>
      <c r="AHZ9" s="180"/>
      <c r="AIA9" s="180"/>
      <c r="AIB9" s="180"/>
      <c r="AIC9" s="180"/>
      <c r="AID9" s="180"/>
      <c r="AIE9" s="180"/>
      <c r="AIF9" s="180"/>
      <c r="AIG9" s="180"/>
      <c r="AIH9" s="180"/>
      <c r="AII9" s="180"/>
      <c r="AIJ9" s="180"/>
      <c r="AIK9" s="180"/>
      <c r="AIL9" s="180"/>
      <c r="AIM9" s="180"/>
      <c r="AIN9" s="180"/>
      <c r="AIO9" s="180"/>
      <c r="AIP9" s="180"/>
      <c r="AIQ9" s="180"/>
      <c r="AIR9" s="180"/>
      <c r="AIS9" s="180"/>
      <c r="AIT9" s="180"/>
      <c r="AIU9" s="180"/>
      <c r="AIV9" s="180"/>
      <c r="AIW9" s="180"/>
      <c r="AIX9" s="180"/>
      <c r="AIY9" s="180"/>
      <c r="AIZ9" s="180"/>
      <c r="AJA9" s="180"/>
      <c r="AJB9" s="180"/>
      <c r="AJC9" s="180"/>
      <c r="AJD9" s="180"/>
      <c r="AJE9" s="180"/>
      <c r="AJF9" s="180"/>
      <c r="AJG9" s="180"/>
      <c r="AJH9" s="180"/>
      <c r="AJI9" s="180"/>
      <c r="AJJ9" s="180"/>
      <c r="AJK9" s="180"/>
      <c r="AJL9" s="180"/>
      <c r="AJM9" s="180"/>
      <c r="AJN9" s="180"/>
      <c r="AJO9" s="180"/>
      <c r="AJP9" s="180"/>
      <c r="AJQ9" s="180"/>
      <c r="AJR9" s="180"/>
      <c r="AJS9" s="180"/>
      <c r="AJT9" s="180"/>
      <c r="AJU9" s="180"/>
      <c r="AJV9" s="180"/>
      <c r="AJW9" s="180"/>
      <c r="AJX9" s="180"/>
      <c r="AJY9" s="180"/>
      <c r="AJZ9" s="180"/>
      <c r="AKA9" s="180"/>
      <c r="AKB9" s="180"/>
      <c r="AKC9" s="180"/>
      <c r="AKD9" s="180"/>
      <c r="AKE9" s="180"/>
      <c r="AKF9" s="180"/>
      <c r="AKG9" s="180"/>
      <c r="AKH9" s="180"/>
      <c r="AKI9" s="180"/>
      <c r="AKJ9" s="180"/>
      <c r="AKK9" s="180"/>
      <c r="AKL9" s="180"/>
      <c r="AKM9" s="180"/>
      <c r="AKN9" s="180"/>
      <c r="AKO9" s="180"/>
      <c r="AKP9" s="180"/>
      <c r="AKQ9" s="180"/>
      <c r="AKR9" s="180"/>
      <c r="AKS9" s="180"/>
      <c r="AKT9" s="180"/>
      <c r="AKU9" s="180"/>
      <c r="AKV9" s="180"/>
      <c r="AKW9" s="180"/>
      <c r="AKX9" s="180"/>
      <c r="AKY9" s="180"/>
      <c r="AKZ9" s="180"/>
      <c r="ALA9" s="180"/>
      <c r="ALB9" s="180"/>
      <c r="ALC9" s="180"/>
      <c r="ALD9" s="180"/>
      <c r="ALE9" s="180"/>
      <c r="ALF9" s="180"/>
      <c r="ALG9" s="180"/>
      <c r="ALH9" s="180"/>
      <c r="ALI9" s="180"/>
      <c r="ALJ9" s="180"/>
      <c r="ALK9" s="180"/>
      <c r="ALL9" s="180"/>
      <c r="ALM9" s="180"/>
      <c r="ALN9" s="180"/>
      <c r="ALO9" s="180"/>
      <c r="ALP9" s="180"/>
      <c r="ALQ9" s="180"/>
      <c r="ALR9" s="180"/>
      <c r="ALS9" s="180"/>
      <c r="ALT9" s="180"/>
      <c r="ALU9" s="180"/>
      <c r="ALV9" s="180"/>
      <c r="ALW9" s="180"/>
      <c r="ALX9" s="180"/>
      <c r="ALY9" s="180"/>
      <c r="ALZ9" s="180"/>
      <c r="AMA9" s="180"/>
      <c r="AMB9" s="180"/>
      <c r="AMC9" s="180"/>
      <c r="AMD9" s="180"/>
      <c r="AME9" s="180"/>
      <c r="AMF9" s="180"/>
      <c r="AMG9" s="180"/>
      <c r="AMH9" s="180"/>
      <c r="AMI9" s="180"/>
      <c r="AMJ9" s="180"/>
      <c r="AMK9" s="180"/>
      <c r="AML9" s="180"/>
      <c r="AMM9" s="180"/>
      <c r="AMN9" s="180"/>
      <c r="AMO9" s="180"/>
      <c r="AMP9" s="180"/>
      <c r="AMQ9" s="180"/>
      <c r="AMR9" s="180"/>
      <c r="AMS9" s="180"/>
      <c r="AMT9" s="180"/>
      <c r="AMU9" s="180"/>
      <c r="AMV9" s="180"/>
      <c r="AMW9" s="180"/>
      <c r="AMX9" s="180"/>
      <c r="AMY9" s="180"/>
      <c r="AMZ9" s="180"/>
      <c r="ANA9" s="180"/>
      <c r="ANB9" s="180"/>
      <c r="ANC9" s="180"/>
      <c r="AND9" s="180"/>
      <c r="ANE9" s="180"/>
      <c r="ANF9" s="180"/>
      <c r="ANG9" s="180"/>
      <c r="ANH9" s="180"/>
      <c r="ANI9" s="180"/>
      <c r="ANJ9" s="180"/>
      <c r="ANK9" s="180"/>
      <c r="ANL9" s="180"/>
      <c r="ANM9" s="180"/>
      <c r="ANN9" s="180"/>
      <c r="ANO9" s="180"/>
      <c r="ANP9" s="180"/>
      <c r="ANQ9" s="180"/>
      <c r="ANR9" s="180"/>
      <c r="ANS9" s="180"/>
      <c r="ANT9" s="180"/>
      <c r="ANU9" s="180"/>
      <c r="ANV9" s="180"/>
      <c r="ANW9" s="180"/>
      <c r="ANX9" s="180"/>
      <c r="ANY9" s="180"/>
      <c r="ANZ9" s="180"/>
      <c r="AOA9" s="180"/>
      <c r="AOB9" s="180"/>
      <c r="AOC9" s="180"/>
      <c r="AOD9" s="180"/>
      <c r="AOE9" s="180"/>
      <c r="AOF9" s="180"/>
      <c r="AOG9" s="180"/>
      <c r="AOH9" s="180"/>
      <c r="AOI9" s="180"/>
      <c r="AOJ9" s="180"/>
      <c r="AOK9" s="180"/>
      <c r="AOL9" s="180"/>
      <c r="AOM9" s="180"/>
      <c r="AON9" s="180"/>
      <c r="AOO9" s="180"/>
      <c r="AOP9" s="180"/>
      <c r="AOQ9" s="180"/>
      <c r="AOR9" s="180"/>
      <c r="AOS9" s="180"/>
      <c r="AOT9" s="180"/>
      <c r="AOU9" s="180"/>
      <c r="AOV9" s="180"/>
      <c r="AOW9" s="180"/>
      <c r="AOX9" s="180"/>
      <c r="AOY9" s="180"/>
      <c r="AOZ9" s="180"/>
      <c r="APA9" s="180"/>
      <c r="APB9" s="180"/>
      <c r="APC9" s="180"/>
      <c r="APD9" s="180"/>
      <c r="APE9" s="180"/>
      <c r="APF9" s="180"/>
      <c r="APG9" s="180"/>
      <c r="APH9" s="180"/>
      <c r="API9" s="180"/>
      <c r="APJ9" s="180"/>
      <c r="APK9" s="180"/>
      <c r="APL9" s="180"/>
      <c r="APM9" s="180"/>
      <c r="APN9" s="180"/>
      <c r="APO9" s="180"/>
      <c r="APP9" s="180"/>
      <c r="APQ9" s="180"/>
      <c r="APR9" s="180"/>
      <c r="APS9" s="180"/>
      <c r="APT9" s="180"/>
      <c r="APU9" s="180"/>
      <c r="APV9" s="180"/>
      <c r="APW9" s="180"/>
      <c r="APX9" s="180"/>
      <c r="APY9" s="180"/>
      <c r="APZ9" s="180"/>
      <c r="AQA9" s="180"/>
      <c r="AQB9" s="180"/>
      <c r="AQC9" s="180"/>
      <c r="AQD9" s="180"/>
      <c r="AQE9" s="180"/>
      <c r="AQF9" s="180"/>
      <c r="AQG9" s="180"/>
      <c r="AQH9" s="180"/>
      <c r="AQI9" s="180"/>
      <c r="AQJ9" s="180"/>
      <c r="AQK9" s="180"/>
      <c r="AQL9" s="180"/>
      <c r="AQM9" s="180"/>
      <c r="AQN9" s="180"/>
      <c r="AQO9" s="180"/>
      <c r="AQP9" s="180"/>
      <c r="AQQ9" s="180"/>
      <c r="AQR9" s="180"/>
      <c r="AQS9" s="180"/>
      <c r="AQT9" s="180"/>
      <c r="AQU9" s="180"/>
      <c r="AQV9" s="180"/>
      <c r="AQW9" s="180"/>
      <c r="AQX9" s="180"/>
      <c r="AQY9" s="180"/>
      <c r="AQZ9" s="180"/>
      <c r="ARA9" s="180"/>
      <c r="ARB9" s="180"/>
      <c r="ARC9" s="180"/>
      <c r="ARD9" s="180"/>
      <c r="ARE9" s="180"/>
      <c r="ARF9" s="180"/>
      <c r="ARG9" s="180"/>
      <c r="ARH9" s="180"/>
      <c r="ARI9" s="180"/>
      <c r="ARJ9" s="180"/>
      <c r="ARK9" s="180"/>
      <c r="ARL9" s="180"/>
      <c r="ARM9" s="180"/>
      <c r="ARN9" s="180"/>
      <c r="ARO9" s="180"/>
      <c r="ARP9" s="180"/>
      <c r="ARQ9" s="180"/>
      <c r="ARR9" s="180"/>
      <c r="ARS9" s="180"/>
      <c r="ART9" s="180"/>
      <c r="ARU9" s="180"/>
      <c r="ARV9" s="180"/>
      <c r="ARW9" s="180"/>
      <c r="ARX9" s="180"/>
      <c r="ARY9" s="180"/>
      <c r="ARZ9" s="180"/>
      <c r="ASA9" s="180"/>
      <c r="ASB9" s="180"/>
      <c r="ASC9" s="180"/>
      <c r="ASD9" s="180"/>
      <c r="ASE9" s="180"/>
      <c r="ASF9" s="180"/>
      <c r="ASG9" s="180"/>
      <c r="ASH9" s="180"/>
      <c r="ASI9" s="180"/>
      <c r="ASJ9" s="180"/>
      <c r="ASK9" s="180"/>
      <c r="ASL9" s="180"/>
      <c r="ASM9" s="180"/>
      <c r="ASN9" s="180"/>
      <c r="ASO9" s="180"/>
      <c r="ASP9" s="180"/>
      <c r="ASQ9" s="180"/>
      <c r="ASR9" s="180"/>
      <c r="ASS9" s="180"/>
      <c r="AST9" s="180"/>
      <c r="ASU9" s="180"/>
      <c r="ASV9" s="180"/>
      <c r="ASW9" s="180"/>
      <c r="ASX9" s="180"/>
      <c r="ASY9" s="180"/>
      <c r="ASZ9" s="180"/>
      <c r="ATA9" s="180"/>
      <c r="ATB9" s="180"/>
      <c r="ATC9" s="180"/>
      <c r="ATD9" s="180"/>
      <c r="ATE9" s="180"/>
      <c r="ATF9" s="180"/>
      <c r="ATG9" s="180"/>
      <c r="ATH9" s="180"/>
      <c r="ATI9" s="180"/>
      <c r="ATJ9" s="180"/>
      <c r="ATK9" s="180"/>
      <c r="ATL9" s="180"/>
      <c r="ATM9" s="180"/>
      <c r="ATN9" s="180"/>
      <c r="ATO9" s="180"/>
      <c r="ATP9" s="180"/>
      <c r="ATQ9" s="180"/>
      <c r="ATR9" s="180"/>
      <c r="ATS9" s="180"/>
      <c r="ATT9" s="180"/>
      <c r="ATU9" s="180"/>
      <c r="ATV9" s="180"/>
      <c r="ATW9" s="180"/>
      <c r="ATX9" s="180"/>
      <c r="ATY9" s="180"/>
      <c r="ATZ9" s="180"/>
      <c r="AUA9" s="180"/>
      <c r="AUB9" s="180"/>
      <c r="AUC9" s="180"/>
      <c r="AUD9" s="180"/>
      <c r="AUE9" s="180"/>
      <c r="AUF9" s="180"/>
      <c r="AUG9" s="180"/>
      <c r="AUH9" s="180"/>
      <c r="AUI9" s="180"/>
      <c r="AUJ9" s="180"/>
      <c r="AUK9" s="180"/>
      <c r="AUL9" s="180"/>
      <c r="AUM9" s="180"/>
      <c r="AUN9" s="180"/>
      <c r="AUO9" s="180"/>
      <c r="AUP9" s="180"/>
      <c r="AUQ9" s="180"/>
      <c r="AUR9" s="180"/>
      <c r="AUS9" s="180"/>
      <c r="AUT9" s="180"/>
      <c r="AUU9" s="180"/>
      <c r="AUV9" s="180"/>
      <c r="AUW9" s="180"/>
      <c r="AUX9" s="180"/>
      <c r="AUY9" s="180"/>
      <c r="AUZ9" s="180"/>
      <c r="AVA9" s="180"/>
      <c r="AVB9" s="180"/>
      <c r="AVC9" s="180"/>
      <c r="AVD9" s="180"/>
      <c r="AVE9" s="180"/>
      <c r="AVF9" s="180"/>
      <c r="AVG9" s="180"/>
      <c r="AVH9" s="180"/>
      <c r="AVI9" s="180"/>
      <c r="AVJ9" s="180"/>
      <c r="AVK9" s="180"/>
      <c r="AVL9" s="180"/>
      <c r="AVM9" s="180"/>
      <c r="AVN9" s="180"/>
      <c r="AVO9" s="180"/>
      <c r="AVP9" s="180"/>
      <c r="AVQ9" s="180"/>
      <c r="AVR9" s="180"/>
      <c r="AVS9" s="180"/>
      <c r="AVT9" s="180"/>
      <c r="AVU9" s="180"/>
      <c r="AVV9" s="180"/>
      <c r="AVW9" s="180"/>
      <c r="AVX9" s="180"/>
      <c r="AVY9" s="180"/>
      <c r="AVZ9" s="180"/>
      <c r="AWA9" s="180"/>
      <c r="AWB9" s="180"/>
      <c r="AWC9" s="180"/>
      <c r="AWD9" s="180"/>
      <c r="AWE9" s="180"/>
      <c r="AWF9" s="180"/>
      <c r="AWG9" s="180"/>
      <c r="AWH9" s="180"/>
      <c r="AWI9" s="180"/>
      <c r="AWJ9" s="180"/>
      <c r="AWK9" s="180"/>
      <c r="AWL9" s="180"/>
      <c r="AWM9" s="180"/>
      <c r="AWN9" s="180"/>
      <c r="AWO9" s="180"/>
      <c r="AWP9" s="180"/>
      <c r="AWQ9" s="180"/>
      <c r="AWR9" s="180"/>
      <c r="AWS9" s="180"/>
      <c r="AWT9" s="180"/>
      <c r="AWU9" s="180"/>
      <c r="AWV9" s="180"/>
      <c r="AWW9" s="180"/>
      <c r="AWX9" s="180"/>
      <c r="AWY9" s="180"/>
      <c r="AWZ9" s="180"/>
      <c r="AXA9" s="180"/>
      <c r="AXB9" s="180"/>
      <c r="AXC9" s="180"/>
      <c r="AXD9" s="180"/>
      <c r="AXE9" s="180"/>
      <c r="AXF9" s="180"/>
      <c r="AXG9" s="180"/>
      <c r="AXH9" s="180"/>
      <c r="AXI9" s="180"/>
      <c r="AXJ9" s="180"/>
      <c r="AXK9" s="180"/>
      <c r="AXL9" s="180"/>
      <c r="AXM9" s="180"/>
      <c r="AXN9" s="180"/>
      <c r="AXO9" s="180"/>
      <c r="AXP9" s="180"/>
      <c r="AXQ9" s="180"/>
      <c r="AXR9" s="180"/>
      <c r="AXS9" s="180"/>
      <c r="AXT9" s="180"/>
      <c r="AXU9" s="180"/>
      <c r="AXV9" s="180"/>
      <c r="AXW9" s="180"/>
      <c r="AXX9" s="180"/>
      <c r="AXY9" s="180"/>
      <c r="AXZ9" s="180"/>
      <c r="AYA9" s="180"/>
      <c r="AYB9" s="180"/>
      <c r="AYC9" s="180"/>
      <c r="AYD9" s="180"/>
      <c r="AYE9" s="180"/>
      <c r="AYF9" s="180"/>
      <c r="AYG9" s="180"/>
      <c r="AYH9" s="180"/>
      <c r="AYI9" s="180"/>
      <c r="AYJ9" s="180"/>
      <c r="AYK9" s="180"/>
      <c r="AYL9" s="180"/>
      <c r="AYM9" s="180"/>
      <c r="AYN9" s="180"/>
      <c r="AYO9" s="180"/>
      <c r="AYP9" s="180"/>
      <c r="AYQ9" s="180"/>
      <c r="AYR9" s="180"/>
      <c r="AYS9" s="180"/>
      <c r="AYT9" s="180"/>
      <c r="AYU9" s="180"/>
      <c r="AYV9" s="180"/>
      <c r="AYW9" s="180"/>
      <c r="AYX9" s="180"/>
      <c r="AYY9" s="180"/>
      <c r="AYZ9" s="180"/>
      <c r="AZA9" s="180"/>
      <c r="AZB9" s="180"/>
      <c r="AZC9" s="180"/>
      <c r="AZD9" s="180"/>
      <c r="AZE9" s="180"/>
      <c r="AZF9" s="180"/>
      <c r="AZG9" s="180"/>
      <c r="AZH9" s="180"/>
      <c r="AZI9" s="180"/>
      <c r="AZJ9" s="180"/>
      <c r="AZK9" s="180"/>
      <c r="AZL9" s="180"/>
      <c r="AZM9" s="180"/>
      <c r="AZN9" s="180"/>
      <c r="AZO9" s="180"/>
      <c r="AZP9" s="180"/>
      <c r="AZQ9" s="180"/>
      <c r="AZR9" s="180"/>
      <c r="AZS9" s="180"/>
      <c r="AZT9" s="180"/>
      <c r="AZU9" s="180"/>
      <c r="AZV9" s="180"/>
      <c r="AZW9" s="180"/>
      <c r="AZX9" s="180"/>
      <c r="AZY9" s="180"/>
      <c r="AZZ9" s="180"/>
      <c r="BAA9" s="180"/>
      <c r="BAB9" s="180"/>
      <c r="BAC9" s="180"/>
      <c r="BAD9" s="180"/>
      <c r="BAE9" s="180"/>
      <c r="BAF9" s="180"/>
      <c r="BAG9" s="180"/>
      <c r="BAH9" s="180"/>
      <c r="BAI9" s="180"/>
      <c r="BAJ9" s="180"/>
      <c r="BAK9" s="180"/>
      <c r="BAL9" s="180"/>
      <c r="BAM9" s="180"/>
      <c r="BAN9" s="180"/>
      <c r="BAO9" s="180"/>
      <c r="BAP9" s="180"/>
      <c r="BAQ9" s="180"/>
      <c r="BAR9" s="180"/>
      <c r="BAS9" s="180"/>
      <c r="BAT9" s="180"/>
      <c r="BAU9" s="180"/>
      <c r="BAV9" s="180"/>
      <c r="BAW9" s="180"/>
      <c r="BAX9" s="180"/>
      <c r="BAY9" s="180"/>
      <c r="BAZ9" s="180"/>
      <c r="BBA9" s="180"/>
      <c r="BBB9" s="180"/>
      <c r="BBC9" s="180"/>
      <c r="BBD9" s="180"/>
      <c r="BBE9" s="180"/>
      <c r="BBF9" s="180"/>
      <c r="BBG9" s="180"/>
      <c r="BBH9" s="180"/>
      <c r="BBI9" s="180"/>
      <c r="BBJ9" s="180"/>
      <c r="BBK9" s="180"/>
      <c r="BBL9" s="180"/>
      <c r="BBM9" s="180"/>
      <c r="BBN9" s="180"/>
      <c r="BBO9" s="180"/>
      <c r="BBP9" s="180"/>
      <c r="BBQ9" s="180"/>
      <c r="BBR9" s="180"/>
      <c r="BBS9" s="180"/>
      <c r="BBT9" s="180"/>
      <c r="BBU9" s="180"/>
      <c r="BBV9" s="180"/>
      <c r="BBW9" s="180"/>
      <c r="BBX9" s="180"/>
      <c r="BBY9" s="180"/>
      <c r="BBZ9" s="180"/>
      <c r="BCA9" s="180"/>
      <c r="BCB9" s="180"/>
      <c r="BCC9" s="180"/>
      <c r="BCD9" s="180"/>
      <c r="BCE9" s="180"/>
      <c r="BCF9" s="180"/>
      <c r="BCG9" s="180"/>
      <c r="BCH9" s="180"/>
      <c r="BCI9" s="180"/>
      <c r="BCJ9" s="180"/>
      <c r="BCK9" s="180"/>
      <c r="BCL9" s="180"/>
      <c r="BCM9" s="180"/>
      <c r="BCN9" s="180"/>
      <c r="BCO9" s="180"/>
      <c r="BCP9" s="180"/>
      <c r="BCQ9" s="180"/>
      <c r="BCR9" s="180"/>
      <c r="BCS9" s="180"/>
      <c r="BCT9" s="180"/>
      <c r="BCU9" s="180"/>
      <c r="BCV9" s="180"/>
      <c r="BCW9" s="180"/>
      <c r="BCX9" s="180"/>
      <c r="BCY9" s="180"/>
      <c r="BCZ9" s="180"/>
      <c r="BDA9" s="180"/>
      <c r="BDB9" s="180"/>
      <c r="BDC9" s="180"/>
      <c r="BDD9" s="180"/>
      <c r="BDE9" s="180"/>
      <c r="BDF9" s="180"/>
      <c r="BDG9" s="180"/>
      <c r="BDH9" s="180"/>
      <c r="BDI9" s="180"/>
      <c r="BDJ9" s="180"/>
      <c r="BDK9" s="180"/>
      <c r="BDL9" s="180"/>
      <c r="BDM9" s="180"/>
      <c r="BDN9" s="180"/>
      <c r="BDO9" s="180"/>
      <c r="BDP9" s="180"/>
      <c r="BDQ9" s="180"/>
      <c r="BDR9" s="180"/>
      <c r="BDS9" s="180"/>
      <c r="BDT9" s="180"/>
      <c r="BDU9" s="180"/>
      <c r="BDV9" s="180"/>
      <c r="BDW9" s="180"/>
      <c r="BDX9" s="180"/>
      <c r="BDY9" s="180"/>
      <c r="BDZ9" s="180"/>
      <c r="BEA9" s="180"/>
      <c r="BEB9" s="180"/>
      <c r="BEC9" s="180"/>
      <c r="BED9" s="180"/>
      <c r="BEE9" s="180"/>
      <c r="BEF9" s="180"/>
      <c r="BEG9" s="180"/>
      <c r="BEH9" s="180"/>
      <c r="BEI9" s="180"/>
      <c r="BEJ9" s="180"/>
      <c r="BEK9" s="180"/>
      <c r="BEL9" s="180"/>
      <c r="BEM9" s="180"/>
      <c r="BEN9" s="180"/>
      <c r="BEO9" s="180"/>
      <c r="BEP9" s="180"/>
      <c r="BEQ9" s="180"/>
      <c r="BER9" s="180"/>
      <c r="BES9" s="180"/>
      <c r="BET9" s="180"/>
      <c r="BEU9" s="180"/>
      <c r="BEV9" s="180"/>
      <c r="BEW9" s="180"/>
      <c r="BEX9" s="180"/>
      <c r="BEY9" s="180"/>
      <c r="BEZ9" s="180"/>
      <c r="BFA9" s="180"/>
      <c r="BFB9" s="180"/>
      <c r="BFC9" s="180"/>
      <c r="BFD9" s="180"/>
      <c r="BFE9" s="180"/>
      <c r="BFF9" s="180"/>
      <c r="BFG9" s="180"/>
      <c r="BFH9" s="180"/>
      <c r="BFI9" s="180"/>
      <c r="BFJ9" s="180"/>
      <c r="BFK9" s="180"/>
      <c r="BFL9" s="180"/>
      <c r="BFM9" s="180"/>
      <c r="BFN9" s="180"/>
      <c r="BFO9" s="180"/>
      <c r="BFP9" s="180"/>
      <c r="BFQ9" s="180"/>
      <c r="BFR9" s="180"/>
      <c r="BFS9" s="180"/>
      <c r="BFT9" s="180"/>
      <c r="BFU9" s="180"/>
      <c r="BFV9" s="180"/>
      <c r="BFW9" s="180"/>
      <c r="BFX9" s="180"/>
      <c r="BFY9" s="180"/>
      <c r="BFZ9" s="180"/>
      <c r="BGA9" s="180"/>
      <c r="BGB9" s="180"/>
      <c r="BGC9" s="180"/>
      <c r="BGD9" s="180"/>
      <c r="BGE9" s="180"/>
      <c r="BGF9" s="180"/>
      <c r="BGG9" s="180"/>
      <c r="BGH9" s="180"/>
      <c r="BGI9" s="180"/>
      <c r="BGJ9" s="180"/>
      <c r="BGK9" s="180"/>
      <c r="BGL9" s="180"/>
      <c r="BGM9" s="180"/>
      <c r="BGN9" s="180"/>
      <c r="BGO9" s="180"/>
      <c r="BGP9" s="180"/>
      <c r="BGQ9" s="180"/>
      <c r="BGR9" s="180"/>
      <c r="BGS9" s="180"/>
      <c r="BGT9" s="180"/>
      <c r="BGU9" s="180"/>
      <c r="BGV9" s="180"/>
      <c r="BGW9" s="180"/>
      <c r="BGX9" s="180"/>
      <c r="BGY9" s="180"/>
      <c r="BGZ9" s="180"/>
      <c r="BHA9" s="180"/>
      <c r="BHB9" s="180"/>
      <c r="BHC9" s="180"/>
      <c r="BHD9" s="180"/>
      <c r="BHE9" s="180"/>
      <c r="BHF9" s="180"/>
      <c r="BHG9" s="180"/>
      <c r="BHH9" s="180"/>
      <c r="BHI9" s="180"/>
      <c r="BHJ9" s="180"/>
      <c r="BHK9" s="180"/>
      <c r="BHL9" s="180"/>
      <c r="BHM9" s="180"/>
      <c r="BHN9" s="180"/>
      <c r="BHO9" s="180"/>
      <c r="BHP9" s="180"/>
      <c r="BHQ9" s="180"/>
      <c r="BHR9" s="180"/>
      <c r="BHS9" s="180"/>
      <c r="BHT9" s="180"/>
      <c r="BHU9" s="180"/>
      <c r="BHV9" s="180"/>
      <c r="BHW9" s="180"/>
      <c r="BHX9" s="180"/>
      <c r="BHY9" s="180"/>
      <c r="BHZ9" s="180"/>
      <c r="BIA9" s="180"/>
      <c r="BIB9" s="180"/>
      <c r="BIC9" s="180"/>
      <c r="BID9" s="180"/>
      <c r="BIE9" s="180"/>
      <c r="BIF9" s="180"/>
      <c r="BIG9" s="180"/>
      <c r="BIH9" s="180"/>
      <c r="BII9" s="180"/>
      <c r="BIJ9" s="180"/>
      <c r="BIK9" s="180"/>
      <c r="BIL9" s="180"/>
      <c r="BIM9" s="180"/>
      <c r="BIN9" s="180"/>
      <c r="BIO9" s="180"/>
      <c r="BIP9" s="180"/>
      <c r="BIQ9" s="180"/>
      <c r="BIR9" s="180"/>
      <c r="BIS9" s="180"/>
      <c r="BIT9" s="180"/>
      <c r="BIU9" s="180"/>
      <c r="BIV9" s="180"/>
      <c r="BIW9" s="180"/>
      <c r="BIX9" s="180"/>
      <c r="BIY9" s="180"/>
      <c r="BIZ9" s="180"/>
      <c r="BJA9" s="180"/>
      <c r="BJB9" s="180"/>
      <c r="BJC9" s="180"/>
      <c r="BJD9" s="180"/>
      <c r="BJE9" s="180"/>
      <c r="BJF9" s="180"/>
      <c r="BJG9" s="180"/>
      <c r="BJH9" s="180"/>
      <c r="BJI9" s="180"/>
      <c r="BJJ9" s="180"/>
      <c r="BJK9" s="180"/>
      <c r="BJL9" s="180"/>
      <c r="BJM9" s="180"/>
      <c r="BJN9" s="180"/>
      <c r="BJO9" s="180"/>
      <c r="BJP9" s="180"/>
      <c r="BJQ9" s="180"/>
      <c r="BJR9" s="180"/>
      <c r="BJS9" s="180"/>
      <c r="BJT9" s="180"/>
      <c r="BJU9" s="180"/>
      <c r="BJV9" s="180"/>
      <c r="BJW9" s="180"/>
      <c r="BJX9" s="180"/>
      <c r="BJY9" s="180"/>
      <c r="BJZ9" s="180"/>
      <c r="BKA9" s="180"/>
      <c r="BKB9" s="180"/>
      <c r="BKC9" s="180"/>
      <c r="BKD9" s="180"/>
      <c r="BKE9" s="180"/>
      <c r="BKF9" s="180"/>
      <c r="BKG9" s="180"/>
      <c r="BKH9" s="180"/>
      <c r="BKI9" s="180"/>
      <c r="BKJ9" s="180"/>
      <c r="BKK9" s="180"/>
      <c r="BKL9" s="180"/>
      <c r="BKM9" s="180"/>
      <c r="BKN9" s="180"/>
      <c r="BKO9" s="180"/>
      <c r="BKP9" s="180"/>
      <c r="BKQ9" s="180"/>
      <c r="BKR9" s="180"/>
      <c r="BKS9" s="180"/>
      <c r="BKT9" s="180"/>
      <c r="BKU9" s="180"/>
      <c r="BKV9" s="180"/>
      <c r="BKW9" s="180"/>
      <c r="BKX9" s="180"/>
      <c r="BKY9" s="180"/>
      <c r="BKZ9" s="180"/>
      <c r="BLA9" s="180"/>
      <c r="BLB9" s="180"/>
      <c r="BLC9" s="180"/>
      <c r="BLD9" s="180"/>
      <c r="BLE9" s="180"/>
      <c r="BLF9" s="180"/>
      <c r="BLG9" s="180"/>
      <c r="BLH9" s="180"/>
      <c r="BLI9" s="180"/>
      <c r="BLJ9" s="180"/>
      <c r="BLK9" s="180"/>
      <c r="BLL9" s="180"/>
      <c r="BLM9" s="180"/>
      <c r="BLN9" s="180"/>
      <c r="BLO9" s="180"/>
      <c r="BLP9" s="180"/>
      <c r="BLQ9" s="180"/>
      <c r="BLR9" s="180"/>
      <c r="BLS9" s="180"/>
      <c r="BLT9" s="180"/>
      <c r="BLU9" s="180"/>
      <c r="BLV9" s="180"/>
      <c r="BLW9" s="180"/>
      <c r="BLX9" s="180"/>
      <c r="BLY9" s="180"/>
      <c r="BLZ9" s="180"/>
      <c r="BMA9" s="180"/>
      <c r="BMB9" s="180"/>
      <c r="BMC9" s="180"/>
      <c r="BMD9" s="180"/>
      <c r="BME9" s="180"/>
      <c r="BMF9" s="180"/>
      <c r="BMG9" s="180"/>
      <c r="BMH9" s="180"/>
      <c r="BMI9" s="180"/>
      <c r="BMJ9" s="180"/>
      <c r="BMK9" s="180"/>
      <c r="BML9" s="180"/>
      <c r="BMM9" s="180"/>
      <c r="BMN9" s="180"/>
      <c r="BMO9" s="180"/>
      <c r="BMP9" s="180"/>
      <c r="BMQ9" s="180"/>
      <c r="BMR9" s="180"/>
      <c r="BMS9" s="180"/>
      <c r="BMT9" s="180"/>
      <c r="BMU9" s="180"/>
      <c r="BMV9" s="180"/>
      <c r="BMW9" s="180"/>
      <c r="BMX9" s="180"/>
      <c r="BMY9" s="180"/>
      <c r="BMZ9" s="180"/>
      <c r="BNA9" s="180"/>
      <c r="BNB9" s="180"/>
      <c r="BNC9" s="180"/>
      <c r="BND9" s="180"/>
      <c r="BNE9" s="180"/>
      <c r="BNF9" s="180"/>
      <c r="BNG9" s="180"/>
      <c r="BNH9" s="180"/>
      <c r="BNI9" s="180"/>
      <c r="BNJ9" s="180"/>
      <c r="BNK9" s="180"/>
      <c r="BNL9" s="180"/>
      <c r="BNM9" s="180"/>
      <c r="BNN9" s="180"/>
      <c r="BNO9" s="180"/>
      <c r="BNP9" s="180"/>
      <c r="BNQ9" s="180"/>
      <c r="BNR9" s="180"/>
      <c r="BNS9" s="180"/>
      <c r="BNT9" s="180"/>
      <c r="BNU9" s="180"/>
      <c r="BNV9" s="180"/>
      <c r="BNW9" s="180"/>
      <c r="BNX9" s="180"/>
      <c r="BNY9" s="180"/>
      <c r="BNZ9" s="180"/>
      <c r="BOA9" s="180"/>
      <c r="BOB9" s="180"/>
      <c r="BOC9" s="180"/>
      <c r="BOD9" s="180"/>
      <c r="BOE9" s="180"/>
      <c r="BOF9" s="180"/>
      <c r="BOG9" s="180"/>
      <c r="BOH9" s="180"/>
      <c r="BOI9" s="180"/>
      <c r="BOJ9" s="180"/>
      <c r="BOK9" s="180"/>
      <c r="BOL9" s="180"/>
      <c r="BOM9" s="180"/>
      <c r="BON9" s="180"/>
      <c r="BOO9" s="180"/>
      <c r="BOP9" s="180"/>
      <c r="BOQ9" s="180"/>
      <c r="BOR9" s="180"/>
      <c r="BOS9" s="180"/>
      <c r="BOT9" s="180"/>
      <c r="BOU9" s="180"/>
      <c r="BOV9" s="180"/>
      <c r="BOW9" s="180"/>
      <c r="BOX9" s="180"/>
      <c r="BOY9" s="180"/>
      <c r="BOZ9" s="180"/>
      <c r="BPA9" s="180"/>
      <c r="BPB9" s="180"/>
      <c r="BPC9" s="180"/>
      <c r="BPD9" s="180"/>
      <c r="BPE9" s="180"/>
      <c r="BPF9" s="180"/>
      <c r="BPG9" s="180"/>
      <c r="BPH9" s="180"/>
      <c r="BPI9" s="180"/>
      <c r="BPJ9" s="180"/>
      <c r="BPK9" s="180"/>
      <c r="BPL9" s="180"/>
      <c r="BPM9" s="180"/>
      <c r="BPN9" s="180"/>
      <c r="BPO9" s="180"/>
      <c r="BPP9" s="180"/>
      <c r="BPQ9" s="180"/>
      <c r="BPR9" s="180"/>
      <c r="BPS9" s="180"/>
      <c r="BPT9" s="180"/>
      <c r="BPU9" s="180"/>
      <c r="BPV9" s="180"/>
      <c r="BPW9" s="180"/>
      <c r="BPX9" s="180"/>
      <c r="BPY9" s="180"/>
      <c r="BPZ9" s="180"/>
      <c r="BQA9" s="180"/>
      <c r="BQB9" s="180"/>
      <c r="BQC9" s="180"/>
      <c r="BQD9" s="180"/>
      <c r="BQE9" s="180"/>
      <c r="BQF9" s="180"/>
      <c r="BQG9" s="180"/>
      <c r="BQH9" s="180"/>
      <c r="BQI9" s="180"/>
      <c r="BQJ9" s="180"/>
      <c r="BQK9" s="180"/>
      <c r="BQL9" s="180"/>
      <c r="BQM9" s="180"/>
      <c r="BQN9" s="180"/>
      <c r="BQO9" s="180"/>
      <c r="BQP9" s="180"/>
      <c r="BQQ9" s="180"/>
      <c r="BQR9" s="180"/>
      <c r="BQS9" s="180"/>
      <c r="BQT9" s="180"/>
      <c r="BQU9" s="180"/>
      <c r="BQV9" s="180"/>
      <c r="BQW9" s="180"/>
      <c r="BQX9" s="180"/>
      <c r="BQY9" s="180"/>
      <c r="BQZ9" s="180"/>
      <c r="BRA9" s="180"/>
      <c r="BRB9" s="180"/>
      <c r="BRC9" s="180"/>
      <c r="BRD9" s="180"/>
      <c r="BRE9" s="180"/>
      <c r="BRF9" s="180"/>
      <c r="BRG9" s="180"/>
      <c r="BRH9" s="180"/>
      <c r="BRI9" s="180"/>
      <c r="BRJ9" s="180"/>
      <c r="BRK9" s="180"/>
      <c r="BRL9" s="180"/>
      <c r="BRM9" s="180"/>
      <c r="BRN9" s="180"/>
      <c r="BRO9" s="180"/>
      <c r="BRP9" s="180"/>
      <c r="BRQ9" s="180"/>
      <c r="BRR9" s="180"/>
      <c r="BRS9" s="180"/>
      <c r="BRT9" s="180"/>
      <c r="BRU9" s="180"/>
      <c r="BRV9" s="180"/>
      <c r="BRW9" s="180"/>
      <c r="BRX9" s="180"/>
      <c r="BRY9" s="180"/>
      <c r="BRZ9" s="180"/>
      <c r="BSA9" s="180"/>
      <c r="BSB9" s="180"/>
      <c r="BSC9" s="180"/>
      <c r="BSD9" s="180"/>
      <c r="BSE9" s="180"/>
      <c r="BSF9" s="180"/>
      <c r="BSG9" s="180"/>
      <c r="BSH9" s="180"/>
      <c r="BSI9" s="180"/>
      <c r="BSJ9" s="180"/>
      <c r="BSK9" s="180"/>
      <c r="BSL9" s="180"/>
      <c r="BSM9" s="180"/>
      <c r="BSN9" s="180"/>
      <c r="BSO9" s="180"/>
      <c r="BSP9" s="180"/>
      <c r="BSQ9" s="180"/>
      <c r="BSR9" s="180"/>
      <c r="BSS9" s="180"/>
      <c r="BST9" s="180"/>
      <c r="BSU9" s="180"/>
      <c r="BSV9" s="180"/>
      <c r="BSW9" s="180"/>
      <c r="BSX9" s="180"/>
      <c r="BSY9" s="180"/>
      <c r="BSZ9" s="180"/>
      <c r="BTA9" s="180"/>
      <c r="BTB9" s="180"/>
      <c r="BTC9" s="180"/>
      <c r="BTD9" s="180"/>
      <c r="BTE9" s="180"/>
      <c r="BTF9" s="180"/>
      <c r="BTG9" s="180"/>
      <c r="BTH9" s="180"/>
      <c r="BTI9" s="180"/>
      <c r="BTJ9" s="180"/>
      <c r="BTK9" s="180"/>
      <c r="BTL9" s="180"/>
      <c r="BTM9" s="180"/>
      <c r="BTN9" s="180"/>
      <c r="BTO9" s="180"/>
      <c r="BTP9" s="180"/>
      <c r="BTQ9" s="180"/>
      <c r="BTR9" s="180"/>
      <c r="BTS9" s="180"/>
      <c r="BTT9" s="180"/>
      <c r="BTU9" s="180"/>
      <c r="BTV9" s="180"/>
      <c r="BTW9" s="180"/>
      <c r="BTX9" s="180"/>
      <c r="BTY9" s="180"/>
      <c r="BTZ9" s="180"/>
      <c r="BUA9" s="180"/>
      <c r="BUB9" s="180"/>
      <c r="BUC9" s="180"/>
      <c r="BUD9" s="180"/>
      <c r="BUE9" s="180"/>
      <c r="BUF9" s="180"/>
      <c r="BUG9" s="180"/>
      <c r="BUH9" s="180"/>
      <c r="BUI9" s="180"/>
      <c r="BUJ9" s="180"/>
      <c r="BUK9" s="180"/>
      <c r="BUL9" s="180"/>
      <c r="BUM9" s="180"/>
      <c r="BUN9" s="180"/>
      <c r="BUO9" s="180"/>
      <c r="BUP9" s="180"/>
      <c r="BUQ9" s="180"/>
      <c r="BUR9" s="180"/>
      <c r="BUS9" s="180"/>
      <c r="BUT9" s="180"/>
      <c r="BUU9" s="180"/>
      <c r="BUV9" s="180"/>
      <c r="BUW9" s="180"/>
      <c r="BUX9" s="180"/>
      <c r="BUY9" s="180"/>
      <c r="BUZ9" s="180"/>
      <c r="BVA9" s="180"/>
      <c r="BVB9" s="180"/>
      <c r="BVC9" s="180"/>
      <c r="BVD9" s="180"/>
      <c r="BVE9" s="180"/>
      <c r="BVF9" s="180"/>
      <c r="BVG9" s="180"/>
      <c r="BVH9" s="180"/>
      <c r="BVI9" s="180"/>
      <c r="BVJ9" s="180"/>
      <c r="BVK9" s="180"/>
      <c r="BVL9" s="180"/>
      <c r="BVM9" s="180"/>
      <c r="BVN9" s="180"/>
      <c r="BVO9" s="180"/>
      <c r="BVP9" s="180"/>
      <c r="BVQ9" s="180"/>
      <c r="BVR9" s="180"/>
      <c r="BVS9" s="180"/>
      <c r="BVT9" s="180"/>
      <c r="BVU9" s="180"/>
      <c r="BVV9" s="180"/>
      <c r="BVW9" s="180"/>
      <c r="BVX9" s="180"/>
      <c r="BVY9" s="180"/>
      <c r="BVZ9" s="180"/>
      <c r="BWA9" s="180"/>
      <c r="BWB9" s="180"/>
      <c r="BWC9" s="180"/>
      <c r="BWD9" s="180"/>
      <c r="BWE9" s="180"/>
      <c r="BWF9" s="180"/>
      <c r="BWG9" s="180"/>
      <c r="BWH9" s="180"/>
      <c r="BWI9" s="180"/>
      <c r="BWJ9" s="180"/>
      <c r="BWK9" s="180"/>
      <c r="BWL9" s="180"/>
      <c r="BWM9" s="180"/>
      <c r="BWN9" s="180"/>
      <c r="BWO9" s="180"/>
      <c r="BWP9" s="180"/>
      <c r="BWQ9" s="180"/>
      <c r="BWR9" s="180"/>
      <c r="BWS9" s="180"/>
      <c r="BWT9" s="180"/>
      <c r="BWU9" s="180"/>
      <c r="BWV9" s="180"/>
      <c r="BWW9" s="180"/>
      <c r="BWX9" s="180"/>
      <c r="BWY9" s="180"/>
      <c r="BWZ9" s="180"/>
      <c r="BXA9" s="180"/>
      <c r="BXB9" s="180"/>
      <c r="BXC9" s="180"/>
      <c r="BXD9" s="180"/>
      <c r="BXE9" s="180"/>
      <c r="BXF9" s="180"/>
      <c r="BXG9" s="180"/>
      <c r="BXH9" s="180"/>
      <c r="BXI9" s="180"/>
      <c r="BXJ9" s="180"/>
      <c r="BXK9" s="180"/>
      <c r="BXL9" s="180"/>
      <c r="BXM9" s="180"/>
      <c r="BXN9" s="180"/>
      <c r="BXO9" s="180"/>
      <c r="BXP9" s="180"/>
      <c r="BXQ9" s="180"/>
      <c r="BXR9" s="180"/>
      <c r="BXS9" s="180"/>
      <c r="BXT9" s="180"/>
      <c r="BXU9" s="180"/>
      <c r="BXV9" s="180"/>
      <c r="BXW9" s="180"/>
      <c r="BXX9" s="180"/>
      <c r="BXY9" s="180"/>
      <c r="BXZ9" s="180"/>
      <c r="BYA9" s="180"/>
      <c r="BYB9" s="180"/>
      <c r="BYC9" s="180"/>
    </row>
    <row r="10" spans="1:2005" s="476" customFormat="1" ht="31" thickBot="1">
      <c r="A10" s="1886" t="s">
        <v>374</v>
      </c>
      <c r="B10" s="657" t="s">
        <v>61</v>
      </c>
      <c r="C10" s="355">
        <f>'crop yields'!K20</f>
        <v>146.75845817945094</v>
      </c>
      <c r="D10" s="356">
        <f>'crop yields'!K21</f>
        <v>26.771998964238016</v>
      </c>
      <c r="E10" s="355">
        <f>'crop yields'!K35</f>
        <v>56.756657492119281</v>
      </c>
      <c r="F10" s="356">
        <f>'crop yields'!K36</f>
        <v>23.673350403709371</v>
      </c>
      <c r="G10" s="357">
        <f>'crop yields'!F50</f>
        <v>55.586353324046364</v>
      </c>
      <c r="H10" s="356">
        <f>'crop yields'!F51</f>
        <v>20.321094309866197</v>
      </c>
      <c r="I10" s="355">
        <f>'crop yields'!F65</f>
        <v>26.553938999545423</v>
      </c>
      <c r="J10" s="356">
        <f>'crop yields'!F66</f>
        <v>8.3727767679909313</v>
      </c>
      <c r="K10" s="412"/>
      <c r="L10" s="751"/>
      <c r="M10" s="357">
        <f>'soy table2'!D19</f>
        <v>40.020904755704755</v>
      </c>
      <c r="N10" s="355">
        <f>'soy table2'!D20</f>
        <v>4.2867217342131969</v>
      </c>
      <c r="O10" s="357">
        <f>wheat!F19</f>
        <v>35.508553627161184</v>
      </c>
      <c r="P10" s="355">
        <f>wheat!F20</f>
        <v>4.4373706241312201</v>
      </c>
      <c r="Q10" s="636"/>
      <c r="R10" s="757"/>
      <c r="S10" s="355" t="s">
        <v>746</v>
      </c>
      <c r="T10" s="409"/>
      <c r="U10" s="653"/>
      <c r="V10" s="654"/>
      <c r="W10" s="475" t="s">
        <v>747</v>
      </c>
      <c r="X10" s="475"/>
      <c r="Y10" s="649"/>
      <c r="Z10" s="650"/>
      <c r="AA10" s="475"/>
      <c r="AB10" s="475"/>
      <c r="AC10" s="648"/>
      <c r="AD10" s="182"/>
      <c r="AE10" s="1601"/>
      <c r="AF10" s="475"/>
      <c r="AG10" s="475"/>
      <c r="AH10" s="475"/>
      <c r="AI10" s="475"/>
      <c r="AJ10" s="475"/>
      <c r="AK10" s="475"/>
      <c r="AL10" s="475"/>
      <c r="AM10" s="475"/>
      <c r="AN10" s="475"/>
      <c r="AO10" s="475"/>
      <c r="AP10" s="475"/>
      <c r="AQ10" s="475"/>
      <c r="AR10" s="475"/>
      <c r="AS10" s="475"/>
      <c r="AT10" s="475"/>
      <c r="AU10" s="475"/>
      <c r="AV10" s="475"/>
      <c r="AW10" s="475"/>
      <c r="AX10" s="475"/>
      <c r="AY10" s="475"/>
      <c r="AZ10" s="475"/>
      <c r="BA10" s="475"/>
      <c r="BB10" s="475"/>
      <c r="BC10" s="475"/>
      <c r="BD10" s="475"/>
      <c r="BE10" s="475"/>
      <c r="BF10" s="475"/>
      <c r="BG10" s="475"/>
      <c r="BH10" s="475"/>
      <c r="BI10" s="475"/>
      <c r="BJ10" s="475"/>
      <c r="BK10" s="475"/>
      <c r="BL10" s="475"/>
      <c r="BM10" s="475"/>
      <c r="BN10" s="475"/>
      <c r="BO10" s="475"/>
      <c r="BP10" s="475"/>
      <c r="BQ10" s="475"/>
      <c r="BR10" s="475"/>
      <c r="BS10" s="475"/>
      <c r="BT10" s="475"/>
      <c r="BU10" s="475"/>
      <c r="BV10" s="475"/>
      <c r="BW10" s="475"/>
      <c r="BX10" s="475"/>
      <c r="BY10" s="475"/>
      <c r="BZ10" s="475"/>
      <c r="CA10" s="475"/>
      <c r="CB10" s="475"/>
      <c r="CC10" s="475"/>
      <c r="CD10" s="475"/>
      <c r="CE10" s="475"/>
      <c r="CF10" s="475"/>
      <c r="CG10" s="475"/>
      <c r="CH10" s="475"/>
      <c r="CI10" s="475"/>
      <c r="CJ10" s="475"/>
      <c r="CK10" s="475"/>
      <c r="CL10" s="475"/>
      <c r="CM10" s="475"/>
      <c r="CN10" s="475"/>
      <c r="CO10" s="475"/>
      <c r="CP10" s="475"/>
      <c r="CQ10" s="475"/>
      <c r="CR10" s="475"/>
      <c r="CS10" s="475"/>
      <c r="CT10" s="475"/>
      <c r="CU10" s="475"/>
      <c r="CV10" s="475"/>
      <c r="CW10" s="475"/>
      <c r="CX10" s="475"/>
      <c r="CY10" s="475"/>
      <c r="CZ10" s="475"/>
      <c r="DA10" s="475"/>
      <c r="DB10" s="475"/>
      <c r="DC10" s="475"/>
      <c r="DD10" s="475"/>
      <c r="DE10" s="475"/>
      <c r="DF10" s="475"/>
      <c r="DG10" s="475"/>
      <c r="DH10" s="475"/>
      <c r="DI10" s="475"/>
      <c r="DJ10" s="475"/>
      <c r="DK10" s="475"/>
      <c r="DL10" s="475"/>
      <c r="DM10" s="475"/>
      <c r="DN10" s="475"/>
      <c r="DO10" s="475"/>
      <c r="DP10" s="475"/>
      <c r="DQ10" s="475"/>
      <c r="DR10" s="475"/>
      <c r="DS10" s="475"/>
      <c r="DT10" s="475"/>
      <c r="DU10" s="475"/>
      <c r="DV10" s="475"/>
      <c r="DW10" s="475"/>
      <c r="DX10" s="475"/>
      <c r="DY10" s="475"/>
      <c r="DZ10" s="475"/>
      <c r="EA10" s="475"/>
      <c r="EB10" s="475"/>
      <c r="EC10" s="475"/>
      <c r="ED10" s="475"/>
      <c r="EE10" s="475"/>
      <c r="EF10" s="475"/>
      <c r="EG10" s="475"/>
      <c r="EH10" s="475"/>
      <c r="EI10" s="475"/>
      <c r="EJ10" s="475"/>
      <c r="EK10" s="475"/>
      <c r="EL10" s="475"/>
      <c r="EM10" s="475"/>
      <c r="EN10" s="475"/>
      <c r="EO10" s="475"/>
      <c r="EP10" s="475"/>
      <c r="EQ10" s="475"/>
      <c r="ER10" s="475"/>
      <c r="ES10" s="475"/>
      <c r="ET10" s="475"/>
      <c r="EU10" s="475"/>
      <c r="EV10" s="475"/>
      <c r="EW10" s="475"/>
      <c r="EX10" s="475"/>
      <c r="EY10" s="475"/>
      <c r="EZ10" s="475"/>
      <c r="FA10" s="475"/>
      <c r="FB10" s="475"/>
      <c r="FC10" s="475"/>
      <c r="FD10" s="475"/>
      <c r="FE10" s="475"/>
      <c r="FF10" s="475"/>
      <c r="FG10" s="475"/>
      <c r="FH10" s="475"/>
      <c r="FI10" s="475"/>
      <c r="FJ10" s="475"/>
      <c r="FK10" s="475"/>
      <c r="FL10" s="475"/>
      <c r="FM10" s="475"/>
      <c r="FN10" s="475"/>
      <c r="FO10" s="475"/>
      <c r="FP10" s="475"/>
      <c r="FQ10" s="475"/>
      <c r="FR10" s="475"/>
      <c r="FS10" s="475"/>
      <c r="FT10" s="475"/>
      <c r="FU10" s="475"/>
      <c r="FV10" s="475"/>
      <c r="FW10" s="475"/>
      <c r="FX10" s="475"/>
      <c r="FY10" s="475"/>
      <c r="FZ10" s="475"/>
      <c r="GA10" s="475"/>
      <c r="GB10" s="475"/>
      <c r="GC10" s="475"/>
      <c r="GD10" s="475"/>
      <c r="GE10" s="475"/>
      <c r="GF10" s="475"/>
      <c r="GG10" s="475"/>
      <c r="GH10" s="475"/>
      <c r="GI10" s="475"/>
      <c r="GJ10" s="475"/>
      <c r="GK10" s="475"/>
      <c r="GL10" s="475"/>
      <c r="GM10" s="475"/>
      <c r="GN10" s="475"/>
      <c r="GO10" s="475"/>
      <c r="GP10" s="475"/>
      <c r="GQ10" s="475"/>
      <c r="GR10" s="475"/>
      <c r="GS10" s="475"/>
      <c r="GT10" s="475"/>
      <c r="GU10" s="475"/>
      <c r="GV10" s="475"/>
      <c r="GW10" s="475"/>
      <c r="GX10" s="475"/>
      <c r="GY10" s="475"/>
      <c r="GZ10" s="475"/>
      <c r="HA10" s="475"/>
      <c r="HB10" s="475"/>
      <c r="HC10" s="475"/>
      <c r="HD10" s="475"/>
      <c r="HE10" s="475"/>
      <c r="HF10" s="475"/>
      <c r="HG10" s="475"/>
      <c r="HH10" s="475"/>
      <c r="HI10" s="475"/>
      <c r="HJ10" s="475"/>
      <c r="HK10" s="475"/>
      <c r="HL10" s="475"/>
      <c r="HM10" s="475"/>
      <c r="HN10" s="475"/>
      <c r="HO10" s="475"/>
      <c r="HP10" s="475"/>
      <c r="HQ10" s="475"/>
      <c r="HR10" s="475"/>
      <c r="HS10" s="475"/>
      <c r="HT10" s="475"/>
      <c r="HU10" s="475"/>
      <c r="HV10" s="475"/>
      <c r="HW10" s="475"/>
      <c r="HX10" s="475"/>
      <c r="HY10" s="475"/>
      <c r="HZ10" s="475"/>
      <c r="IA10" s="475"/>
      <c r="IB10" s="475"/>
      <c r="IC10" s="475"/>
      <c r="ID10" s="475"/>
      <c r="IE10" s="475"/>
      <c r="IF10" s="475"/>
      <c r="IG10" s="475"/>
      <c r="IH10" s="475"/>
      <c r="II10" s="475"/>
      <c r="IJ10" s="475"/>
      <c r="IK10" s="475"/>
      <c r="IL10" s="475"/>
      <c r="IM10" s="475"/>
      <c r="IN10" s="475"/>
      <c r="IO10" s="475"/>
      <c r="IP10" s="475"/>
      <c r="IQ10" s="475"/>
      <c r="IR10" s="475"/>
      <c r="IS10" s="475"/>
      <c r="IT10" s="475"/>
      <c r="IU10" s="475"/>
      <c r="IV10" s="475"/>
      <c r="IW10" s="475"/>
      <c r="IX10" s="475"/>
      <c r="IY10" s="475"/>
      <c r="IZ10" s="475"/>
      <c r="JA10" s="475"/>
      <c r="JB10" s="475"/>
      <c r="JC10" s="475"/>
      <c r="JD10" s="475"/>
      <c r="JE10" s="475"/>
      <c r="JF10" s="475"/>
      <c r="JG10" s="475"/>
      <c r="JH10" s="475"/>
      <c r="JI10" s="475"/>
      <c r="JJ10" s="475"/>
      <c r="JK10" s="475"/>
      <c r="JL10" s="475"/>
      <c r="JM10" s="475"/>
      <c r="JN10" s="475"/>
      <c r="JO10" s="475"/>
      <c r="JP10" s="475"/>
      <c r="JQ10" s="475"/>
      <c r="JR10" s="475"/>
      <c r="JS10" s="475"/>
      <c r="JT10" s="475"/>
      <c r="JU10" s="475"/>
      <c r="JV10" s="475"/>
      <c r="JW10" s="475"/>
      <c r="JX10" s="475"/>
      <c r="JY10" s="475"/>
      <c r="JZ10" s="475"/>
      <c r="KA10" s="475"/>
      <c r="KB10" s="475"/>
      <c r="KC10" s="475"/>
      <c r="KD10" s="475"/>
      <c r="KE10" s="475"/>
      <c r="KF10" s="475"/>
      <c r="KG10" s="475"/>
      <c r="KH10" s="475"/>
      <c r="KI10" s="475"/>
      <c r="KJ10" s="475"/>
      <c r="KK10" s="475"/>
      <c r="KL10" s="475"/>
      <c r="KM10" s="475"/>
      <c r="KN10" s="475"/>
      <c r="KO10" s="475"/>
      <c r="KP10" s="475"/>
      <c r="KQ10" s="475"/>
      <c r="KR10" s="475"/>
      <c r="KS10" s="475"/>
      <c r="KT10" s="475"/>
      <c r="KU10" s="475"/>
      <c r="KV10" s="475"/>
      <c r="KW10" s="475"/>
      <c r="KX10" s="475"/>
      <c r="KY10" s="475"/>
      <c r="KZ10" s="475"/>
      <c r="LA10" s="475"/>
      <c r="LB10" s="475"/>
      <c r="LC10" s="475"/>
      <c r="LD10" s="475"/>
      <c r="LE10" s="475"/>
      <c r="LF10" s="475"/>
      <c r="LG10" s="475"/>
      <c r="LH10" s="475"/>
      <c r="LI10" s="475"/>
      <c r="LJ10" s="475"/>
      <c r="LK10" s="475"/>
      <c r="LL10" s="475"/>
      <c r="LM10" s="475"/>
      <c r="LN10" s="475"/>
      <c r="LO10" s="475"/>
      <c r="LP10" s="475"/>
      <c r="LQ10" s="475"/>
      <c r="LR10" s="475"/>
      <c r="LS10" s="475"/>
      <c r="LT10" s="475"/>
      <c r="LU10" s="475"/>
      <c r="LV10" s="475"/>
      <c r="LW10" s="475"/>
      <c r="LX10" s="475"/>
      <c r="LY10" s="475"/>
      <c r="LZ10" s="475"/>
      <c r="MA10" s="475"/>
      <c r="MB10" s="475"/>
      <c r="MC10" s="475"/>
      <c r="MD10" s="475"/>
      <c r="ME10" s="475"/>
      <c r="MF10" s="475"/>
      <c r="MG10" s="475"/>
      <c r="MH10" s="475"/>
      <c r="MI10" s="475"/>
      <c r="MJ10" s="475"/>
      <c r="MK10" s="475"/>
      <c r="ML10" s="475"/>
      <c r="MM10" s="475"/>
      <c r="MN10" s="475"/>
      <c r="MO10" s="475"/>
      <c r="MP10" s="475"/>
      <c r="MQ10" s="475"/>
      <c r="MR10" s="475"/>
      <c r="MS10" s="475"/>
      <c r="MT10" s="475"/>
      <c r="MU10" s="475"/>
      <c r="MV10" s="475"/>
      <c r="MW10" s="475"/>
      <c r="MX10" s="475"/>
      <c r="MY10" s="475"/>
      <c r="MZ10" s="475"/>
      <c r="NA10" s="475"/>
      <c r="NB10" s="475"/>
      <c r="NC10" s="475"/>
      <c r="ND10" s="475"/>
      <c r="NE10" s="475"/>
      <c r="NF10" s="475"/>
      <c r="NG10" s="475"/>
      <c r="NH10" s="475"/>
      <c r="NI10" s="475"/>
      <c r="NJ10" s="475"/>
      <c r="NK10" s="475"/>
      <c r="NL10" s="475"/>
      <c r="NM10" s="475"/>
      <c r="NN10" s="475"/>
      <c r="NO10" s="475"/>
      <c r="NP10" s="475"/>
      <c r="NQ10" s="475"/>
      <c r="NR10" s="475"/>
      <c r="NS10" s="475"/>
      <c r="NT10" s="475"/>
      <c r="NU10" s="475"/>
      <c r="NV10" s="475"/>
      <c r="NW10" s="475"/>
      <c r="NX10" s="475"/>
      <c r="NY10" s="475"/>
      <c r="NZ10" s="475"/>
      <c r="OA10" s="475"/>
      <c r="OB10" s="475"/>
      <c r="OC10" s="475"/>
      <c r="OD10" s="475"/>
      <c r="OE10" s="475"/>
      <c r="OF10" s="475"/>
      <c r="OG10" s="475"/>
      <c r="OH10" s="475"/>
      <c r="OI10" s="475"/>
      <c r="OJ10" s="475"/>
      <c r="OK10" s="475"/>
      <c r="OL10" s="475"/>
      <c r="OM10" s="475"/>
      <c r="ON10" s="475"/>
      <c r="OO10" s="475"/>
      <c r="OP10" s="475"/>
      <c r="OQ10" s="475"/>
      <c r="OR10" s="475"/>
      <c r="OS10" s="475"/>
      <c r="OT10" s="475"/>
      <c r="OU10" s="475"/>
      <c r="OV10" s="475"/>
      <c r="OW10" s="475"/>
      <c r="OX10" s="475"/>
      <c r="OY10" s="475"/>
      <c r="OZ10" s="475"/>
      <c r="PA10" s="475"/>
      <c r="PB10" s="475"/>
      <c r="PC10" s="475"/>
      <c r="PD10" s="475"/>
      <c r="PE10" s="475"/>
      <c r="PF10" s="475"/>
      <c r="PG10" s="475"/>
      <c r="PH10" s="475"/>
      <c r="PI10" s="475"/>
      <c r="PJ10" s="475"/>
      <c r="PK10" s="475"/>
      <c r="PL10" s="475"/>
      <c r="PM10" s="475"/>
      <c r="PN10" s="475"/>
      <c r="PO10" s="475"/>
      <c r="PP10" s="475"/>
      <c r="PQ10" s="475"/>
      <c r="PR10" s="475"/>
      <c r="PS10" s="475"/>
      <c r="PT10" s="475"/>
      <c r="PU10" s="475"/>
      <c r="PV10" s="475"/>
      <c r="PW10" s="475"/>
      <c r="PX10" s="475"/>
      <c r="PY10" s="475"/>
      <c r="PZ10" s="475"/>
      <c r="QA10" s="475"/>
      <c r="QB10" s="475"/>
      <c r="QC10" s="475"/>
      <c r="QD10" s="475"/>
      <c r="QE10" s="475"/>
      <c r="QF10" s="475"/>
      <c r="QG10" s="475"/>
      <c r="QH10" s="475"/>
      <c r="QI10" s="475"/>
      <c r="QJ10" s="475"/>
      <c r="QK10" s="475"/>
      <c r="QL10" s="475"/>
      <c r="QM10" s="475"/>
      <c r="QN10" s="475"/>
      <c r="QO10" s="475"/>
      <c r="QP10" s="475"/>
      <c r="QQ10" s="475"/>
      <c r="QR10" s="475"/>
      <c r="QS10" s="475"/>
      <c r="QT10" s="475"/>
      <c r="QU10" s="475"/>
      <c r="QV10" s="475"/>
      <c r="QW10" s="475"/>
      <c r="QX10" s="475"/>
      <c r="QY10" s="475"/>
      <c r="QZ10" s="475"/>
      <c r="RA10" s="475"/>
      <c r="RB10" s="475"/>
      <c r="RC10" s="475"/>
      <c r="RD10" s="475"/>
      <c r="RE10" s="475"/>
      <c r="RF10" s="475"/>
      <c r="RG10" s="475"/>
      <c r="RH10" s="475"/>
      <c r="RI10" s="475"/>
      <c r="RJ10" s="475"/>
      <c r="RK10" s="475"/>
      <c r="RL10" s="475"/>
      <c r="RM10" s="475"/>
      <c r="RN10" s="475"/>
      <c r="RO10" s="475"/>
      <c r="RP10" s="475"/>
      <c r="RQ10" s="475"/>
      <c r="RR10" s="475"/>
      <c r="RS10" s="475"/>
      <c r="RT10" s="475"/>
      <c r="RU10" s="475"/>
      <c r="RV10" s="475"/>
      <c r="RW10" s="475"/>
      <c r="RX10" s="475"/>
      <c r="RY10" s="475"/>
      <c r="RZ10" s="475"/>
      <c r="SA10" s="475"/>
      <c r="SB10" s="475"/>
      <c r="SC10" s="475"/>
      <c r="SD10" s="475"/>
      <c r="SE10" s="475"/>
      <c r="SF10" s="475"/>
      <c r="SG10" s="475"/>
      <c r="SH10" s="475"/>
      <c r="SI10" s="475"/>
      <c r="SJ10" s="475"/>
      <c r="SK10" s="475"/>
      <c r="SL10" s="475"/>
      <c r="SM10" s="475"/>
      <c r="SN10" s="475"/>
      <c r="SO10" s="475"/>
      <c r="SP10" s="475"/>
      <c r="SQ10" s="475"/>
      <c r="SR10" s="475"/>
      <c r="SS10" s="475"/>
      <c r="ST10" s="475"/>
      <c r="SU10" s="475"/>
      <c r="SV10" s="475"/>
      <c r="SW10" s="475"/>
      <c r="SX10" s="475"/>
      <c r="SY10" s="475"/>
      <c r="SZ10" s="475"/>
      <c r="TA10" s="475"/>
      <c r="TB10" s="475"/>
      <c r="TC10" s="475"/>
      <c r="TD10" s="475"/>
      <c r="TE10" s="475"/>
      <c r="TF10" s="475"/>
      <c r="TG10" s="475"/>
      <c r="TH10" s="475"/>
      <c r="TI10" s="475"/>
      <c r="TJ10" s="475"/>
      <c r="TK10" s="475"/>
      <c r="TL10" s="475"/>
      <c r="TM10" s="475"/>
      <c r="TN10" s="475"/>
      <c r="TO10" s="475"/>
      <c r="TP10" s="475"/>
      <c r="TQ10" s="475"/>
      <c r="TR10" s="475"/>
      <c r="TS10" s="475"/>
      <c r="TT10" s="475"/>
      <c r="TU10" s="475"/>
      <c r="TV10" s="475"/>
      <c r="TW10" s="475"/>
      <c r="TX10" s="475"/>
      <c r="TY10" s="475"/>
      <c r="TZ10" s="475"/>
      <c r="UA10" s="475"/>
      <c r="UB10" s="475"/>
      <c r="UC10" s="475"/>
      <c r="UD10" s="475"/>
      <c r="UE10" s="475"/>
      <c r="UF10" s="475"/>
      <c r="UG10" s="475"/>
      <c r="UH10" s="475"/>
      <c r="UI10" s="475"/>
      <c r="UJ10" s="475"/>
      <c r="UK10" s="475"/>
      <c r="UL10" s="475"/>
      <c r="UM10" s="475"/>
      <c r="UN10" s="475"/>
      <c r="UO10" s="475"/>
      <c r="UP10" s="475"/>
      <c r="UQ10" s="475"/>
      <c r="UR10" s="475"/>
      <c r="US10" s="475"/>
      <c r="UT10" s="475"/>
      <c r="UU10" s="475"/>
      <c r="UV10" s="475"/>
      <c r="UW10" s="475"/>
      <c r="UX10" s="475"/>
      <c r="UY10" s="475"/>
      <c r="UZ10" s="475"/>
      <c r="VA10" s="475"/>
      <c r="VB10" s="475"/>
      <c r="VC10" s="475"/>
      <c r="VD10" s="475"/>
      <c r="VE10" s="475"/>
      <c r="VF10" s="475"/>
      <c r="VG10" s="475"/>
      <c r="VH10" s="475"/>
      <c r="VI10" s="475"/>
      <c r="VJ10" s="475"/>
      <c r="VK10" s="475"/>
      <c r="VL10" s="475"/>
      <c r="VM10" s="475"/>
      <c r="VN10" s="475"/>
      <c r="VO10" s="475"/>
      <c r="VP10" s="475"/>
      <c r="VQ10" s="475"/>
      <c r="VR10" s="475"/>
      <c r="VS10" s="475"/>
      <c r="VT10" s="475"/>
      <c r="VU10" s="475"/>
      <c r="VV10" s="475"/>
      <c r="VW10" s="475"/>
      <c r="VX10" s="475"/>
      <c r="VY10" s="475"/>
      <c r="VZ10" s="475"/>
      <c r="WA10" s="475"/>
      <c r="WB10" s="475"/>
      <c r="WC10" s="475"/>
      <c r="WD10" s="475"/>
      <c r="WE10" s="475"/>
      <c r="WF10" s="475"/>
      <c r="WG10" s="475"/>
      <c r="WH10" s="475"/>
      <c r="WI10" s="475"/>
      <c r="WJ10" s="475"/>
      <c r="WK10" s="475"/>
      <c r="WL10" s="475"/>
      <c r="WM10" s="475"/>
      <c r="WN10" s="475"/>
      <c r="WO10" s="475"/>
      <c r="WP10" s="475"/>
      <c r="WQ10" s="475"/>
      <c r="WR10" s="475"/>
      <c r="WS10" s="475"/>
      <c r="WT10" s="475"/>
      <c r="WU10" s="475"/>
      <c r="WV10" s="475"/>
      <c r="WW10" s="475"/>
      <c r="WX10" s="475"/>
      <c r="WY10" s="475"/>
      <c r="WZ10" s="475"/>
      <c r="XA10" s="475"/>
      <c r="XB10" s="475"/>
      <c r="XC10" s="475"/>
      <c r="XD10" s="475"/>
      <c r="XE10" s="475"/>
      <c r="XF10" s="475"/>
      <c r="XG10" s="475"/>
      <c r="XH10" s="475"/>
      <c r="XI10" s="475"/>
      <c r="XJ10" s="475"/>
      <c r="XK10" s="475"/>
      <c r="XL10" s="475"/>
      <c r="XM10" s="475"/>
      <c r="XN10" s="475"/>
      <c r="XO10" s="475"/>
      <c r="XP10" s="475"/>
      <c r="XQ10" s="475"/>
      <c r="XR10" s="475"/>
      <c r="XS10" s="475"/>
      <c r="XT10" s="475"/>
      <c r="XU10" s="475"/>
      <c r="XV10" s="475"/>
      <c r="XW10" s="475"/>
      <c r="XX10" s="475"/>
      <c r="XY10" s="475"/>
      <c r="XZ10" s="475"/>
      <c r="YA10" s="475"/>
      <c r="YB10" s="475"/>
      <c r="YC10" s="475"/>
      <c r="YD10" s="475"/>
      <c r="YE10" s="475"/>
      <c r="YF10" s="475"/>
      <c r="YG10" s="475"/>
      <c r="YH10" s="475"/>
      <c r="YI10" s="475"/>
      <c r="YJ10" s="475"/>
      <c r="YK10" s="475"/>
      <c r="YL10" s="475"/>
      <c r="YM10" s="475"/>
      <c r="YN10" s="475"/>
      <c r="YO10" s="475"/>
      <c r="YP10" s="475"/>
      <c r="YQ10" s="475"/>
      <c r="YR10" s="475"/>
      <c r="YS10" s="475"/>
      <c r="YT10" s="475"/>
      <c r="YU10" s="475"/>
      <c r="YV10" s="475"/>
      <c r="YW10" s="475"/>
      <c r="YX10" s="475"/>
      <c r="YY10" s="475"/>
      <c r="YZ10" s="475"/>
      <c r="ZA10" s="475"/>
      <c r="ZB10" s="475"/>
      <c r="ZC10" s="475"/>
      <c r="ZD10" s="475"/>
      <c r="ZE10" s="475"/>
      <c r="ZF10" s="475"/>
      <c r="ZG10" s="475"/>
      <c r="ZH10" s="475"/>
      <c r="ZI10" s="475"/>
      <c r="ZJ10" s="475"/>
      <c r="ZK10" s="475"/>
      <c r="ZL10" s="475"/>
      <c r="ZM10" s="475"/>
      <c r="ZN10" s="475"/>
      <c r="ZO10" s="475"/>
      <c r="ZP10" s="475"/>
      <c r="ZQ10" s="475"/>
      <c r="ZR10" s="475"/>
      <c r="ZS10" s="475"/>
      <c r="ZT10" s="475"/>
      <c r="ZU10" s="475"/>
      <c r="ZV10" s="475"/>
      <c r="ZW10" s="475"/>
      <c r="ZX10" s="475"/>
      <c r="ZY10" s="475"/>
      <c r="ZZ10" s="475"/>
      <c r="AAA10" s="475"/>
      <c r="AAB10" s="475"/>
      <c r="AAC10" s="475"/>
      <c r="AAD10" s="475"/>
      <c r="AAE10" s="475"/>
      <c r="AAF10" s="475"/>
      <c r="AAG10" s="475"/>
      <c r="AAH10" s="475"/>
      <c r="AAI10" s="475"/>
      <c r="AAJ10" s="475"/>
      <c r="AAK10" s="475"/>
      <c r="AAL10" s="475"/>
      <c r="AAM10" s="475"/>
      <c r="AAN10" s="475"/>
      <c r="AAO10" s="475"/>
      <c r="AAP10" s="475"/>
      <c r="AAQ10" s="475"/>
      <c r="AAR10" s="475"/>
      <c r="AAS10" s="475"/>
      <c r="AAT10" s="475"/>
      <c r="AAU10" s="475"/>
      <c r="AAV10" s="475"/>
      <c r="AAW10" s="475"/>
      <c r="AAX10" s="475"/>
      <c r="AAY10" s="475"/>
      <c r="AAZ10" s="475"/>
      <c r="ABA10" s="475"/>
      <c r="ABB10" s="475"/>
      <c r="ABC10" s="475"/>
      <c r="ABD10" s="475"/>
      <c r="ABE10" s="475"/>
      <c r="ABF10" s="475"/>
      <c r="ABG10" s="475"/>
      <c r="ABH10" s="475"/>
      <c r="ABI10" s="475"/>
      <c r="ABJ10" s="475"/>
      <c r="ABK10" s="475"/>
      <c r="ABL10" s="475"/>
      <c r="ABM10" s="475"/>
      <c r="ABN10" s="475"/>
      <c r="ABO10" s="475"/>
      <c r="ABP10" s="475"/>
      <c r="ABQ10" s="475"/>
      <c r="ABR10" s="475"/>
      <c r="ABS10" s="475"/>
      <c r="ABT10" s="475"/>
      <c r="ABU10" s="475"/>
      <c r="ABV10" s="475"/>
      <c r="ABW10" s="475"/>
      <c r="ABX10" s="475"/>
      <c r="ABY10" s="475"/>
      <c r="ABZ10" s="475"/>
      <c r="ACA10" s="475"/>
      <c r="ACB10" s="475"/>
      <c r="ACC10" s="475"/>
      <c r="ACD10" s="475"/>
      <c r="ACE10" s="475"/>
      <c r="ACF10" s="475"/>
      <c r="ACG10" s="475"/>
      <c r="ACH10" s="475"/>
      <c r="ACI10" s="475"/>
      <c r="ACJ10" s="475"/>
      <c r="ACK10" s="475"/>
      <c r="ACL10" s="475"/>
      <c r="ACM10" s="475"/>
      <c r="ACN10" s="475"/>
      <c r="ACO10" s="475"/>
      <c r="ACP10" s="475"/>
      <c r="ACQ10" s="475"/>
      <c r="ACR10" s="475"/>
      <c r="ACS10" s="475"/>
      <c r="ACT10" s="475"/>
      <c r="ACU10" s="475"/>
      <c r="ACV10" s="475"/>
      <c r="ACW10" s="475"/>
      <c r="ACX10" s="475"/>
      <c r="ACY10" s="475"/>
      <c r="ACZ10" s="475"/>
      <c r="ADA10" s="475"/>
      <c r="ADB10" s="475"/>
      <c r="ADC10" s="475"/>
      <c r="ADD10" s="475"/>
      <c r="ADE10" s="475"/>
      <c r="ADF10" s="475"/>
      <c r="ADG10" s="475"/>
      <c r="ADH10" s="475"/>
      <c r="ADI10" s="475"/>
      <c r="ADJ10" s="475"/>
      <c r="ADK10" s="475"/>
      <c r="ADL10" s="475"/>
      <c r="ADM10" s="475"/>
      <c r="ADN10" s="475"/>
      <c r="ADO10" s="475"/>
      <c r="ADP10" s="475"/>
      <c r="ADQ10" s="475"/>
      <c r="ADR10" s="475"/>
      <c r="ADS10" s="475"/>
      <c r="ADT10" s="475"/>
      <c r="ADU10" s="475"/>
      <c r="ADV10" s="475"/>
      <c r="ADW10" s="475"/>
      <c r="ADX10" s="475"/>
      <c r="ADY10" s="475"/>
      <c r="ADZ10" s="475"/>
      <c r="AEA10" s="475"/>
      <c r="AEB10" s="475"/>
      <c r="AEC10" s="475"/>
      <c r="AED10" s="475"/>
      <c r="AEE10" s="475"/>
      <c r="AEF10" s="475"/>
      <c r="AEG10" s="475"/>
      <c r="AEH10" s="475"/>
      <c r="AEI10" s="475"/>
      <c r="AEJ10" s="475"/>
      <c r="AEK10" s="475"/>
      <c r="AEL10" s="475"/>
      <c r="AEM10" s="475"/>
      <c r="AEN10" s="475"/>
      <c r="AEO10" s="475"/>
      <c r="AEP10" s="475"/>
      <c r="AEQ10" s="475"/>
      <c r="AER10" s="475"/>
      <c r="AES10" s="475"/>
      <c r="AET10" s="475"/>
      <c r="AEU10" s="475"/>
      <c r="AEV10" s="475"/>
      <c r="AEW10" s="475"/>
      <c r="AEX10" s="475"/>
      <c r="AEY10" s="475"/>
      <c r="AEZ10" s="475"/>
      <c r="AFA10" s="475"/>
      <c r="AFB10" s="475"/>
      <c r="AFC10" s="475"/>
      <c r="AFD10" s="475"/>
      <c r="AFE10" s="475"/>
      <c r="AFF10" s="475"/>
      <c r="AFG10" s="475"/>
      <c r="AFH10" s="475"/>
      <c r="AFI10" s="475"/>
      <c r="AFJ10" s="475"/>
      <c r="AFK10" s="475"/>
      <c r="AFL10" s="475"/>
      <c r="AFM10" s="475"/>
      <c r="AFN10" s="475"/>
      <c r="AFO10" s="475"/>
      <c r="AFP10" s="475"/>
      <c r="AFQ10" s="475"/>
      <c r="AFR10" s="475"/>
      <c r="AFS10" s="475"/>
      <c r="AFT10" s="475"/>
      <c r="AFU10" s="475"/>
      <c r="AFV10" s="475"/>
      <c r="AFW10" s="475"/>
      <c r="AFX10" s="475"/>
      <c r="AFY10" s="475"/>
      <c r="AFZ10" s="475"/>
      <c r="AGA10" s="475"/>
      <c r="AGB10" s="475"/>
      <c r="AGC10" s="475"/>
      <c r="AGD10" s="475"/>
      <c r="AGE10" s="475"/>
      <c r="AGF10" s="475"/>
      <c r="AGG10" s="475"/>
      <c r="AGH10" s="475"/>
      <c r="AGI10" s="475"/>
      <c r="AGJ10" s="475"/>
      <c r="AGK10" s="475"/>
      <c r="AGL10" s="475"/>
      <c r="AGM10" s="475"/>
      <c r="AGN10" s="475"/>
      <c r="AGO10" s="475"/>
      <c r="AGP10" s="475"/>
      <c r="AGQ10" s="475"/>
      <c r="AGR10" s="475"/>
      <c r="AGS10" s="475"/>
      <c r="AGT10" s="475"/>
      <c r="AGU10" s="475"/>
      <c r="AGV10" s="475"/>
      <c r="AGW10" s="475"/>
      <c r="AGX10" s="475"/>
      <c r="AGY10" s="475"/>
      <c r="AGZ10" s="475"/>
      <c r="AHA10" s="475"/>
      <c r="AHB10" s="475"/>
      <c r="AHC10" s="475"/>
      <c r="AHD10" s="475"/>
      <c r="AHE10" s="475"/>
      <c r="AHF10" s="475"/>
      <c r="AHG10" s="475"/>
      <c r="AHH10" s="475"/>
      <c r="AHI10" s="475"/>
      <c r="AHJ10" s="475"/>
      <c r="AHK10" s="475"/>
      <c r="AHL10" s="475"/>
      <c r="AHM10" s="475"/>
      <c r="AHN10" s="475"/>
      <c r="AHO10" s="475"/>
      <c r="AHP10" s="475"/>
      <c r="AHQ10" s="475"/>
      <c r="AHR10" s="475"/>
      <c r="AHS10" s="475"/>
      <c r="AHT10" s="475"/>
      <c r="AHU10" s="475"/>
      <c r="AHV10" s="475"/>
      <c r="AHW10" s="475"/>
      <c r="AHX10" s="475"/>
      <c r="AHY10" s="475"/>
      <c r="AHZ10" s="475"/>
      <c r="AIA10" s="475"/>
      <c r="AIB10" s="475"/>
      <c r="AIC10" s="475"/>
      <c r="AID10" s="475"/>
      <c r="AIE10" s="475"/>
      <c r="AIF10" s="475"/>
      <c r="AIG10" s="475"/>
      <c r="AIH10" s="475"/>
      <c r="AII10" s="475"/>
      <c r="AIJ10" s="475"/>
      <c r="AIK10" s="475"/>
      <c r="AIL10" s="475"/>
      <c r="AIM10" s="475"/>
      <c r="AIN10" s="475"/>
      <c r="AIO10" s="475"/>
      <c r="AIP10" s="475"/>
      <c r="AIQ10" s="475"/>
      <c r="AIR10" s="475"/>
      <c r="AIS10" s="475"/>
      <c r="AIT10" s="475"/>
      <c r="AIU10" s="475"/>
      <c r="AIV10" s="475"/>
      <c r="AIW10" s="475"/>
      <c r="AIX10" s="475"/>
      <c r="AIY10" s="475"/>
      <c r="AIZ10" s="475"/>
      <c r="AJA10" s="475"/>
      <c r="AJB10" s="475"/>
      <c r="AJC10" s="475"/>
      <c r="AJD10" s="475"/>
      <c r="AJE10" s="475"/>
      <c r="AJF10" s="475"/>
      <c r="AJG10" s="475"/>
      <c r="AJH10" s="475"/>
      <c r="AJI10" s="475"/>
      <c r="AJJ10" s="475"/>
      <c r="AJK10" s="475"/>
      <c r="AJL10" s="475"/>
      <c r="AJM10" s="475"/>
      <c r="AJN10" s="475"/>
      <c r="AJO10" s="475"/>
      <c r="AJP10" s="475"/>
      <c r="AJQ10" s="475"/>
      <c r="AJR10" s="475"/>
      <c r="AJS10" s="475"/>
      <c r="AJT10" s="475"/>
      <c r="AJU10" s="475"/>
      <c r="AJV10" s="475"/>
      <c r="AJW10" s="475"/>
      <c r="AJX10" s="475"/>
      <c r="AJY10" s="475"/>
      <c r="AJZ10" s="475"/>
      <c r="AKA10" s="475"/>
      <c r="AKB10" s="475"/>
      <c r="AKC10" s="475"/>
      <c r="AKD10" s="475"/>
      <c r="AKE10" s="475"/>
      <c r="AKF10" s="475"/>
      <c r="AKG10" s="475"/>
      <c r="AKH10" s="475"/>
      <c r="AKI10" s="475"/>
      <c r="AKJ10" s="475"/>
      <c r="AKK10" s="475"/>
      <c r="AKL10" s="475"/>
      <c r="AKM10" s="475"/>
      <c r="AKN10" s="475"/>
      <c r="AKO10" s="475"/>
      <c r="AKP10" s="475"/>
      <c r="AKQ10" s="475"/>
      <c r="AKR10" s="475"/>
      <c r="AKS10" s="475"/>
      <c r="AKT10" s="475"/>
      <c r="AKU10" s="475"/>
      <c r="AKV10" s="475"/>
      <c r="AKW10" s="475"/>
      <c r="AKX10" s="475"/>
      <c r="AKY10" s="475"/>
      <c r="AKZ10" s="475"/>
      <c r="ALA10" s="475"/>
      <c r="ALB10" s="475"/>
      <c r="ALC10" s="475"/>
      <c r="ALD10" s="475"/>
      <c r="ALE10" s="475"/>
      <c r="ALF10" s="475"/>
      <c r="ALG10" s="475"/>
      <c r="ALH10" s="475"/>
      <c r="ALI10" s="475"/>
      <c r="ALJ10" s="475"/>
      <c r="ALK10" s="475"/>
      <c r="ALL10" s="475"/>
      <c r="ALM10" s="475"/>
      <c r="ALN10" s="475"/>
      <c r="ALO10" s="475"/>
      <c r="ALP10" s="475"/>
      <c r="ALQ10" s="475"/>
      <c r="ALR10" s="475"/>
      <c r="ALS10" s="475"/>
      <c r="ALT10" s="475"/>
      <c r="ALU10" s="475"/>
      <c r="ALV10" s="475"/>
      <c r="ALW10" s="475"/>
      <c r="ALX10" s="475"/>
      <c r="ALY10" s="475"/>
      <c r="ALZ10" s="475"/>
      <c r="AMA10" s="475"/>
      <c r="AMB10" s="475"/>
      <c r="AMC10" s="475"/>
      <c r="AMD10" s="475"/>
      <c r="AME10" s="475"/>
      <c r="AMF10" s="475"/>
      <c r="AMG10" s="475"/>
      <c r="AMH10" s="475"/>
      <c r="AMI10" s="475"/>
      <c r="AMJ10" s="475"/>
      <c r="AMK10" s="475"/>
      <c r="AML10" s="475"/>
      <c r="AMM10" s="475"/>
      <c r="AMN10" s="475"/>
      <c r="AMO10" s="475"/>
      <c r="AMP10" s="475"/>
      <c r="AMQ10" s="475"/>
      <c r="AMR10" s="475"/>
      <c r="AMS10" s="475"/>
      <c r="AMT10" s="475"/>
      <c r="AMU10" s="475"/>
      <c r="AMV10" s="475"/>
      <c r="AMW10" s="475"/>
      <c r="AMX10" s="475"/>
      <c r="AMY10" s="475"/>
      <c r="AMZ10" s="475"/>
      <c r="ANA10" s="475"/>
      <c r="ANB10" s="475"/>
      <c r="ANC10" s="475"/>
      <c r="AND10" s="475"/>
      <c r="ANE10" s="475"/>
      <c r="ANF10" s="475"/>
      <c r="ANG10" s="475"/>
      <c r="ANH10" s="475"/>
      <c r="ANI10" s="475"/>
      <c r="ANJ10" s="475"/>
      <c r="ANK10" s="475"/>
      <c r="ANL10" s="475"/>
      <c r="ANM10" s="475"/>
      <c r="ANN10" s="475"/>
      <c r="ANO10" s="475"/>
      <c r="ANP10" s="475"/>
      <c r="ANQ10" s="475"/>
      <c r="ANR10" s="475"/>
      <c r="ANS10" s="475"/>
      <c r="ANT10" s="475"/>
      <c r="ANU10" s="475"/>
      <c r="ANV10" s="475"/>
      <c r="ANW10" s="475"/>
      <c r="ANX10" s="475"/>
      <c r="ANY10" s="475"/>
      <c r="ANZ10" s="475"/>
      <c r="AOA10" s="475"/>
      <c r="AOB10" s="475"/>
      <c r="AOC10" s="475"/>
      <c r="AOD10" s="475"/>
      <c r="AOE10" s="475"/>
      <c r="AOF10" s="475"/>
      <c r="AOG10" s="475"/>
      <c r="AOH10" s="475"/>
      <c r="AOI10" s="475"/>
      <c r="AOJ10" s="475"/>
      <c r="AOK10" s="475"/>
      <c r="AOL10" s="475"/>
      <c r="AOM10" s="475"/>
      <c r="AON10" s="475"/>
      <c r="AOO10" s="475"/>
      <c r="AOP10" s="475"/>
      <c r="AOQ10" s="475"/>
      <c r="AOR10" s="475"/>
      <c r="AOS10" s="475"/>
      <c r="AOT10" s="475"/>
      <c r="AOU10" s="475"/>
      <c r="AOV10" s="475"/>
      <c r="AOW10" s="475"/>
      <c r="AOX10" s="475"/>
      <c r="AOY10" s="475"/>
      <c r="AOZ10" s="475"/>
      <c r="APA10" s="475"/>
      <c r="APB10" s="475"/>
      <c r="APC10" s="475"/>
      <c r="APD10" s="475"/>
      <c r="APE10" s="475"/>
      <c r="APF10" s="475"/>
      <c r="APG10" s="475"/>
      <c r="APH10" s="475"/>
      <c r="API10" s="475"/>
      <c r="APJ10" s="475"/>
      <c r="APK10" s="475"/>
      <c r="APL10" s="475"/>
      <c r="APM10" s="475"/>
      <c r="APN10" s="475"/>
      <c r="APO10" s="475"/>
      <c r="APP10" s="475"/>
      <c r="APQ10" s="475"/>
      <c r="APR10" s="475"/>
      <c r="APS10" s="475"/>
      <c r="APT10" s="475"/>
      <c r="APU10" s="475"/>
      <c r="APV10" s="475"/>
      <c r="APW10" s="475"/>
      <c r="APX10" s="475"/>
      <c r="APY10" s="475"/>
      <c r="APZ10" s="475"/>
      <c r="AQA10" s="475"/>
      <c r="AQB10" s="475"/>
      <c r="AQC10" s="475"/>
      <c r="AQD10" s="475"/>
      <c r="AQE10" s="475"/>
      <c r="AQF10" s="475"/>
      <c r="AQG10" s="475"/>
      <c r="AQH10" s="475"/>
      <c r="AQI10" s="475"/>
      <c r="AQJ10" s="475"/>
      <c r="AQK10" s="475"/>
      <c r="AQL10" s="475"/>
      <c r="AQM10" s="475"/>
      <c r="AQN10" s="475"/>
      <c r="AQO10" s="475"/>
      <c r="AQP10" s="475"/>
      <c r="AQQ10" s="475"/>
      <c r="AQR10" s="475"/>
      <c r="AQS10" s="475"/>
      <c r="AQT10" s="475"/>
      <c r="AQU10" s="475"/>
      <c r="AQV10" s="475"/>
      <c r="AQW10" s="475"/>
      <c r="AQX10" s="475"/>
      <c r="AQY10" s="475"/>
      <c r="AQZ10" s="475"/>
      <c r="ARA10" s="475"/>
      <c r="ARB10" s="475"/>
      <c r="ARC10" s="475"/>
      <c r="ARD10" s="475"/>
      <c r="ARE10" s="475"/>
      <c r="ARF10" s="475"/>
      <c r="ARG10" s="475"/>
      <c r="ARH10" s="475"/>
      <c r="ARI10" s="475"/>
      <c r="ARJ10" s="475"/>
      <c r="ARK10" s="475"/>
      <c r="ARL10" s="475"/>
      <c r="ARM10" s="475"/>
      <c r="ARN10" s="475"/>
      <c r="ARO10" s="475"/>
      <c r="ARP10" s="475"/>
      <c r="ARQ10" s="475"/>
      <c r="ARR10" s="475"/>
      <c r="ARS10" s="475"/>
      <c r="ART10" s="475"/>
      <c r="ARU10" s="475"/>
      <c r="ARV10" s="475"/>
      <c r="ARW10" s="475"/>
      <c r="ARX10" s="475"/>
      <c r="ARY10" s="475"/>
      <c r="ARZ10" s="475"/>
      <c r="ASA10" s="475"/>
      <c r="ASB10" s="475"/>
      <c r="ASC10" s="475"/>
      <c r="ASD10" s="475"/>
      <c r="ASE10" s="475"/>
      <c r="ASF10" s="475"/>
      <c r="ASG10" s="475"/>
      <c r="ASH10" s="475"/>
      <c r="ASI10" s="475"/>
      <c r="ASJ10" s="475"/>
      <c r="ASK10" s="475"/>
      <c r="ASL10" s="475"/>
      <c r="ASM10" s="475"/>
      <c r="ASN10" s="475"/>
      <c r="ASO10" s="475"/>
      <c r="ASP10" s="475"/>
      <c r="ASQ10" s="475"/>
      <c r="ASR10" s="475"/>
      <c r="ASS10" s="475"/>
      <c r="AST10" s="475"/>
      <c r="ASU10" s="475"/>
      <c r="ASV10" s="475"/>
      <c r="ASW10" s="475"/>
      <c r="ASX10" s="475"/>
      <c r="ASY10" s="475"/>
      <c r="ASZ10" s="475"/>
      <c r="ATA10" s="475"/>
      <c r="ATB10" s="475"/>
      <c r="ATC10" s="475"/>
      <c r="ATD10" s="475"/>
      <c r="ATE10" s="475"/>
      <c r="ATF10" s="475"/>
      <c r="ATG10" s="475"/>
      <c r="ATH10" s="475"/>
      <c r="ATI10" s="475"/>
      <c r="ATJ10" s="475"/>
      <c r="ATK10" s="475"/>
      <c r="ATL10" s="475"/>
      <c r="ATM10" s="475"/>
      <c r="ATN10" s="475"/>
      <c r="ATO10" s="475"/>
      <c r="ATP10" s="475"/>
      <c r="ATQ10" s="475"/>
      <c r="ATR10" s="475"/>
      <c r="ATS10" s="475"/>
      <c r="ATT10" s="475"/>
      <c r="ATU10" s="475"/>
      <c r="ATV10" s="475"/>
      <c r="ATW10" s="475"/>
      <c r="ATX10" s="475"/>
      <c r="ATY10" s="475"/>
      <c r="ATZ10" s="475"/>
      <c r="AUA10" s="475"/>
      <c r="AUB10" s="475"/>
      <c r="AUC10" s="475"/>
      <c r="AUD10" s="475"/>
      <c r="AUE10" s="475"/>
      <c r="AUF10" s="475"/>
      <c r="AUG10" s="475"/>
      <c r="AUH10" s="475"/>
      <c r="AUI10" s="475"/>
      <c r="AUJ10" s="475"/>
      <c r="AUK10" s="475"/>
      <c r="AUL10" s="475"/>
      <c r="AUM10" s="475"/>
      <c r="AUN10" s="475"/>
      <c r="AUO10" s="475"/>
      <c r="AUP10" s="475"/>
      <c r="AUQ10" s="475"/>
      <c r="AUR10" s="475"/>
      <c r="AUS10" s="475"/>
      <c r="AUT10" s="475"/>
      <c r="AUU10" s="475"/>
      <c r="AUV10" s="475"/>
      <c r="AUW10" s="475"/>
      <c r="AUX10" s="475"/>
      <c r="AUY10" s="475"/>
      <c r="AUZ10" s="475"/>
      <c r="AVA10" s="475"/>
      <c r="AVB10" s="475"/>
      <c r="AVC10" s="475"/>
      <c r="AVD10" s="475"/>
      <c r="AVE10" s="475"/>
      <c r="AVF10" s="475"/>
      <c r="AVG10" s="475"/>
      <c r="AVH10" s="475"/>
      <c r="AVI10" s="475"/>
      <c r="AVJ10" s="475"/>
      <c r="AVK10" s="475"/>
      <c r="AVL10" s="475"/>
      <c r="AVM10" s="475"/>
      <c r="AVN10" s="475"/>
      <c r="AVO10" s="475"/>
      <c r="AVP10" s="475"/>
      <c r="AVQ10" s="475"/>
      <c r="AVR10" s="475"/>
      <c r="AVS10" s="475"/>
      <c r="AVT10" s="475"/>
      <c r="AVU10" s="475"/>
      <c r="AVV10" s="475"/>
      <c r="AVW10" s="475"/>
      <c r="AVX10" s="475"/>
      <c r="AVY10" s="475"/>
      <c r="AVZ10" s="475"/>
      <c r="AWA10" s="475"/>
      <c r="AWB10" s="475"/>
      <c r="AWC10" s="475"/>
      <c r="AWD10" s="475"/>
      <c r="AWE10" s="475"/>
      <c r="AWF10" s="475"/>
      <c r="AWG10" s="475"/>
      <c r="AWH10" s="475"/>
      <c r="AWI10" s="475"/>
      <c r="AWJ10" s="475"/>
      <c r="AWK10" s="475"/>
      <c r="AWL10" s="475"/>
      <c r="AWM10" s="475"/>
      <c r="AWN10" s="475"/>
      <c r="AWO10" s="475"/>
      <c r="AWP10" s="475"/>
      <c r="AWQ10" s="475"/>
      <c r="AWR10" s="475"/>
      <c r="AWS10" s="475"/>
      <c r="AWT10" s="475"/>
      <c r="AWU10" s="475"/>
      <c r="AWV10" s="475"/>
      <c r="AWW10" s="475"/>
      <c r="AWX10" s="475"/>
      <c r="AWY10" s="475"/>
      <c r="AWZ10" s="475"/>
      <c r="AXA10" s="475"/>
      <c r="AXB10" s="475"/>
      <c r="AXC10" s="475"/>
      <c r="AXD10" s="475"/>
      <c r="AXE10" s="475"/>
      <c r="AXF10" s="475"/>
      <c r="AXG10" s="475"/>
      <c r="AXH10" s="475"/>
      <c r="AXI10" s="475"/>
      <c r="AXJ10" s="475"/>
      <c r="AXK10" s="475"/>
      <c r="AXL10" s="475"/>
      <c r="AXM10" s="475"/>
      <c r="AXN10" s="475"/>
      <c r="AXO10" s="475"/>
      <c r="AXP10" s="475"/>
      <c r="AXQ10" s="475"/>
      <c r="AXR10" s="475"/>
      <c r="AXS10" s="475"/>
      <c r="AXT10" s="475"/>
      <c r="AXU10" s="475"/>
      <c r="AXV10" s="475"/>
      <c r="AXW10" s="475"/>
      <c r="AXX10" s="475"/>
      <c r="AXY10" s="475"/>
      <c r="AXZ10" s="475"/>
      <c r="AYA10" s="475"/>
      <c r="AYB10" s="475"/>
      <c r="AYC10" s="475"/>
      <c r="AYD10" s="475"/>
      <c r="AYE10" s="475"/>
      <c r="AYF10" s="475"/>
      <c r="AYG10" s="475"/>
      <c r="AYH10" s="475"/>
      <c r="AYI10" s="475"/>
      <c r="AYJ10" s="475"/>
      <c r="AYK10" s="475"/>
      <c r="AYL10" s="475"/>
      <c r="AYM10" s="475"/>
      <c r="AYN10" s="475"/>
      <c r="AYO10" s="475"/>
      <c r="AYP10" s="475"/>
      <c r="AYQ10" s="475"/>
      <c r="AYR10" s="475"/>
      <c r="AYS10" s="475"/>
      <c r="AYT10" s="475"/>
      <c r="AYU10" s="475"/>
      <c r="AYV10" s="475"/>
      <c r="AYW10" s="475"/>
      <c r="AYX10" s="475"/>
      <c r="AYY10" s="475"/>
      <c r="AYZ10" s="475"/>
      <c r="AZA10" s="475"/>
      <c r="AZB10" s="475"/>
      <c r="AZC10" s="475"/>
      <c r="AZD10" s="475"/>
      <c r="AZE10" s="475"/>
      <c r="AZF10" s="475"/>
      <c r="AZG10" s="475"/>
      <c r="AZH10" s="475"/>
      <c r="AZI10" s="475"/>
      <c r="AZJ10" s="475"/>
      <c r="AZK10" s="475"/>
      <c r="AZL10" s="475"/>
      <c r="AZM10" s="475"/>
      <c r="AZN10" s="475"/>
      <c r="AZO10" s="475"/>
      <c r="AZP10" s="475"/>
      <c r="AZQ10" s="475"/>
      <c r="AZR10" s="475"/>
      <c r="AZS10" s="475"/>
      <c r="AZT10" s="475"/>
      <c r="AZU10" s="475"/>
      <c r="AZV10" s="475"/>
      <c r="AZW10" s="475"/>
      <c r="AZX10" s="475"/>
      <c r="AZY10" s="475"/>
      <c r="AZZ10" s="475"/>
      <c r="BAA10" s="475"/>
      <c r="BAB10" s="475"/>
      <c r="BAC10" s="475"/>
      <c r="BAD10" s="475"/>
      <c r="BAE10" s="475"/>
      <c r="BAF10" s="475"/>
      <c r="BAG10" s="475"/>
      <c r="BAH10" s="475"/>
      <c r="BAI10" s="475"/>
      <c r="BAJ10" s="475"/>
      <c r="BAK10" s="475"/>
      <c r="BAL10" s="475"/>
      <c r="BAM10" s="475"/>
      <c r="BAN10" s="475"/>
      <c r="BAO10" s="475"/>
      <c r="BAP10" s="475"/>
      <c r="BAQ10" s="475"/>
      <c r="BAR10" s="475"/>
      <c r="BAS10" s="475"/>
      <c r="BAT10" s="475"/>
      <c r="BAU10" s="475"/>
      <c r="BAV10" s="475"/>
      <c r="BAW10" s="475"/>
      <c r="BAX10" s="475"/>
      <c r="BAY10" s="475"/>
      <c r="BAZ10" s="475"/>
      <c r="BBA10" s="475"/>
      <c r="BBB10" s="475"/>
      <c r="BBC10" s="475"/>
      <c r="BBD10" s="475"/>
      <c r="BBE10" s="475"/>
      <c r="BBF10" s="475"/>
      <c r="BBG10" s="475"/>
      <c r="BBH10" s="475"/>
      <c r="BBI10" s="475"/>
      <c r="BBJ10" s="475"/>
      <c r="BBK10" s="475"/>
      <c r="BBL10" s="475"/>
      <c r="BBM10" s="475"/>
      <c r="BBN10" s="475"/>
      <c r="BBO10" s="475"/>
      <c r="BBP10" s="475"/>
      <c r="BBQ10" s="475"/>
      <c r="BBR10" s="475"/>
      <c r="BBS10" s="475"/>
      <c r="BBT10" s="475"/>
      <c r="BBU10" s="475"/>
      <c r="BBV10" s="475"/>
      <c r="BBW10" s="475"/>
      <c r="BBX10" s="475"/>
      <c r="BBY10" s="475"/>
      <c r="BBZ10" s="475"/>
      <c r="BCA10" s="475"/>
      <c r="BCB10" s="475"/>
      <c r="BCC10" s="475"/>
      <c r="BCD10" s="475"/>
      <c r="BCE10" s="475"/>
      <c r="BCF10" s="475"/>
      <c r="BCG10" s="475"/>
      <c r="BCH10" s="475"/>
      <c r="BCI10" s="475"/>
      <c r="BCJ10" s="475"/>
      <c r="BCK10" s="475"/>
      <c r="BCL10" s="475"/>
      <c r="BCM10" s="475"/>
      <c r="BCN10" s="475"/>
      <c r="BCO10" s="475"/>
      <c r="BCP10" s="475"/>
      <c r="BCQ10" s="475"/>
      <c r="BCR10" s="475"/>
      <c r="BCS10" s="475"/>
      <c r="BCT10" s="475"/>
      <c r="BCU10" s="475"/>
      <c r="BCV10" s="475"/>
      <c r="BCW10" s="475"/>
      <c r="BCX10" s="475"/>
      <c r="BCY10" s="475"/>
      <c r="BCZ10" s="475"/>
      <c r="BDA10" s="475"/>
      <c r="BDB10" s="475"/>
      <c r="BDC10" s="475"/>
      <c r="BDD10" s="475"/>
      <c r="BDE10" s="475"/>
      <c r="BDF10" s="475"/>
      <c r="BDG10" s="475"/>
      <c r="BDH10" s="475"/>
      <c r="BDI10" s="475"/>
      <c r="BDJ10" s="475"/>
      <c r="BDK10" s="475"/>
      <c r="BDL10" s="475"/>
      <c r="BDM10" s="475"/>
      <c r="BDN10" s="475"/>
      <c r="BDO10" s="475"/>
      <c r="BDP10" s="475"/>
      <c r="BDQ10" s="475"/>
      <c r="BDR10" s="475"/>
      <c r="BDS10" s="475"/>
      <c r="BDT10" s="475"/>
      <c r="BDU10" s="475"/>
      <c r="BDV10" s="475"/>
      <c r="BDW10" s="475"/>
      <c r="BDX10" s="475"/>
      <c r="BDY10" s="475"/>
      <c r="BDZ10" s="475"/>
      <c r="BEA10" s="475"/>
      <c r="BEB10" s="475"/>
      <c r="BEC10" s="475"/>
      <c r="BED10" s="475"/>
      <c r="BEE10" s="475"/>
      <c r="BEF10" s="475"/>
      <c r="BEG10" s="475"/>
      <c r="BEH10" s="475"/>
      <c r="BEI10" s="475"/>
      <c r="BEJ10" s="475"/>
      <c r="BEK10" s="475"/>
      <c r="BEL10" s="475"/>
      <c r="BEM10" s="475"/>
      <c r="BEN10" s="475"/>
      <c r="BEO10" s="475"/>
      <c r="BEP10" s="475"/>
      <c r="BEQ10" s="475"/>
      <c r="BER10" s="475"/>
      <c r="BES10" s="475"/>
      <c r="BET10" s="475"/>
      <c r="BEU10" s="475"/>
      <c r="BEV10" s="475"/>
      <c r="BEW10" s="475"/>
      <c r="BEX10" s="475"/>
      <c r="BEY10" s="475"/>
      <c r="BEZ10" s="475"/>
      <c r="BFA10" s="475"/>
      <c r="BFB10" s="475"/>
      <c r="BFC10" s="475"/>
      <c r="BFD10" s="475"/>
      <c r="BFE10" s="475"/>
      <c r="BFF10" s="475"/>
      <c r="BFG10" s="475"/>
      <c r="BFH10" s="475"/>
      <c r="BFI10" s="475"/>
      <c r="BFJ10" s="475"/>
      <c r="BFK10" s="475"/>
      <c r="BFL10" s="475"/>
      <c r="BFM10" s="475"/>
      <c r="BFN10" s="475"/>
      <c r="BFO10" s="475"/>
      <c r="BFP10" s="475"/>
      <c r="BFQ10" s="475"/>
      <c r="BFR10" s="475"/>
      <c r="BFS10" s="475"/>
      <c r="BFT10" s="475"/>
      <c r="BFU10" s="475"/>
      <c r="BFV10" s="475"/>
      <c r="BFW10" s="475"/>
      <c r="BFX10" s="475"/>
      <c r="BFY10" s="475"/>
      <c r="BFZ10" s="475"/>
      <c r="BGA10" s="475"/>
      <c r="BGB10" s="475"/>
      <c r="BGC10" s="475"/>
      <c r="BGD10" s="475"/>
      <c r="BGE10" s="475"/>
      <c r="BGF10" s="475"/>
      <c r="BGG10" s="475"/>
      <c r="BGH10" s="475"/>
      <c r="BGI10" s="475"/>
      <c r="BGJ10" s="475"/>
      <c r="BGK10" s="475"/>
      <c r="BGL10" s="475"/>
      <c r="BGM10" s="475"/>
      <c r="BGN10" s="475"/>
      <c r="BGO10" s="475"/>
      <c r="BGP10" s="475"/>
      <c r="BGQ10" s="475"/>
      <c r="BGR10" s="475"/>
      <c r="BGS10" s="475"/>
      <c r="BGT10" s="475"/>
      <c r="BGU10" s="475"/>
      <c r="BGV10" s="475"/>
      <c r="BGW10" s="475"/>
      <c r="BGX10" s="475"/>
      <c r="BGY10" s="475"/>
      <c r="BGZ10" s="475"/>
      <c r="BHA10" s="475"/>
      <c r="BHB10" s="475"/>
      <c r="BHC10" s="475"/>
      <c r="BHD10" s="475"/>
      <c r="BHE10" s="475"/>
      <c r="BHF10" s="475"/>
      <c r="BHG10" s="475"/>
      <c r="BHH10" s="475"/>
      <c r="BHI10" s="475"/>
      <c r="BHJ10" s="475"/>
      <c r="BHK10" s="475"/>
      <c r="BHL10" s="475"/>
      <c r="BHM10" s="475"/>
      <c r="BHN10" s="475"/>
      <c r="BHO10" s="475"/>
      <c r="BHP10" s="475"/>
      <c r="BHQ10" s="475"/>
      <c r="BHR10" s="475"/>
      <c r="BHS10" s="475"/>
      <c r="BHT10" s="475"/>
      <c r="BHU10" s="475"/>
      <c r="BHV10" s="475"/>
      <c r="BHW10" s="475"/>
      <c r="BHX10" s="475"/>
      <c r="BHY10" s="475"/>
      <c r="BHZ10" s="475"/>
      <c r="BIA10" s="475"/>
      <c r="BIB10" s="475"/>
      <c r="BIC10" s="475"/>
      <c r="BID10" s="475"/>
      <c r="BIE10" s="475"/>
      <c r="BIF10" s="475"/>
      <c r="BIG10" s="475"/>
      <c r="BIH10" s="475"/>
      <c r="BII10" s="475"/>
      <c r="BIJ10" s="475"/>
      <c r="BIK10" s="475"/>
      <c r="BIL10" s="475"/>
      <c r="BIM10" s="475"/>
      <c r="BIN10" s="475"/>
      <c r="BIO10" s="475"/>
      <c r="BIP10" s="475"/>
      <c r="BIQ10" s="475"/>
      <c r="BIR10" s="475"/>
      <c r="BIS10" s="475"/>
      <c r="BIT10" s="475"/>
      <c r="BIU10" s="475"/>
      <c r="BIV10" s="475"/>
      <c r="BIW10" s="475"/>
      <c r="BIX10" s="475"/>
      <c r="BIY10" s="475"/>
      <c r="BIZ10" s="475"/>
      <c r="BJA10" s="475"/>
      <c r="BJB10" s="475"/>
      <c r="BJC10" s="475"/>
      <c r="BJD10" s="475"/>
      <c r="BJE10" s="475"/>
      <c r="BJF10" s="475"/>
      <c r="BJG10" s="475"/>
      <c r="BJH10" s="475"/>
      <c r="BJI10" s="475"/>
      <c r="BJJ10" s="475"/>
      <c r="BJK10" s="475"/>
      <c r="BJL10" s="475"/>
      <c r="BJM10" s="475"/>
      <c r="BJN10" s="475"/>
      <c r="BJO10" s="475"/>
      <c r="BJP10" s="475"/>
      <c r="BJQ10" s="475"/>
      <c r="BJR10" s="475"/>
      <c r="BJS10" s="475"/>
      <c r="BJT10" s="475"/>
      <c r="BJU10" s="475"/>
      <c r="BJV10" s="475"/>
      <c r="BJW10" s="475"/>
      <c r="BJX10" s="475"/>
      <c r="BJY10" s="475"/>
      <c r="BJZ10" s="475"/>
      <c r="BKA10" s="475"/>
      <c r="BKB10" s="475"/>
      <c r="BKC10" s="475"/>
      <c r="BKD10" s="475"/>
      <c r="BKE10" s="475"/>
      <c r="BKF10" s="475"/>
      <c r="BKG10" s="475"/>
      <c r="BKH10" s="475"/>
      <c r="BKI10" s="475"/>
      <c r="BKJ10" s="475"/>
      <c r="BKK10" s="475"/>
      <c r="BKL10" s="475"/>
      <c r="BKM10" s="475"/>
      <c r="BKN10" s="475"/>
      <c r="BKO10" s="475"/>
      <c r="BKP10" s="475"/>
      <c r="BKQ10" s="475"/>
      <c r="BKR10" s="475"/>
      <c r="BKS10" s="475"/>
      <c r="BKT10" s="475"/>
      <c r="BKU10" s="475"/>
      <c r="BKV10" s="475"/>
      <c r="BKW10" s="475"/>
      <c r="BKX10" s="475"/>
      <c r="BKY10" s="475"/>
      <c r="BKZ10" s="475"/>
      <c r="BLA10" s="475"/>
      <c r="BLB10" s="475"/>
      <c r="BLC10" s="475"/>
      <c r="BLD10" s="475"/>
      <c r="BLE10" s="475"/>
      <c r="BLF10" s="475"/>
      <c r="BLG10" s="475"/>
      <c r="BLH10" s="475"/>
      <c r="BLI10" s="475"/>
      <c r="BLJ10" s="475"/>
      <c r="BLK10" s="475"/>
      <c r="BLL10" s="475"/>
      <c r="BLM10" s="475"/>
      <c r="BLN10" s="475"/>
      <c r="BLO10" s="475"/>
      <c r="BLP10" s="475"/>
      <c r="BLQ10" s="475"/>
      <c r="BLR10" s="475"/>
      <c r="BLS10" s="475"/>
      <c r="BLT10" s="475"/>
      <c r="BLU10" s="475"/>
      <c r="BLV10" s="475"/>
      <c r="BLW10" s="475"/>
      <c r="BLX10" s="475"/>
      <c r="BLY10" s="475"/>
      <c r="BLZ10" s="475"/>
      <c r="BMA10" s="475"/>
      <c r="BMB10" s="475"/>
      <c r="BMC10" s="475"/>
      <c r="BMD10" s="475"/>
      <c r="BME10" s="475"/>
      <c r="BMF10" s="475"/>
      <c r="BMG10" s="475"/>
      <c r="BMH10" s="475"/>
      <c r="BMI10" s="475"/>
      <c r="BMJ10" s="475"/>
      <c r="BMK10" s="475"/>
      <c r="BML10" s="475"/>
      <c r="BMM10" s="475"/>
      <c r="BMN10" s="475"/>
      <c r="BMO10" s="475"/>
      <c r="BMP10" s="475"/>
      <c r="BMQ10" s="475"/>
      <c r="BMR10" s="475"/>
      <c r="BMS10" s="475"/>
      <c r="BMT10" s="475"/>
      <c r="BMU10" s="475"/>
      <c r="BMV10" s="475"/>
      <c r="BMW10" s="475"/>
      <c r="BMX10" s="475"/>
      <c r="BMY10" s="475"/>
      <c r="BMZ10" s="475"/>
      <c r="BNA10" s="475"/>
      <c r="BNB10" s="475"/>
      <c r="BNC10" s="475"/>
      <c r="BND10" s="475"/>
      <c r="BNE10" s="475"/>
      <c r="BNF10" s="475"/>
      <c r="BNG10" s="475"/>
      <c r="BNH10" s="475"/>
      <c r="BNI10" s="475"/>
      <c r="BNJ10" s="475"/>
      <c r="BNK10" s="475"/>
      <c r="BNL10" s="475"/>
      <c r="BNM10" s="475"/>
      <c r="BNN10" s="475"/>
      <c r="BNO10" s="475"/>
      <c r="BNP10" s="475"/>
      <c r="BNQ10" s="475"/>
      <c r="BNR10" s="475"/>
      <c r="BNS10" s="475"/>
      <c r="BNT10" s="475"/>
      <c r="BNU10" s="475"/>
      <c r="BNV10" s="475"/>
      <c r="BNW10" s="475"/>
      <c r="BNX10" s="475"/>
      <c r="BNY10" s="475"/>
      <c r="BNZ10" s="475"/>
      <c r="BOA10" s="475"/>
      <c r="BOB10" s="475"/>
      <c r="BOC10" s="475"/>
      <c r="BOD10" s="475"/>
      <c r="BOE10" s="475"/>
      <c r="BOF10" s="475"/>
      <c r="BOG10" s="475"/>
      <c r="BOH10" s="475"/>
      <c r="BOI10" s="475"/>
      <c r="BOJ10" s="475"/>
      <c r="BOK10" s="475"/>
      <c r="BOL10" s="475"/>
      <c r="BOM10" s="475"/>
      <c r="BON10" s="475"/>
      <c r="BOO10" s="475"/>
      <c r="BOP10" s="475"/>
      <c r="BOQ10" s="475"/>
      <c r="BOR10" s="475"/>
      <c r="BOS10" s="475"/>
      <c r="BOT10" s="475"/>
      <c r="BOU10" s="475"/>
      <c r="BOV10" s="475"/>
      <c r="BOW10" s="475"/>
      <c r="BOX10" s="475"/>
      <c r="BOY10" s="475"/>
      <c r="BOZ10" s="475"/>
      <c r="BPA10" s="475"/>
      <c r="BPB10" s="475"/>
      <c r="BPC10" s="475"/>
      <c r="BPD10" s="475"/>
      <c r="BPE10" s="475"/>
      <c r="BPF10" s="475"/>
      <c r="BPG10" s="475"/>
      <c r="BPH10" s="475"/>
      <c r="BPI10" s="475"/>
      <c r="BPJ10" s="475"/>
      <c r="BPK10" s="475"/>
      <c r="BPL10" s="475"/>
      <c r="BPM10" s="475"/>
      <c r="BPN10" s="475"/>
      <c r="BPO10" s="475"/>
      <c r="BPP10" s="475"/>
      <c r="BPQ10" s="475"/>
      <c r="BPR10" s="475"/>
      <c r="BPS10" s="475"/>
      <c r="BPT10" s="475"/>
      <c r="BPU10" s="475"/>
      <c r="BPV10" s="475"/>
      <c r="BPW10" s="475"/>
      <c r="BPX10" s="475"/>
      <c r="BPY10" s="475"/>
      <c r="BPZ10" s="475"/>
      <c r="BQA10" s="475"/>
      <c r="BQB10" s="475"/>
      <c r="BQC10" s="475"/>
      <c r="BQD10" s="475"/>
      <c r="BQE10" s="475"/>
      <c r="BQF10" s="475"/>
      <c r="BQG10" s="475"/>
      <c r="BQH10" s="475"/>
      <c r="BQI10" s="475"/>
      <c r="BQJ10" s="475"/>
      <c r="BQK10" s="475"/>
      <c r="BQL10" s="475"/>
      <c r="BQM10" s="475"/>
      <c r="BQN10" s="475"/>
      <c r="BQO10" s="475"/>
      <c r="BQP10" s="475"/>
      <c r="BQQ10" s="475"/>
      <c r="BQR10" s="475"/>
      <c r="BQS10" s="475"/>
      <c r="BQT10" s="475"/>
      <c r="BQU10" s="475"/>
      <c r="BQV10" s="475"/>
      <c r="BQW10" s="475"/>
      <c r="BQX10" s="475"/>
      <c r="BQY10" s="475"/>
      <c r="BQZ10" s="475"/>
      <c r="BRA10" s="475"/>
      <c r="BRB10" s="475"/>
      <c r="BRC10" s="475"/>
      <c r="BRD10" s="475"/>
      <c r="BRE10" s="475"/>
      <c r="BRF10" s="475"/>
      <c r="BRG10" s="475"/>
      <c r="BRH10" s="475"/>
      <c r="BRI10" s="475"/>
      <c r="BRJ10" s="475"/>
      <c r="BRK10" s="475"/>
      <c r="BRL10" s="475"/>
      <c r="BRM10" s="475"/>
      <c r="BRN10" s="475"/>
      <c r="BRO10" s="475"/>
      <c r="BRP10" s="475"/>
      <c r="BRQ10" s="475"/>
      <c r="BRR10" s="475"/>
      <c r="BRS10" s="475"/>
      <c r="BRT10" s="475"/>
      <c r="BRU10" s="475"/>
      <c r="BRV10" s="475"/>
      <c r="BRW10" s="475"/>
      <c r="BRX10" s="475"/>
      <c r="BRY10" s="475"/>
      <c r="BRZ10" s="475"/>
      <c r="BSA10" s="475"/>
      <c r="BSB10" s="475"/>
      <c r="BSC10" s="475"/>
      <c r="BSD10" s="475"/>
      <c r="BSE10" s="475"/>
      <c r="BSF10" s="475"/>
      <c r="BSG10" s="475"/>
      <c r="BSH10" s="475"/>
      <c r="BSI10" s="475"/>
      <c r="BSJ10" s="475"/>
      <c r="BSK10" s="475"/>
      <c r="BSL10" s="475"/>
      <c r="BSM10" s="475"/>
      <c r="BSN10" s="475"/>
      <c r="BSO10" s="475"/>
      <c r="BSP10" s="475"/>
      <c r="BSQ10" s="475"/>
      <c r="BSR10" s="475"/>
      <c r="BSS10" s="475"/>
      <c r="BST10" s="475"/>
      <c r="BSU10" s="475"/>
      <c r="BSV10" s="475"/>
      <c r="BSW10" s="475"/>
      <c r="BSX10" s="475"/>
      <c r="BSY10" s="475"/>
      <c r="BSZ10" s="475"/>
      <c r="BTA10" s="475"/>
      <c r="BTB10" s="475"/>
      <c r="BTC10" s="475"/>
      <c r="BTD10" s="475"/>
      <c r="BTE10" s="475"/>
      <c r="BTF10" s="475"/>
      <c r="BTG10" s="475"/>
      <c r="BTH10" s="475"/>
      <c r="BTI10" s="475"/>
      <c r="BTJ10" s="475"/>
      <c r="BTK10" s="475"/>
      <c r="BTL10" s="475"/>
      <c r="BTM10" s="475"/>
      <c r="BTN10" s="475"/>
      <c r="BTO10" s="475"/>
      <c r="BTP10" s="475"/>
      <c r="BTQ10" s="475"/>
      <c r="BTR10" s="475"/>
      <c r="BTS10" s="475"/>
      <c r="BTT10" s="475"/>
      <c r="BTU10" s="475"/>
      <c r="BTV10" s="475"/>
      <c r="BTW10" s="475"/>
      <c r="BTX10" s="475"/>
      <c r="BTY10" s="475"/>
      <c r="BTZ10" s="475"/>
      <c r="BUA10" s="475"/>
      <c r="BUB10" s="475"/>
      <c r="BUC10" s="475"/>
      <c r="BUD10" s="475"/>
      <c r="BUE10" s="475"/>
      <c r="BUF10" s="475"/>
      <c r="BUG10" s="475"/>
      <c r="BUH10" s="475"/>
      <c r="BUI10" s="475"/>
      <c r="BUJ10" s="475"/>
      <c r="BUK10" s="475"/>
      <c r="BUL10" s="475"/>
      <c r="BUM10" s="475"/>
      <c r="BUN10" s="475"/>
      <c r="BUO10" s="475"/>
      <c r="BUP10" s="475"/>
      <c r="BUQ10" s="475"/>
      <c r="BUR10" s="475"/>
      <c r="BUS10" s="475"/>
      <c r="BUT10" s="475"/>
      <c r="BUU10" s="475"/>
      <c r="BUV10" s="475"/>
      <c r="BUW10" s="475"/>
      <c r="BUX10" s="475"/>
      <c r="BUY10" s="475"/>
      <c r="BUZ10" s="475"/>
      <c r="BVA10" s="475"/>
      <c r="BVB10" s="475"/>
      <c r="BVC10" s="475"/>
      <c r="BVD10" s="475"/>
      <c r="BVE10" s="475"/>
      <c r="BVF10" s="475"/>
      <c r="BVG10" s="475"/>
      <c r="BVH10" s="475"/>
      <c r="BVI10" s="475"/>
      <c r="BVJ10" s="475"/>
      <c r="BVK10" s="475"/>
      <c r="BVL10" s="475"/>
      <c r="BVM10" s="475"/>
      <c r="BVN10" s="475"/>
      <c r="BVO10" s="475"/>
      <c r="BVP10" s="475"/>
      <c r="BVQ10" s="475"/>
      <c r="BVR10" s="475"/>
      <c r="BVS10" s="475"/>
      <c r="BVT10" s="475"/>
      <c r="BVU10" s="475"/>
      <c r="BVV10" s="475"/>
      <c r="BVW10" s="475"/>
      <c r="BVX10" s="475"/>
      <c r="BVY10" s="475"/>
      <c r="BVZ10" s="475"/>
      <c r="BWA10" s="475"/>
      <c r="BWB10" s="475"/>
      <c r="BWC10" s="475"/>
      <c r="BWD10" s="475"/>
      <c r="BWE10" s="475"/>
      <c r="BWF10" s="475"/>
      <c r="BWG10" s="475"/>
      <c r="BWH10" s="475"/>
      <c r="BWI10" s="475"/>
      <c r="BWJ10" s="475"/>
      <c r="BWK10" s="475"/>
      <c r="BWL10" s="475"/>
      <c r="BWM10" s="475"/>
      <c r="BWN10" s="475"/>
      <c r="BWO10" s="475"/>
      <c r="BWP10" s="475"/>
      <c r="BWQ10" s="475"/>
      <c r="BWR10" s="475"/>
      <c r="BWS10" s="475"/>
      <c r="BWT10" s="475"/>
      <c r="BWU10" s="475"/>
      <c r="BWV10" s="475"/>
      <c r="BWW10" s="475"/>
      <c r="BWX10" s="475"/>
      <c r="BWY10" s="475"/>
      <c r="BWZ10" s="475"/>
      <c r="BXA10" s="475"/>
      <c r="BXB10" s="475"/>
      <c r="BXC10" s="475"/>
      <c r="BXD10" s="475"/>
      <c r="BXE10" s="475"/>
      <c r="BXF10" s="475"/>
      <c r="BXG10" s="475"/>
      <c r="BXH10" s="475"/>
      <c r="BXI10" s="475"/>
      <c r="BXJ10" s="475"/>
      <c r="BXK10" s="475"/>
      <c r="BXL10" s="475"/>
      <c r="BXM10" s="475"/>
      <c r="BXN10" s="475"/>
      <c r="BXO10" s="475"/>
      <c r="BXP10" s="475"/>
      <c r="BXQ10" s="475"/>
      <c r="BXR10" s="475"/>
      <c r="BXS10" s="475"/>
      <c r="BXT10" s="475"/>
      <c r="BXU10" s="475"/>
      <c r="BXV10" s="475"/>
      <c r="BXW10" s="475"/>
      <c r="BXX10" s="475"/>
      <c r="BXY10" s="475"/>
      <c r="BXZ10" s="475"/>
      <c r="BYA10" s="475"/>
      <c r="BYB10" s="475"/>
      <c r="BYC10" s="475"/>
    </row>
    <row r="11" spans="1:2005" s="180" customFormat="1" ht="31" thickTop="1">
      <c r="A11" s="1886"/>
      <c r="B11" s="657" t="s">
        <v>392</v>
      </c>
      <c r="C11" s="362">
        <f>C10*56/2000</f>
        <v>4.1092368290246268</v>
      </c>
      <c r="D11" s="710">
        <f>D10*56/2000</f>
        <v>0.7496159709986645</v>
      </c>
      <c r="E11" s="362">
        <f>E10*56/2000</f>
        <v>1.5891864097793398</v>
      </c>
      <c r="F11" s="710">
        <f>F10*56/2000</f>
        <v>0.66285381130386234</v>
      </c>
      <c r="G11" s="462">
        <f>G10*G5/2000</f>
        <v>1.3340724797771126</v>
      </c>
      <c r="H11" s="462">
        <f>H10*G5/2000</f>
        <v>0.48770626343678875</v>
      </c>
      <c r="I11" s="462">
        <f>I10*I5/2000</f>
        <v>0.42486302399272674</v>
      </c>
      <c r="J11" s="710">
        <f>J10*I5/2000</f>
        <v>0.1339644282878549</v>
      </c>
      <c r="K11" s="412"/>
      <c r="L11" s="751"/>
      <c r="M11" s="462">
        <f>M10*M5/2000</f>
        <v>1.2006271426711426</v>
      </c>
      <c r="N11" s="462">
        <f>N10*M5/2000</f>
        <v>0.1286016520263959</v>
      </c>
      <c r="O11" s="357"/>
      <c r="P11" s="599"/>
      <c r="Q11" s="636"/>
      <c r="R11" s="757"/>
      <c r="S11" s="355">
        <f>'crop yields'!O20</f>
        <v>17.133193192914316</v>
      </c>
      <c r="T11" s="409">
        <f>'crop yields'!O21</f>
        <v>2.2119496204230136</v>
      </c>
      <c r="U11" s="407">
        <f>'crop yields'!O35</f>
        <v>11.174862993790686</v>
      </c>
      <c r="V11" s="408">
        <f>'crop yields'!O36</f>
        <v>1.8830268315319036</v>
      </c>
      <c r="W11" s="452">
        <f>ProcessedRoughage!E15</f>
        <v>2.4742548409748384</v>
      </c>
      <c r="X11" s="180">
        <f>ProcessedRoughage!E16</f>
        <v>0.24742548409748386</v>
      </c>
      <c r="Y11" s="645"/>
      <c r="Z11" s="793">
        <f>SQRT(T12^2+V12^2+X12^2)</f>
        <v>8.9054900696815409</v>
      </c>
      <c r="AC11" s="648"/>
      <c r="AD11" s="182"/>
      <c r="AE11" s="1599"/>
      <c r="AF11" s="452"/>
    </row>
    <row r="12" spans="1:2005" s="406" customFormat="1" ht="17">
      <c r="A12" s="1912"/>
      <c r="B12" s="659" t="s">
        <v>159</v>
      </c>
      <c r="C12" s="684">
        <f>C4/C10</f>
        <v>37.865359769498561</v>
      </c>
      <c r="D12" s="360">
        <f>C12*SQRT(D4^2/C4^2+'crop yields'!C21^2/'crop yields'!C20^2+'crop yields'!I21^2/'crop yields'!I20^2+'crop yields'!J21^2/'crop yields'!J20^2+'crop yields'!G21^2/'crop yields'!G20^2)</f>
        <v>7.7630547977767286</v>
      </c>
      <c r="E12" s="684">
        <f>E4/E10</f>
        <v>2.7993239867822273</v>
      </c>
      <c r="F12" s="727">
        <f>E12*SQRT(F4^2/E4^2+'crop yields'!C36^2/'crop yields'!C35^2+'crop yields'!I36^2/'crop yields'!I35^2+'crop yields'!J36^2/'crop yields'!J35^2+'crop yields'!G36^2/'crop yields'!G35^2)</f>
        <v>1.4389177754730993</v>
      </c>
      <c r="G12" s="683">
        <f>G4/G10</f>
        <v>1.2467644802148001</v>
      </c>
      <c r="H12" s="727">
        <f>G12*SQRT(H4^2/G4^2+'crop yields'!D51^2/'crop yields'!D50^2+'crop yields'!C51^2/'crop yields'!C50^2)</f>
        <v>0.75596087008879986</v>
      </c>
      <c r="I12" s="684">
        <f>I4/I10</f>
        <v>4.9539645598163293</v>
      </c>
      <c r="J12" s="360">
        <f>I12*SQRT(J4^2/I4^2+'crop yields'!D66^2/'crop yields'!D65^2+'crop yields'!C66^2/'crop yields'!C65^2)</f>
        <v>1.8847985249480994</v>
      </c>
      <c r="K12" s="685">
        <f>C12+E12+G12+I12</f>
        <v>46.865412796311915</v>
      </c>
      <c r="L12" s="752">
        <f>SQRT(J12^2+H12^2+F12^2+D12^2)</f>
        <v>8.1522663397737869</v>
      </c>
      <c r="M12" s="683">
        <f>M4/M10</f>
        <v>28.858527037838236</v>
      </c>
      <c r="N12" s="360">
        <f>M12*SQRT(N4^2/M4^2+'soy table2'!F20^2/'soy table2'!F19^2+'soy table2'!B20^2/'soy table2'!B19^2)</f>
        <v>3.4654123550995908</v>
      </c>
      <c r="O12" s="683">
        <f>O4/O10</f>
        <v>5.0494875652397724</v>
      </c>
      <c r="P12" s="667">
        <f>O12*SQRT(P4^2/O4^2+wheat!E20^2/wheat!E19^2+wheat!C20^2/wheat!C19^2)</f>
        <v>1.8025424975087379</v>
      </c>
      <c r="Q12" s="686">
        <f>0.96*(O12+M12+K12)</f>
        <v>77.542490303414326</v>
      </c>
      <c r="R12" s="638">
        <f>SQRT(P12^2+N12^2+L12^2)</f>
        <v>9.039783665597902</v>
      </c>
      <c r="S12" s="684">
        <f>S7/S11</f>
        <v>6.2107920457003738</v>
      </c>
      <c r="T12" s="727">
        <f>S12*SQRT('crop yields'!C21^2/'crop yields'!C20^2+'crop yields'!G21^2/'crop yields'!G20^2+'crop yields'!M21^2/'crop yields'!M20^2)</f>
        <v>0.78497880869378345</v>
      </c>
      <c r="U12" s="684">
        <f>0.96*U7/U11</f>
        <v>0.36889365017634457</v>
      </c>
      <c r="V12" s="761">
        <f>U12*SQRT('crop yields'!C36^2/'crop yields'!C35^2+'crop yields'!M36^2/'crop yields'!M35^2+'crop yields'!G36^2/'crop yields'!G35^2)</f>
        <v>0.12453558913743389</v>
      </c>
      <c r="W12" s="684">
        <f>W7/W11</f>
        <v>62.72003369663333</v>
      </c>
      <c r="X12" s="767">
        <f>W12*SQRT(X11^2/W11^2+X7^2/W7^2)</f>
        <v>8.8699522286276391</v>
      </c>
      <c r="Y12" s="688">
        <f>W12+U12+S12</f>
        <v>69.299719392510056</v>
      </c>
      <c r="Z12" s="792">
        <f>X12</f>
        <v>8.8699522286276391</v>
      </c>
      <c r="AA12" s="684">
        <f>Pasture!F16</f>
        <v>767</v>
      </c>
      <c r="AB12" s="772">
        <f>Pasture!F17</f>
        <v>61.557006100037064</v>
      </c>
      <c r="AC12" s="648">
        <f>AA12+Y12</f>
        <v>836.29971939251004</v>
      </c>
      <c r="AD12" s="772">
        <f>SQRT(AB12^2+Z12^2)</f>
        <v>62.19277331441441</v>
      </c>
      <c r="AE12" s="1602">
        <f>AA12+Y12+Q12</f>
        <v>913.84220969592434</v>
      </c>
      <c r="AF12" s="1203"/>
      <c r="AG12" s="517"/>
      <c r="AH12" s="517"/>
      <c r="AI12" s="517"/>
      <c r="AJ12" s="517"/>
      <c r="AK12" s="517"/>
      <c r="AL12" s="517"/>
      <c r="AM12" s="517"/>
      <c r="AN12" s="517"/>
      <c r="AO12" s="517"/>
      <c r="AP12" s="517"/>
      <c r="AQ12" s="517"/>
      <c r="AR12" s="517"/>
      <c r="AS12" s="517"/>
      <c r="AT12" s="517"/>
      <c r="AU12" s="517"/>
      <c r="AV12" s="517"/>
      <c r="AW12" s="517"/>
      <c r="AX12" s="517"/>
      <c r="AY12" s="517"/>
      <c r="AZ12" s="517"/>
      <c r="BA12" s="517"/>
      <c r="BB12" s="517"/>
      <c r="BC12" s="517"/>
      <c r="BD12" s="517"/>
      <c r="BE12" s="517"/>
      <c r="BF12" s="517"/>
      <c r="BG12" s="517"/>
      <c r="BH12" s="517"/>
      <c r="BI12" s="517"/>
      <c r="BJ12" s="517"/>
      <c r="BK12" s="517"/>
      <c r="BL12" s="517"/>
      <c r="BM12" s="517"/>
      <c r="BN12" s="517"/>
      <c r="BO12" s="517"/>
      <c r="BP12" s="517"/>
      <c r="BQ12" s="517"/>
      <c r="BR12" s="517"/>
      <c r="BS12" s="517"/>
      <c r="BT12" s="517"/>
      <c r="BU12" s="517"/>
      <c r="BV12" s="517"/>
      <c r="BW12" s="517"/>
      <c r="BX12" s="517"/>
      <c r="BY12" s="517"/>
      <c r="BZ12" s="517"/>
      <c r="CA12" s="517"/>
      <c r="CB12" s="517"/>
      <c r="CC12" s="517"/>
      <c r="CD12" s="517"/>
      <c r="CE12" s="517"/>
      <c r="CF12" s="517"/>
      <c r="CG12" s="517"/>
      <c r="CH12" s="517"/>
      <c r="CI12" s="517"/>
      <c r="CJ12" s="517"/>
      <c r="CK12" s="517"/>
      <c r="CL12" s="517"/>
      <c r="CM12" s="517"/>
      <c r="CN12" s="517"/>
      <c r="CO12" s="517"/>
      <c r="CP12" s="517"/>
      <c r="CQ12" s="517"/>
      <c r="CR12" s="517"/>
      <c r="CS12" s="517"/>
      <c r="CT12" s="517"/>
      <c r="CU12" s="517"/>
      <c r="CV12" s="517"/>
      <c r="CW12" s="517"/>
      <c r="CX12" s="517"/>
      <c r="CY12" s="517"/>
      <c r="CZ12" s="517"/>
      <c r="DA12" s="517"/>
      <c r="DB12" s="517"/>
      <c r="DC12" s="517"/>
      <c r="DD12" s="517"/>
      <c r="DE12" s="517"/>
      <c r="DF12" s="517"/>
      <c r="DG12" s="517"/>
      <c r="DH12" s="517"/>
      <c r="DI12" s="517"/>
      <c r="DJ12" s="517"/>
      <c r="DK12" s="517"/>
      <c r="DL12" s="517"/>
      <c r="DM12" s="517"/>
      <c r="DN12" s="517"/>
      <c r="DO12" s="517"/>
      <c r="DP12" s="517"/>
      <c r="DQ12" s="517"/>
      <c r="DR12" s="517"/>
      <c r="DS12" s="517"/>
      <c r="DT12" s="517"/>
      <c r="DU12" s="517"/>
      <c r="DV12" s="517"/>
      <c r="DW12" s="517"/>
      <c r="DX12" s="517"/>
      <c r="DY12" s="517"/>
      <c r="DZ12" s="517"/>
      <c r="EA12" s="517"/>
      <c r="EB12" s="517"/>
      <c r="EC12" s="517"/>
      <c r="ED12" s="517"/>
      <c r="EE12" s="517"/>
      <c r="EF12" s="517"/>
      <c r="EG12" s="517"/>
      <c r="EH12" s="517"/>
      <c r="EI12" s="517"/>
      <c r="EJ12" s="517"/>
      <c r="EK12" s="517"/>
      <c r="EL12" s="517"/>
      <c r="EM12" s="517"/>
      <c r="EN12" s="517"/>
      <c r="EO12" s="517"/>
      <c r="EP12" s="517"/>
      <c r="EQ12" s="517"/>
      <c r="ER12" s="517"/>
      <c r="ES12" s="517"/>
      <c r="ET12" s="517"/>
      <c r="EU12" s="517"/>
      <c r="EV12" s="517"/>
      <c r="EW12" s="517"/>
      <c r="EX12" s="517"/>
      <c r="EY12" s="517"/>
      <c r="EZ12" s="517"/>
      <c r="FA12" s="517"/>
      <c r="FB12" s="517"/>
      <c r="FC12" s="517"/>
      <c r="FD12" s="517"/>
      <c r="FE12" s="517"/>
      <c r="FF12" s="517"/>
      <c r="FG12" s="517"/>
      <c r="FH12" s="517"/>
      <c r="FI12" s="517"/>
      <c r="FJ12" s="517"/>
      <c r="FK12" s="517"/>
      <c r="FL12" s="517"/>
      <c r="FM12" s="517"/>
      <c r="FN12" s="517"/>
      <c r="FO12" s="517"/>
      <c r="FP12" s="517"/>
      <c r="FQ12" s="517"/>
      <c r="FR12" s="517"/>
      <c r="FS12" s="517"/>
      <c r="FT12" s="517"/>
      <c r="FU12" s="517"/>
      <c r="FV12" s="517"/>
      <c r="FW12" s="517"/>
      <c r="FX12" s="517"/>
      <c r="FY12" s="517"/>
      <c r="FZ12" s="517"/>
      <c r="GA12" s="517"/>
      <c r="GB12" s="517"/>
      <c r="GC12" s="517"/>
      <c r="GD12" s="517"/>
      <c r="GE12" s="517"/>
      <c r="GF12" s="517"/>
      <c r="GG12" s="517"/>
      <c r="GH12" s="517"/>
      <c r="GI12" s="517"/>
      <c r="GJ12" s="517"/>
      <c r="GK12" s="517"/>
      <c r="GL12" s="517"/>
      <c r="GM12" s="517"/>
      <c r="GN12" s="517"/>
      <c r="GO12" s="517"/>
      <c r="GP12" s="517"/>
      <c r="GQ12" s="517"/>
      <c r="GR12" s="517"/>
      <c r="GS12" s="517"/>
      <c r="GT12" s="517"/>
      <c r="GU12" s="517"/>
      <c r="GV12" s="517"/>
      <c r="GW12" s="517"/>
      <c r="GX12" s="517"/>
      <c r="GY12" s="517"/>
      <c r="GZ12" s="517"/>
      <c r="HA12" s="517"/>
      <c r="HB12" s="517"/>
      <c r="HC12" s="517"/>
      <c r="HD12" s="517"/>
      <c r="HE12" s="517"/>
      <c r="HF12" s="517"/>
      <c r="HG12" s="517"/>
      <c r="HH12" s="517"/>
      <c r="HI12" s="517"/>
      <c r="HJ12" s="517"/>
      <c r="HK12" s="517"/>
      <c r="HL12" s="517"/>
      <c r="HM12" s="517"/>
      <c r="HN12" s="517"/>
      <c r="HO12" s="517"/>
      <c r="HP12" s="517"/>
      <c r="HQ12" s="517"/>
      <c r="HR12" s="517"/>
      <c r="HS12" s="517"/>
      <c r="HT12" s="517"/>
      <c r="HU12" s="517"/>
      <c r="HV12" s="517"/>
      <c r="HW12" s="517"/>
      <c r="HX12" s="517"/>
      <c r="HY12" s="517"/>
      <c r="HZ12" s="517"/>
      <c r="IA12" s="517"/>
      <c r="IB12" s="517"/>
      <c r="IC12" s="517"/>
      <c r="ID12" s="517"/>
      <c r="IE12" s="517"/>
      <c r="IF12" s="517"/>
      <c r="IG12" s="517"/>
      <c r="IH12" s="517"/>
      <c r="II12" s="517"/>
      <c r="IJ12" s="517"/>
      <c r="IK12" s="517"/>
      <c r="IL12" s="517"/>
      <c r="IM12" s="517"/>
      <c r="IN12" s="517"/>
      <c r="IO12" s="517"/>
      <c r="IP12" s="517"/>
      <c r="IQ12" s="517"/>
      <c r="IR12" s="517"/>
      <c r="IS12" s="517"/>
      <c r="IT12" s="517"/>
      <c r="IU12" s="517"/>
      <c r="IV12" s="517"/>
      <c r="IW12" s="517"/>
      <c r="IX12" s="517"/>
      <c r="IY12" s="517"/>
      <c r="IZ12" s="517"/>
      <c r="JA12" s="517"/>
      <c r="JB12" s="517"/>
      <c r="JC12" s="517"/>
      <c r="JD12" s="517"/>
      <c r="JE12" s="517"/>
      <c r="JF12" s="517"/>
      <c r="JG12" s="517"/>
      <c r="JH12" s="517"/>
      <c r="JI12" s="517"/>
      <c r="JJ12" s="517"/>
      <c r="JK12" s="517"/>
      <c r="JL12" s="517"/>
      <c r="JM12" s="517"/>
      <c r="JN12" s="517"/>
      <c r="JO12" s="517"/>
      <c r="JP12" s="517"/>
      <c r="JQ12" s="517"/>
      <c r="JR12" s="517"/>
      <c r="JS12" s="517"/>
      <c r="JT12" s="517"/>
      <c r="JU12" s="517"/>
      <c r="JV12" s="517"/>
      <c r="JW12" s="517"/>
      <c r="JX12" s="517"/>
      <c r="JY12" s="517"/>
      <c r="JZ12" s="517"/>
      <c r="KA12" s="517"/>
      <c r="KB12" s="517"/>
      <c r="KC12" s="517"/>
      <c r="KD12" s="517"/>
      <c r="KE12" s="517"/>
      <c r="KF12" s="517"/>
      <c r="KG12" s="517"/>
      <c r="KH12" s="517"/>
      <c r="KI12" s="517"/>
      <c r="KJ12" s="517"/>
      <c r="KK12" s="517"/>
      <c r="KL12" s="517"/>
      <c r="KM12" s="517"/>
      <c r="KN12" s="517"/>
      <c r="KO12" s="517"/>
      <c r="KP12" s="517"/>
      <c r="KQ12" s="517"/>
      <c r="KR12" s="517"/>
      <c r="KS12" s="517"/>
      <c r="KT12" s="517"/>
      <c r="KU12" s="517"/>
      <c r="KV12" s="517"/>
      <c r="KW12" s="517"/>
      <c r="KX12" s="517"/>
      <c r="KY12" s="517"/>
      <c r="KZ12" s="517"/>
      <c r="LA12" s="517"/>
      <c r="LB12" s="517"/>
      <c r="LC12" s="517"/>
      <c r="LD12" s="517"/>
      <c r="LE12" s="517"/>
      <c r="LF12" s="517"/>
      <c r="LG12" s="517"/>
      <c r="LH12" s="517"/>
      <c r="LI12" s="517"/>
      <c r="LJ12" s="517"/>
      <c r="LK12" s="517"/>
      <c r="LL12" s="517"/>
      <c r="LM12" s="517"/>
      <c r="LN12" s="517"/>
      <c r="LO12" s="517"/>
      <c r="LP12" s="517"/>
      <c r="LQ12" s="517"/>
      <c r="LR12" s="517"/>
      <c r="LS12" s="517"/>
      <c r="LT12" s="517"/>
      <c r="LU12" s="517"/>
      <c r="LV12" s="517"/>
      <c r="LW12" s="517"/>
      <c r="LX12" s="517"/>
      <c r="LY12" s="517"/>
      <c r="LZ12" s="517"/>
      <c r="MA12" s="517"/>
      <c r="MB12" s="517"/>
      <c r="MC12" s="517"/>
      <c r="MD12" s="517"/>
      <c r="ME12" s="517"/>
      <c r="MF12" s="517"/>
      <c r="MG12" s="517"/>
      <c r="MH12" s="517"/>
      <c r="MI12" s="517"/>
      <c r="MJ12" s="517"/>
      <c r="MK12" s="517"/>
      <c r="ML12" s="517"/>
      <c r="MM12" s="517"/>
      <c r="MN12" s="517"/>
      <c r="MO12" s="517"/>
      <c r="MP12" s="517"/>
      <c r="MQ12" s="517"/>
      <c r="MR12" s="517"/>
      <c r="MS12" s="517"/>
      <c r="MT12" s="517"/>
      <c r="MU12" s="517"/>
      <c r="MV12" s="517"/>
      <c r="MW12" s="517"/>
      <c r="MX12" s="517"/>
      <c r="MY12" s="517"/>
      <c r="MZ12" s="517"/>
      <c r="NA12" s="517"/>
      <c r="NB12" s="517"/>
      <c r="NC12" s="517"/>
      <c r="ND12" s="517"/>
      <c r="NE12" s="517"/>
      <c r="NF12" s="517"/>
      <c r="NG12" s="517"/>
      <c r="NH12" s="517"/>
      <c r="NI12" s="517"/>
      <c r="NJ12" s="517"/>
      <c r="NK12" s="517"/>
      <c r="NL12" s="517"/>
      <c r="NM12" s="517"/>
      <c r="NN12" s="517"/>
      <c r="NO12" s="517"/>
      <c r="NP12" s="517"/>
      <c r="NQ12" s="517"/>
      <c r="NR12" s="517"/>
      <c r="NS12" s="517"/>
      <c r="NT12" s="517"/>
      <c r="NU12" s="517"/>
      <c r="NV12" s="517"/>
      <c r="NW12" s="517"/>
      <c r="NX12" s="517"/>
      <c r="NY12" s="517"/>
      <c r="NZ12" s="517"/>
      <c r="OA12" s="517"/>
      <c r="OB12" s="517"/>
      <c r="OC12" s="517"/>
      <c r="OD12" s="517"/>
      <c r="OE12" s="517"/>
      <c r="OF12" s="517"/>
      <c r="OG12" s="517"/>
      <c r="OH12" s="517"/>
      <c r="OI12" s="517"/>
      <c r="OJ12" s="517"/>
      <c r="OK12" s="517"/>
      <c r="OL12" s="517"/>
      <c r="OM12" s="517"/>
      <c r="ON12" s="517"/>
      <c r="OO12" s="517"/>
      <c r="OP12" s="517"/>
      <c r="OQ12" s="517"/>
      <c r="OR12" s="517"/>
      <c r="OS12" s="517"/>
      <c r="OT12" s="517"/>
      <c r="OU12" s="517"/>
      <c r="OV12" s="517"/>
      <c r="OW12" s="517"/>
      <c r="OX12" s="517"/>
      <c r="OY12" s="517"/>
      <c r="OZ12" s="517"/>
      <c r="PA12" s="517"/>
      <c r="PB12" s="517"/>
      <c r="PC12" s="517"/>
      <c r="PD12" s="517"/>
      <c r="PE12" s="517"/>
      <c r="PF12" s="517"/>
      <c r="PG12" s="517"/>
      <c r="PH12" s="517"/>
      <c r="PI12" s="517"/>
      <c r="PJ12" s="517"/>
      <c r="PK12" s="517"/>
      <c r="PL12" s="517"/>
      <c r="PM12" s="517"/>
      <c r="PN12" s="517"/>
      <c r="PO12" s="517"/>
      <c r="PP12" s="517"/>
      <c r="PQ12" s="517"/>
      <c r="PR12" s="517"/>
      <c r="PS12" s="517"/>
      <c r="PT12" s="517"/>
      <c r="PU12" s="517"/>
      <c r="PV12" s="517"/>
      <c r="PW12" s="517"/>
      <c r="PX12" s="517"/>
      <c r="PY12" s="517"/>
      <c r="PZ12" s="517"/>
      <c r="QA12" s="517"/>
      <c r="QB12" s="517"/>
      <c r="QC12" s="517"/>
      <c r="QD12" s="517"/>
      <c r="QE12" s="517"/>
      <c r="QF12" s="517"/>
      <c r="QG12" s="517"/>
      <c r="QH12" s="517"/>
      <c r="QI12" s="517"/>
      <c r="QJ12" s="517"/>
      <c r="QK12" s="517"/>
      <c r="QL12" s="517"/>
      <c r="QM12" s="517"/>
      <c r="QN12" s="517"/>
      <c r="QO12" s="517"/>
      <c r="QP12" s="517"/>
      <c r="QQ12" s="517"/>
      <c r="QR12" s="517"/>
      <c r="QS12" s="517"/>
      <c r="QT12" s="517"/>
      <c r="QU12" s="517"/>
      <c r="QV12" s="517"/>
      <c r="QW12" s="517"/>
      <c r="QX12" s="517"/>
      <c r="QY12" s="517"/>
      <c r="QZ12" s="517"/>
      <c r="RA12" s="517"/>
      <c r="RB12" s="517"/>
      <c r="RC12" s="517"/>
      <c r="RD12" s="517"/>
      <c r="RE12" s="517"/>
      <c r="RF12" s="517"/>
      <c r="RG12" s="517"/>
      <c r="RH12" s="517"/>
      <c r="RI12" s="517"/>
      <c r="RJ12" s="517"/>
      <c r="RK12" s="517"/>
      <c r="RL12" s="517"/>
      <c r="RM12" s="517"/>
      <c r="RN12" s="517"/>
      <c r="RO12" s="517"/>
      <c r="RP12" s="517"/>
      <c r="RQ12" s="517"/>
      <c r="RR12" s="517"/>
      <c r="RS12" s="517"/>
      <c r="RT12" s="517"/>
      <c r="RU12" s="517"/>
      <c r="RV12" s="517"/>
      <c r="RW12" s="517"/>
      <c r="RX12" s="517"/>
      <c r="RY12" s="517"/>
      <c r="RZ12" s="517"/>
      <c r="SA12" s="517"/>
      <c r="SB12" s="517"/>
      <c r="SC12" s="517"/>
      <c r="SD12" s="517"/>
      <c r="SE12" s="517"/>
      <c r="SF12" s="517"/>
      <c r="SG12" s="517"/>
      <c r="SH12" s="517"/>
      <c r="SI12" s="517"/>
      <c r="SJ12" s="517"/>
      <c r="SK12" s="517"/>
      <c r="SL12" s="517"/>
      <c r="SM12" s="517"/>
      <c r="SN12" s="517"/>
      <c r="SO12" s="517"/>
      <c r="SP12" s="517"/>
      <c r="SQ12" s="517"/>
      <c r="SR12" s="517"/>
      <c r="SS12" s="517"/>
      <c r="ST12" s="517"/>
      <c r="SU12" s="517"/>
      <c r="SV12" s="517"/>
      <c r="SW12" s="517"/>
      <c r="SX12" s="517"/>
      <c r="SY12" s="517"/>
      <c r="SZ12" s="517"/>
      <c r="TA12" s="517"/>
      <c r="TB12" s="517"/>
      <c r="TC12" s="517"/>
      <c r="TD12" s="517"/>
      <c r="TE12" s="517"/>
      <c r="TF12" s="517"/>
      <c r="TG12" s="517"/>
      <c r="TH12" s="517"/>
      <c r="TI12" s="517"/>
      <c r="TJ12" s="517"/>
      <c r="TK12" s="517"/>
      <c r="TL12" s="517"/>
      <c r="TM12" s="517"/>
      <c r="TN12" s="517"/>
      <c r="TO12" s="517"/>
      <c r="TP12" s="517"/>
      <c r="TQ12" s="517"/>
      <c r="TR12" s="517"/>
      <c r="TS12" s="517"/>
      <c r="TT12" s="517"/>
      <c r="TU12" s="517"/>
      <c r="TV12" s="517"/>
      <c r="TW12" s="517"/>
      <c r="TX12" s="517"/>
      <c r="TY12" s="517"/>
      <c r="TZ12" s="517"/>
      <c r="UA12" s="517"/>
      <c r="UB12" s="517"/>
      <c r="UC12" s="517"/>
      <c r="UD12" s="517"/>
      <c r="UE12" s="517"/>
      <c r="UF12" s="517"/>
      <c r="UG12" s="517"/>
      <c r="UH12" s="517"/>
      <c r="UI12" s="517"/>
      <c r="UJ12" s="517"/>
      <c r="UK12" s="517"/>
      <c r="UL12" s="517"/>
      <c r="UM12" s="517"/>
      <c r="UN12" s="517"/>
      <c r="UO12" s="517"/>
      <c r="UP12" s="517"/>
      <c r="UQ12" s="517"/>
      <c r="UR12" s="517"/>
      <c r="US12" s="517"/>
      <c r="UT12" s="517"/>
      <c r="UU12" s="517"/>
      <c r="UV12" s="517"/>
      <c r="UW12" s="517"/>
      <c r="UX12" s="517"/>
      <c r="UY12" s="517"/>
      <c r="UZ12" s="517"/>
      <c r="VA12" s="517"/>
      <c r="VB12" s="517"/>
      <c r="VC12" s="517"/>
      <c r="VD12" s="517"/>
      <c r="VE12" s="517"/>
      <c r="VF12" s="517"/>
      <c r="VG12" s="517"/>
      <c r="VH12" s="517"/>
      <c r="VI12" s="517"/>
      <c r="VJ12" s="517"/>
      <c r="VK12" s="517"/>
      <c r="VL12" s="517"/>
      <c r="VM12" s="517"/>
      <c r="VN12" s="517"/>
      <c r="VO12" s="517"/>
      <c r="VP12" s="517"/>
      <c r="VQ12" s="517"/>
      <c r="VR12" s="517"/>
      <c r="VS12" s="517"/>
      <c r="VT12" s="517"/>
      <c r="VU12" s="517"/>
      <c r="VV12" s="517"/>
      <c r="VW12" s="517"/>
      <c r="VX12" s="517"/>
      <c r="VY12" s="517"/>
      <c r="VZ12" s="517"/>
      <c r="WA12" s="517"/>
      <c r="WB12" s="517"/>
      <c r="WC12" s="517"/>
      <c r="WD12" s="517"/>
      <c r="WE12" s="517"/>
      <c r="WF12" s="517"/>
      <c r="WG12" s="517"/>
      <c r="WH12" s="517"/>
      <c r="WI12" s="517"/>
      <c r="WJ12" s="517"/>
      <c r="WK12" s="517"/>
      <c r="WL12" s="517"/>
      <c r="WM12" s="517"/>
      <c r="WN12" s="517"/>
      <c r="WO12" s="517"/>
      <c r="WP12" s="517"/>
      <c r="WQ12" s="517"/>
      <c r="WR12" s="517"/>
      <c r="WS12" s="517"/>
      <c r="WT12" s="517"/>
      <c r="WU12" s="517"/>
      <c r="WV12" s="517"/>
      <c r="WW12" s="517"/>
      <c r="WX12" s="517"/>
      <c r="WY12" s="517"/>
      <c r="WZ12" s="517"/>
      <c r="XA12" s="517"/>
      <c r="XB12" s="517"/>
      <c r="XC12" s="517"/>
      <c r="XD12" s="517"/>
      <c r="XE12" s="517"/>
      <c r="XF12" s="517"/>
      <c r="XG12" s="517"/>
      <c r="XH12" s="517"/>
      <c r="XI12" s="517"/>
      <c r="XJ12" s="517"/>
      <c r="XK12" s="517"/>
      <c r="XL12" s="517"/>
      <c r="XM12" s="517"/>
      <c r="XN12" s="517"/>
      <c r="XO12" s="517"/>
      <c r="XP12" s="517"/>
      <c r="XQ12" s="517"/>
      <c r="XR12" s="517"/>
      <c r="XS12" s="517"/>
      <c r="XT12" s="517"/>
      <c r="XU12" s="517"/>
      <c r="XV12" s="517"/>
      <c r="XW12" s="517"/>
      <c r="XX12" s="517"/>
      <c r="XY12" s="517"/>
      <c r="XZ12" s="517"/>
      <c r="YA12" s="517"/>
      <c r="YB12" s="517"/>
      <c r="YC12" s="517"/>
      <c r="YD12" s="517"/>
      <c r="YE12" s="517"/>
      <c r="YF12" s="517"/>
      <c r="YG12" s="517"/>
      <c r="YH12" s="517"/>
      <c r="YI12" s="517"/>
      <c r="YJ12" s="517"/>
      <c r="YK12" s="517"/>
      <c r="YL12" s="517"/>
      <c r="YM12" s="517"/>
      <c r="YN12" s="517"/>
      <c r="YO12" s="517"/>
      <c r="YP12" s="517"/>
      <c r="YQ12" s="517"/>
      <c r="YR12" s="517"/>
      <c r="YS12" s="517"/>
      <c r="YT12" s="517"/>
      <c r="YU12" s="517"/>
      <c r="YV12" s="517"/>
      <c r="YW12" s="517"/>
      <c r="YX12" s="517"/>
      <c r="YY12" s="517"/>
      <c r="YZ12" s="517"/>
      <c r="ZA12" s="517"/>
      <c r="ZB12" s="517"/>
      <c r="ZC12" s="517"/>
      <c r="ZD12" s="517"/>
      <c r="ZE12" s="517"/>
      <c r="ZF12" s="517"/>
      <c r="ZG12" s="517"/>
      <c r="ZH12" s="517"/>
      <c r="ZI12" s="517"/>
      <c r="ZJ12" s="517"/>
      <c r="ZK12" s="517"/>
      <c r="ZL12" s="517"/>
      <c r="ZM12" s="517"/>
      <c r="ZN12" s="517"/>
      <c r="ZO12" s="517"/>
      <c r="ZP12" s="517"/>
      <c r="ZQ12" s="517"/>
      <c r="ZR12" s="517"/>
      <c r="ZS12" s="517"/>
      <c r="ZT12" s="517"/>
      <c r="ZU12" s="517"/>
      <c r="ZV12" s="517"/>
      <c r="ZW12" s="517"/>
      <c r="ZX12" s="517"/>
      <c r="ZY12" s="517"/>
      <c r="ZZ12" s="517"/>
      <c r="AAA12" s="517"/>
      <c r="AAB12" s="517"/>
      <c r="AAC12" s="517"/>
      <c r="AAD12" s="517"/>
      <c r="AAE12" s="517"/>
      <c r="AAF12" s="517"/>
      <c r="AAG12" s="517"/>
      <c r="AAH12" s="517"/>
      <c r="AAI12" s="517"/>
      <c r="AAJ12" s="517"/>
      <c r="AAK12" s="517"/>
      <c r="AAL12" s="517"/>
      <c r="AAM12" s="517"/>
      <c r="AAN12" s="517"/>
      <c r="AAO12" s="517"/>
      <c r="AAP12" s="517"/>
      <c r="AAQ12" s="517"/>
      <c r="AAR12" s="517"/>
      <c r="AAS12" s="517"/>
      <c r="AAT12" s="517"/>
      <c r="AAU12" s="517"/>
      <c r="AAV12" s="517"/>
      <c r="AAW12" s="517"/>
      <c r="AAX12" s="517"/>
      <c r="AAY12" s="517"/>
      <c r="AAZ12" s="517"/>
      <c r="ABA12" s="517"/>
      <c r="ABB12" s="517"/>
      <c r="ABC12" s="517"/>
      <c r="ABD12" s="517"/>
      <c r="ABE12" s="517"/>
      <c r="ABF12" s="517"/>
      <c r="ABG12" s="517"/>
      <c r="ABH12" s="517"/>
      <c r="ABI12" s="517"/>
      <c r="ABJ12" s="517"/>
      <c r="ABK12" s="517"/>
      <c r="ABL12" s="517"/>
      <c r="ABM12" s="517"/>
      <c r="ABN12" s="517"/>
      <c r="ABO12" s="517"/>
      <c r="ABP12" s="517"/>
      <c r="ABQ12" s="517"/>
      <c r="ABR12" s="517"/>
      <c r="ABS12" s="517"/>
      <c r="ABT12" s="517"/>
      <c r="ABU12" s="517"/>
      <c r="ABV12" s="517"/>
      <c r="ABW12" s="517"/>
      <c r="ABX12" s="517"/>
      <c r="ABY12" s="517"/>
      <c r="ABZ12" s="517"/>
      <c r="ACA12" s="517"/>
      <c r="ACB12" s="517"/>
      <c r="ACC12" s="517"/>
      <c r="ACD12" s="517"/>
      <c r="ACE12" s="517"/>
      <c r="ACF12" s="517"/>
      <c r="ACG12" s="517"/>
      <c r="ACH12" s="517"/>
      <c r="ACI12" s="517"/>
      <c r="ACJ12" s="517"/>
      <c r="ACK12" s="517"/>
      <c r="ACL12" s="517"/>
      <c r="ACM12" s="517"/>
      <c r="ACN12" s="517"/>
      <c r="ACO12" s="517"/>
      <c r="ACP12" s="517"/>
      <c r="ACQ12" s="517"/>
      <c r="ACR12" s="517"/>
      <c r="ACS12" s="517"/>
      <c r="ACT12" s="517"/>
      <c r="ACU12" s="517"/>
      <c r="ACV12" s="517"/>
      <c r="ACW12" s="517"/>
      <c r="ACX12" s="517"/>
      <c r="ACY12" s="517"/>
      <c r="ACZ12" s="517"/>
      <c r="ADA12" s="517"/>
      <c r="ADB12" s="517"/>
      <c r="ADC12" s="517"/>
      <c r="ADD12" s="517"/>
      <c r="ADE12" s="517"/>
      <c r="ADF12" s="517"/>
      <c r="ADG12" s="517"/>
      <c r="ADH12" s="517"/>
      <c r="ADI12" s="517"/>
      <c r="ADJ12" s="517"/>
      <c r="ADK12" s="517"/>
      <c r="ADL12" s="517"/>
      <c r="ADM12" s="517"/>
      <c r="ADN12" s="517"/>
      <c r="ADO12" s="517"/>
      <c r="ADP12" s="517"/>
      <c r="ADQ12" s="517"/>
      <c r="ADR12" s="517"/>
      <c r="ADS12" s="517"/>
      <c r="ADT12" s="517"/>
      <c r="ADU12" s="517"/>
      <c r="ADV12" s="517"/>
      <c r="ADW12" s="517"/>
      <c r="ADX12" s="517"/>
      <c r="ADY12" s="517"/>
      <c r="ADZ12" s="517"/>
      <c r="AEA12" s="517"/>
      <c r="AEB12" s="517"/>
      <c r="AEC12" s="517"/>
      <c r="AED12" s="517"/>
      <c r="AEE12" s="517"/>
      <c r="AEF12" s="517"/>
      <c r="AEG12" s="517"/>
      <c r="AEH12" s="517"/>
      <c r="AEI12" s="517"/>
      <c r="AEJ12" s="517"/>
      <c r="AEK12" s="517"/>
      <c r="AEL12" s="517"/>
      <c r="AEM12" s="517"/>
      <c r="AEN12" s="517"/>
      <c r="AEO12" s="517"/>
      <c r="AEP12" s="517"/>
      <c r="AEQ12" s="517"/>
      <c r="AER12" s="517"/>
      <c r="AES12" s="517"/>
      <c r="AET12" s="517"/>
      <c r="AEU12" s="517"/>
      <c r="AEV12" s="517"/>
      <c r="AEW12" s="517"/>
      <c r="AEX12" s="517"/>
      <c r="AEY12" s="517"/>
      <c r="AEZ12" s="517"/>
      <c r="AFA12" s="517"/>
      <c r="AFB12" s="517"/>
      <c r="AFC12" s="517"/>
      <c r="AFD12" s="517"/>
      <c r="AFE12" s="517"/>
      <c r="AFF12" s="517"/>
      <c r="AFG12" s="517"/>
      <c r="AFH12" s="517"/>
      <c r="AFI12" s="517"/>
      <c r="AFJ12" s="517"/>
      <c r="AFK12" s="517"/>
      <c r="AFL12" s="517"/>
      <c r="AFM12" s="517"/>
      <c r="AFN12" s="517"/>
      <c r="AFO12" s="517"/>
      <c r="AFP12" s="517"/>
      <c r="AFQ12" s="517"/>
      <c r="AFR12" s="517"/>
      <c r="AFS12" s="517"/>
      <c r="AFT12" s="517"/>
      <c r="AFU12" s="517"/>
      <c r="AFV12" s="517"/>
      <c r="AFW12" s="517"/>
      <c r="AFX12" s="517"/>
      <c r="AFY12" s="517"/>
      <c r="AFZ12" s="517"/>
      <c r="AGA12" s="517"/>
      <c r="AGB12" s="517"/>
      <c r="AGC12" s="517"/>
      <c r="AGD12" s="517"/>
      <c r="AGE12" s="517"/>
      <c r="AGF12" s="517"/>
      <c r="AGG12" s="517"/>
      <c r="AGH12" s="517"/>
      <c r="AGI12" s="517"/>
      <c r="AGJ12" s="517"/>
      <c r="AGK12" s="517"/>
      <c r="AGL12" s="517"/>
      <c r="AGM12" s="517"/>
      <c r="AGN12" s="517"/>
      <c r="AGO12" s="517"/>
      <c r="AGP12" s="517"/>
      <c r="AGQ12" s="517"/>
      <c r="AGR12" s="517"/>
      <c r="AGS12" s="517"/>
      <c r="AGT12" s="517"/>
      <c r="AGU12" s="517"/>
      <c r="AGV12" s="517"/>
      <c r="AGW12" s="517"/>
      <c r="AGX12" s="517"/>
      <c r="AGY12" s="517"/>
      <c r="AGZ12" s="517"/>
      <c r="AHA12" s="517"/>
      <c r="AHB12" s="517"/>
      <c r="AHC12" s="517"/>
      <c r="AHD12" s="517"/>
      <c r="AHE12" s="517"/>
      <c r="AHF12" s="517"/>
      <c r="AHG12" s="517"/>
      <c r="AHH12" s="517"/>
      <c r="AHI12" s="517"/>
      <c r="AHJ12" s="517"/>
      <c r="AHK12" s="517"/>
      <c r="AHL12" s="517"/>
      <c r="AHM12" s="517"/>
      <c r="AHN12" s="517"/>
      <c r="AHO12" s="517"/>
      <c r="AHP12" s="517"/>
      <c r="AHQ12" s="517"/>
      <c r="AHR12" s="517"/>
      <c r="AHS12" s="517"/>
      <c r="AHT12" s="517"/>
      <c r="AHU12" s="517"/>
      <c r="AHV12" s="517"/>
      <c r="AHW12" s="517"/>
      <c r="AHX12" s="517"/>
      <c r="AHY12" s="517"/>
      <c r="AHZ12" s="517"/>
      <c r="AIA12" s="517"/>
      <c r="AIB12" s="517"/>
      <c r="AIC12" s="517"/>
      <c r="AID12" s="517"/>
      <c r="AIE12" s="517"/>
      <c r="AIF12" s="517"/>
      <c r="AIG12" s="517"/>
      <c r="AIH12" s="517"/>
      <c r="AII12" s="517"/>
      <c r="AIJ12" s="517"/>
      <c r="AIK12" s="517"/>
      <c r="AIL12" s="517"/>
      <c r="AIM12" s="517"/>
      <c r="AIN12" s="517"/>
      <c r="AIO12" s="517"/>
      <c r="AIP12" s="517"/>
      <c r="AIQ12" s="517"/>
      <c r="AIR12" s="517"/>
      <c r="AIS12" s="517"/>
      <c r="AIT12" s="517"/>
      <c r="AIU12" s="517"/>
      <c r="AIV12" s="517"/>
      <c r="AIW12" s="517"/>
      <c r="AIX12" s="517"/>
      <c r="AIY12" s="517"/>
      <c r="AIZ12" s="517"/>
      <c r="AJA12" s="517"/>
      <c r="AJB12" s="517"/>
      <c r="AJC12" s="517"/>
      <c r="AJD12" s="517"/>
      <c r="AJE12" s="517"/>
      <c r="AJF12" s="517"/>
      <c r="AJG12" s="517"/>
      <c r="AJH12" s="517"/>
      <c r="AJI12" s="517"/>
      <c r="AJJ12" s="517"/>
      <c r="AJK12" s="517"/>
      <c r="AJL12" s="517"/>
      <c r="AJM12" s="517"/>
      <c r="AJN12" s="517"/>
      <c r="AJO12" s="517"/>
      <c r="AJP12" s="517"/>
      <c r="AJQ12" s="517"/>
      <c r="AJR12" s="517"/>
      <c r="AJS12" s="517"/>
      <c r="AJT12" s="517"/>
      <c r="AJU12" s="517"/>
      <c r="AJV12" s="517"/>
      <c r="AJW12" s="517"/>
      <c r="AJX12" s="517"/>
      <c r="AJY12" s="517"/>
      <c r="AJZ12" s="517"/>
      <c r="AKA12" s="517"/>
      <c r="AKB12" s="517"/>
      <c r="AKC12" s="517"/>
      <c r="AKD12" s="517"/>
      <c r="AKE12" s="517"/>
      <c r="AKF12" s="517"/>
      <c r="AKG12" s="517"/>
      <c r="AKH12" s="517"/>
      <c r="AKI12" s="517"/>
      <c r="AKJ12" s="517"/>
      <c r="AKK12" s="517"/>
      <c r="AKL12" s="517"/>
      <c r="AKM12" s="517"/>
      <c r="AKN12" s="517"/>
      <c r="AKO12" s="517"/>
      <c r="AKP12" s="517"/>
      <c r="AKQ12" s="517"/>
      <c r="AKR12" s="517"/>
      <c r="AKS12" s="517"/>
      <c r="AKT12" s="517"/>
      <c r="AKU12" s="517"/>
      <c r="AKV12" s="517"/>
      <c r="AKW12" s="517"/>
      <c r="AKX12" s="517"/>
      <c r="AKY12" s="517"/>
      <c r="AKZ12" s="517"/>
      <c r="ALA12" s="517"/>
      <c r="ALB12" s="517"/>
      <c r="ALC12" s="517"/>
      <c r="ALD12" s="517"/>
      <c r="ALE12" s="517"/>
      <c r="ALF12" s="517"/>
      <c r="ALG12" s="517"/>
      <c r="ALH12" s="517"/>
      <c r="ALI12" s="517"/>
      <c r="ALJ12" s="517"/>
      <c r="ALK12" s="517"/>
      <c r="ALL12" s="517"/>
      <c r="ALM12" s="517"/>
      <c r="ALN12" s="517"/>
      <c r="ALO12" s="517"/>
      <c r="ALP12" s="517"/>
      <c r="ALQ12" s="517"/>
      <c r="ALR12" s="517"/>
      <c r="ALS12" s="517"/>
      <c r="ALT12" s="517"/>
      <c r="ALU12" s="517"/>
      <c r="ALV12" s="517"/>
      <c r="ALW12" s="517"/>
      <c r="ALX12" s="517"/>
      <c r="ALY12" s="517"/>
      <c r="ALZ12" s="517"/>
      <c r="AMA12" s="517"/>
      <c r="AMB12" s="517"/>
      <c r="AMC12" s="517"/>
      <c r="AMD12" s="517"/>
      <c r="AME12" s="517"/>
      <c r="AMF12" s="517"/>
      <c r="AMG12" s="517"/>
      <c r="AMH12" s="517"/>
      <c r="AMI12" s="517"/>
      <c r="AMJ12" s="517"/>
      <c r="AMK12" s="517"/>
      <c r="AML12" s="517"/>
      <c r="AMM12" s="517"/>
      <c r="AMN12" s="517"/>
      <c r="AMO12" s="517"/>
      <c r="AMP12" s="517"/>
      <c r="AMQ12" s="517"/>
      <c r="AMR12" s="517"/>
      <c r="AMS12" s="517"/>
      <c r="AMT12" s="517"/>
      <c r="AMU12" s="517"/>
      <c r="AMV12" s="517"/>
      <c r="AMW12" s="517"/>
      <c r="AMX12" s="517"/>
      <c r="AMY12" s="517"/>
      <c r="AMZ12" s="517"/>
      <c r="ANA12" s="517"/>
      <c r="ANB12" s="517"/>
      <c r="ANC12" s="517"/>
      <c r="AND12" s="517"/>
      <c r="ANE12" s="517"/>
      <c r="ANF12" s="517"/>
      <c r="ANG12" s="517"/>
      <c r="ANH12" s="517"/>
      <c r="ANI12" s="517"/>
      <c r="ANJ12" s="517"/>
      <c r="ANK12" s="517"/>
      <c r="ANL12" s="517"/>
      <c r="ANM12" s="517"/>
      <c r="ANN12" s="517"/>
      <c r="ANO12" s="517"/>
      <c r="ANP12" s="517"/>
      <c r="ANQ12" s="517"/>
      <c r="ANR12" s="517"/>
      <c r="ANS12" s="517"/>
      <c r="ANT12" s="517"/>
      <c r="ANU12" s="517"/>
      <c r="ANV12" s="517"/>
      <c r="ANW12" s="517"/>
      <c r="ANX12" s="517"/>
      <c r="ANY12" s="517"/>
      <c r="ANZ12" s="517"/>
      <c r="AOA12" s="517"/>
      <c r="AOB12" s="517"/>
      <c r="AOC12" s="517"/>
      <c r="AOD12" s="517"/>
      <c r="AOE12" s="517"/>
      <c r="AOF12" s="517"/>
      <c r="AOG12" s="517"/>
      <c r="AOH12" s="517"/>
      <c r="AOI12" s="517"/>
      <c r="AOJ12" s="517"/>
      <c r="AOK12" s="517"/>
      <c r="AOL12" s="517"/>
      <c r="AOM12" s="517"/>
      <c r="AON12" s="517"/>
      <c r="AOO12" s="517"/>
      <c r="AOP12" s="517"/>
      <c r="AOQ12" s="517"/>
      <c r="AOR12" s="517"/>
      <c r="AOS12" s="517"/>
      <c r="AOT12" s="517"/>
      <c r="AOU12" s="517"/>
      <c r="AOV12" s="517"/>
      <c r="AOW12" s="517"/>
      <c r="AOX12" s="517"/>
      <c r="AOY12" s="517"/>
      <c r="AOZ12" s="517"/>
      <c r="APA12" s="517"/>
      <c r="APB12" s="517"/>
      <c r="APC12" s="517"/>
      <c r="APD12" s="517"/>
      <c r="APE12" s="517"/>
      <c r="APF12" s="517"/>
      <c r="APG12" s="517"/>
      <c r="APH12" s="517"/>
      <c r="API12" s="517"/>
      <c r="APJ12" s="517"/>
      <c r="APK12" s="517"/>
      <c r="APL12" s="517"/>
      <c r="APM12" s="517"/>
      <c r="APN12" s="517"/>
      <c r="APO12" s="517"/>
      <c r="APP12" s="517"/>
      <c r="APQ12" s="517"/>
      <c r="APR12" s="517"/>
      <c r="APS12" s="517"/>
      <c r="APT12" s="517"/>
      <c r="APU12" s="517"/>
      <c r="APV12" s="517"/>
      <c r="APW12" s="517"/>
      <c r="APX12" s="517"/>
      <c r="APY12" s="517"/>
      <c r="APZ12" s="517"/>
      <c r="AQA12" s="517"/>
      <c r="AQB12" s="517"/>
      <c r="AQC12" s="517"/>
      <c r="AQD12" s="517"/>
      <c r="AQE12" s="517"/>
      <c r="AQF12" s="517"/>
      <c r="AQG12" s="517"/>
      <c r="AQH12" s="517"/>
      <c r="AQI12" s="517"/>
      <c r="AQJ12" s="517"/>
      <c r="AQK12" s="517"/>
      <c r="AQL12" s="517"/>
      <c r="AQM12" s="517"/>
      <c r="AQN12" s="517"/>
      <c r="AQO12" s="517"/>
      <c r="AQP12" s="517"/>
      <c r="AQQ12" s="517"/>
      <c r="AQR12" s="517"/>
      <c r="AQS12" s="517"/>
      <c r="AQT12" s="517"/>
      <c r="AQU12" s="517"/>
      <c r="AQV12" s="517"/>
      <c r="AQW12" s="517"/>
      <c r="AQX12" s="517"/>
      <c r="AQY12" s="517"/>
      <c r="AQZ12" s="517"/>
      <c r="ARA12" s="517"/>
      <c r="ARB12" s="517"/>
      <c r="ARC12" s="517"/>
      <c r="ARD12" s="517"/>
      <c r="ARE12" s="517"/>
      <c r="ARF12" s="517"/>
      <c r="ARG12" s="517"/>
      <c r="ARH12" s="517"/>
      <c r="ARI12" s="517"/>
      <c r="ARJ12" s="517"/>
      <c r="ARK12" s="517"/>
      <c r="ARL12" s="517"/>
      <c r="ARM12" s="517"/>
      <c r="ARN12" s="517"/>
      <c r="ARO12" s="517"/>
      <c r="ARP12" s="517"/>
      <c r="ARQ12" s="517"/>
      <c r="ARR12" s="517"/>
      <c r="ARS12" s="517"/>
      <c r="ART12" s="517"/>
      <c r="ARU12" s="517"/>
      <c r="ARV12" s="517"/>
      <c r="ARW12" s="517"/>
      <c r="ARX12" s="517"/>
      <c r="ARY12" s="517"/>
      <c r="ARZ12" s="517"/>
      <c r="ASA12" s="517"/>
      <c r="ASB12" s="517"/>
      <c r="ASC12" s="517"/>
      <c r="ASD12" s="517"/>
      <c r="ASE12" s="517"/>
      <c r="ASF12" s="517"/>
      <c r="ASG12" s="517"/>
      <c r="ASH12" s="517"/>
      <c r="ASI12" s="517"/>
      <c r="ASJ12" s="517"/>
      <c r="ASK12" s="517"/>
      <c r="ASL12" s="517"/>
      <c r="ASM12" s="517"/>
      <c r="ASN12" s="517"/>
      <c r="ASO12" s="517"/>
      <c r="ASP12" s="517"/>
      <c r="ASQ12" s="517"/>
      <c r="ASR12" s="517"/>
      <c r="ASS12" s="517"/>
      <c r="AST12" s="517"/>
      <c r="ASU12" s="517"/>
      <c r="ASV12" s="517"/>
      <c r="ASW12" s="517"/>
      <c r="ASX12" s="517"/>
      <c r="ASY12" s="517"/>
      <c r="ASZ12" s="517"/>
      <c r="ATA12" s="517"/>
      <c r="ATB12" s="517"/>
      <c r="ATC12" s="517"/>
      <c r="ATD12" s="517"/>
      <c r="ATE12" s="517"/>
      <c r="ATF12" s="517"/>
      <c r="ATG12" s="517"/>
      <c r="ATH12" s="517"/>
      <c r="ATI12" s="517"/>
      <c r="ATJ12" s="517"/>
      <c r="ATK12" s="517"/>
      <c r="ATL12" s="517"/>
      <c r="ATM12" s="517"/>
      <c r="ATN12" s="517"/>
      <c r="ATO12" s="517"/>
      <c r="ATP12" s="517"/>
      <c r="ATQ12" s="517"/>
      <c r="ATR12" s="517"/>
      <c r="ATS12" s="517"/>
      <c r="ATT12" s="517"/>
      <c r="ATU12" s="517"/>
      <c r="ATV12" s="517"/>
      <c r="ATW12" s="517"/>
      <c r="ATX12" s="517"/>
      <c r="ATY12" s="517"/>
      <c r="ATZ12" s="517"/>
      <c r="AUA12" s="517"/>
      <c r="AUB12" s="517"/>
      <c r="AUC12" s="517"/>
      <c r="AUD12" s="517"/>
      <c r="AUE12" s="517"/>
      <c r="AUF12" s="517"/>
      <c r="AUG12" s="517"/>
      <c r="AUH12" s="517"/>
      <c r="AUI12" s="517"/>
      <c r="AUJ12" s="517"/>
      <c r="AUK12" s="517"/>
      <c r="AUL12" s="517"/>
      <c r="AUM12" s="517"/>
      <c r="AUN12" s="517"/>
      <c r="AUO12" s="517"/>
      <c r="AUP12" s="517"/>
      <c r="AUQ12" s="517"/>
      <c r="AUR12" s="517"/>
      <c r="AUS12" s="517"/>
      <c r="AUT12" s="517"/>
      <c r="AUU12" s="517"/>
      <c r="AUV12" s="517"/>
      <c r="AUW12" s="517"/>
      <c r="AUX12" s="517"/>
      <c r="AUY12" s="517"/>
      <c r="AUZ12" s="517"/>
      <c r="AVA12" s="517"/>
      <c r="AVB12" s="517"/>
      <c r="AVC12" s="517"/>
      <c r="AVD12" s="517"/>
      <c r="AVE12" s="517"/>
      <c r="AVF12" s="517"/>
      <c r="AVG12" s="517"/>
      <c r="AVH12" s="517"/>
      <c r="AVI12" s="517"/>
      <c r="AVJ12" s="517"/>
      <c r="AVK12" s="517"/>
      <c r="AVL12" s="517"/>
      <c r="AVM12" s="517"/>
      <c r="AVN12" s="517"/>
      <c r="AVO12" s="517"/>
      <c r="AVP12" s="517"/>
      <c r="AVQ12" s="517"/>
      <c r="AVR12" s="517"/>
      <c r="AVS12" s="517"/>
      <c r="AVT12" s="517"/>
      <c r="AVU12" s="517"/>
      <c r="AVV12" s="517"/>
      <c r="AVW12" s="517"/>
      <c r="AVX12" s="517"/>
      <c r="AVY12" s="517"/>
      <c r="AVZ12" s="517"/>
      <c r="AWA12" s="517"/>
      <c r="AWB12" s="517"/>
      <c r="AWC12" s="517"/>
      <c r="AWD12" s="517"/>
      <c r="AWE12" s="517"/>
      <c r="AWF12" s="517"/>
      <c r="AWG12" s="517"/>
      <c r="AWH12" s="517"/>
      <c r="AWI12" s="517"/>
      <c r="AWJ12" s="517"/>
      <c r="AWK12" s="517"/>
      <c r="AWL12" s="517"/>
      <c r="AWM12" s="517"/>
      <c r="AWN12" s="517"/>
      <c r="AWO12" s="517"/>
      <c r="AWP12" s="517"/>
      <c r="AWQ12" s="517"/>
      <c r="AWR12" s="517"/>
      <c r="AWS12" s="517"/>
      <c r="AWT12" s="517"/>
      <c r="AWU12" s="517"/>
      <c r="AWV12" s="517"/>
      <c r="AWW12" s="517"/>
      <c r="AWX12" s="517"/>
      <c r="AWY12" s="517"/>
      <c r="AWZ12" s="517"/>
      <c r="AXA12" s="517"/>
      <c r="AXB12" s="517"/>
      <c r="AXC12" s="517"/>
      <c r="AXD12" s="517"/>
      <c r="AXE12" s="517"/>
      <c r="AXF12" s="517"/>
      <c r="AXG12" s="517"/>
      <c r="AXH12" s="517"/>
      <c r="AXI12" s="517"/>
      <c r="AXJ12" s="517"/>
      <c r="AXK12" s="517"/>
      <c r="AXL12" s="517"/>
      <c r="AXM12" s="517"/>
      <c r="AXN12" s="517"/>
      <c r="AXO12" s="517"/>
      <c r="AXP12" s="517"/>
      <c r="AXQ12" s="517"/>
      <c r="AXR12" s="517"/>
      <c r="AXS12" s="517"/>
      <c r="AXT12" s="517"/>
      <c r="AXU12" s="517"/>
      <c r="AXV12" s="517"/>
      <c r="AXW12" s="517"/>
      <c r="AXX12" s="517"/>
      <c r="AXY12" s="517"/>
      <c r="AXZ12" s="517"/>
      <c r="AYA12" s="517"/>
      <c r="AYB12" s="517"/>
      <c r="AYC12" s="517"/>
      <c r="AYD12" s="517"/>
      <c r="AYE12" s="517"/>
      <c r="AYF12" s="517"/>
      <c r="AYG12" s="517"/>
      <c r="AYH12" s="517"/>
      <c r="AYI12" s="517"/>
      <c r="AYJ12" s="517"/>
      <c r="AYK12" s="517"/>
      <c r="AYL12" s="517"/>
      <c r="AYM12" s="517"/>
      <c r="AYN12" s="517"/>
      <c r="AYO12" s="517"/>
      <c r="AYP12" s="517"/>
      <c r="AYQ12" s="517"/>
      <c r="AYR12" s="517"/>
      <c r="AYS12" s="517"/>
      <c r="AYT12" s="517"/>
      <c r="AYU12" s="517"/>
      <c r="AYV12" s="517"/>
      <c r="AYW12" s="517"/>
      <c r="AYX12" s="517"/>
      <c r="AYY12" s="517"/>
      <c r="AYZ12" s="517"/>
      <c r="AZA12" s="517"/>
      <c r="AZB12" s="517"/>
      <c r="AZC12" s="517"/>
      <c r="AZD12" s="517"/>
      <c r="AZE12" s="517"/>
      <c r="AZF12" s="517"/>
      <c r="AZG12" s="517"/>
      <c r="AZH12" s="517"/>
      <c r="AZI12" s="517"/>
      <c r="AZJ12" s="517"/>
      <c r="AZK12" s="517"/>
      <c r="AZL12" s="517"/>
      <c r="AZM12" s="517"/>
      <c r="AZN12" s="517"/>
      <c r="AZO12" s="517"/>
      <c r="AZP12" s="517"/>
      <c r="AZQ12" s="517"/>
      <c r="AZR12" s="517"/>
      <c r="AZS12" s="517"/>
      <c r="AZT12" s="517"/>
      <c r="AZU12" s="517"/>
      <c r="AZV12" s="517"/>
      <c r="AZW12" s="517"/>
      <c r="AZX12" s="517"/>
      <c r="AZY12" s="517"/>
      <c r="AZZ12" s="517"/>
      <c r="BAA12" s="517"/>
      <c r="BAB12" s="517"/>
      <c r="BAC12" s="517"/>
      <c r="BAD12" s="517"/>
      <c r="BAE12" s="517"/>
      <c r="BAF12" s="517"/>
      <c r="BAG12" s="517"/>
      <c r="BAH12" s="517"/>
      <c r="BAI12" s="517"/>
      <c r="BAJ12" s="517"/>
      <c r="BAK12" s="517"/>
      <c r="BAL12" s="517"/>
      <c r="BAM12" s="517"/>
      <c r="BAN12" s="517"/>
      <c r="BAO12" s="517"/>
      <c r="BAP12" s="517"/>
      <c r="BAQ12" s="517"/>
      <c r="BAR12" s="517"/>
      <c r="BAS12" s="517"/>
      <c r="BAT12" s="517"/>
      <c r="BAU12" s="517"/>
      <c r="BAV12" s="517"/>
      <c r="BAW12" s="517"/>
      <c r="BAX12" s="517"/>
      <c r="BAY12" s="517"/>
      <c r="BAZ12" s="517"/>
      <c r="BBA12" s="517"/>
      <c r="BBB12" s="517"/>
      <c r="BBC12" s="517"/>
      <c r="BBD12" s="517"/>
      <c r="BBE12" s="517"/>
      <c r="BBF12" s="517"/>
      <c r="BBG12" s="517"/>
      <c r="BBH12" s="517"/>
      <c r="BBI12" s="517"/>
      <c r="BBJ12" s="517"/>
      <c r="BBK12" s="517"/>
      <c r="BBL12" s="517"/>
      <c r="BBM12" s="517"/>
      <c r="BBN12" s="517"/>
      <c r="BBO12" s="517"/>
      <c r="BBP12" s="517"/>
      <c r="BBQ12" s="517"/>
      <c r="BBR12" s="517"/>
      <c r="BBS12" s="517"/>
      <c r="BBT12" s="517"/>
      <c r="BBU12" s="517"/>
      <c r="BBV12" s="517"/>
      <c r="BBW12" s="517"/>
      <c r="BBX12" s="517"/>
      <c r="BBY12" s="517"/>
      <c r="BBZ12" s="517"/>
      <c r="BCA12" s="517"/>
      <c r="BCB12" s="517"/>
      <c r="BCC12" s="517"/>
      <c r="BCD12" s="517"/>
      <c r="BCE12" s="517"/>
      <c r="BCF12" s="517"/>
      <c r="BCG12" s="517"/>
      <c r="BCH12" s="517"/>
      <c r="BCI12" s="517"/>
      <c r="BCJ12" s="517"/>
      <c r="BCK12" s="517"/>
      <c r="BCL12" s="517"/>
      <c r="BCM12" s="517"/>
      <c r="BCN12" s="517"/>
      <c r="BCO12" s="517"/>
      <c r="BCP12" s="517"/>
      <c r="BCQ12" s="517"/>
      <c r="BCR12" s="517"/>
      <c r="BCS12" s="517"/>
      <c r="BCT12" s="517"/>
      <c r="BCU12" s="517"/>
      <c r="BCV12" s="517"/>
      <c r="BCW12" s="517"/>
      <c r="BCX12" s="517"/>
      <c r="BCY12" s="517"/>
      <c r="BCZ12" s="517"/>
      <c r="BDA12" s="517"/>
      <c r="BDB12" s="517"/>
      <c r="BDC12" s="517"/>
      <c r="BDD12" s="517"/>
      <c r="BDE12" s="517"/>
      <c r="BDF12" s="517"/>
      <c r="BDG12" s="517"/>
      <c r="BDH12" s="517"/>
      <c r="BDI12" s="517"/>
      <c r="BDJ12" s="517"/>
      <c r="BDK12" s="517"/>
      <c r="BDL12" s="517"/>
      <c r="BDM12" s="517"/>
      <c r="BDN12" s="517"/>
      <c r="BDO12" s="517"/>
      <c r="BDP12" s="517"/>
      <c r="BDQ12" s="517"/>
      <c r="BDR12" s="517"/>
      <c r="BDS12" s="517"/>
      <c r="BDT12" s="517"/>
      <c r="BDU12" s="517"/>
      <c r="BDV12" s="517"/>
      <c r="BDW12" s="517"/>
      <c r="BDX12" s="517"/>
      <c r="BDY12" s="517"/>
      <c r="BDZ12" s="517"/>
      <c r="BEA12" s="517"/>
      <c r="BEB12" s="517"/>
      <c r="BEC12" s="517"/>
      <c r="BED12" s="517"/>
      <c r="BEE12" s="517"/>
      <c r="BEF12" s="517"/>
      <c r="BEG12" s="517"/>
      <c r="BEH12" s="517"/>
      <c r="BEI12" s="517"/>
      <c r="BEJ12" s="517"/>
      <c r="BEK12" s="517"/>
      <c r="BEL12" s="517"/>
      <c r="BEM12" s="517"/>
      <c r="BEN12" s="517"/>
      <c r="BEO12" s="517"/>
      <c r="BEP12" s="517"/>
      <c r="BEQ12" s="517"/>
      <c r="BER12" s="517"/>
      <c r="BES12" s="517"/>
      <c r="BET12" s="517"/>
      <c r="BEU12" s="517"/>
      <c r="BEV12" s="517"/>
      <c r="BEW12" s="517"/>
      <c r="BEX12" s="517"/>
      <c r="BEY12" s="517"/>
      <c r="BEZ12" s="517"/>
      <c r="BFA12" s="517"/>
      <c r="BFB12" s="517"/>
      <c r="BFC12" s="517"/>
      <c r="BFD12" s="517"/>
      <c r="BFE12" s="517"/>
      <c r="BFF12" s="517"/>
      <c r="BFG12" s="517"/>
      <c r="BFH12" s="517"/>
      <c r="BFI12" s="517"/>
      <c r="BFJ12" s="517"/>
      <c r="BFK12" s="517"/>
      <c r="BFL12" s="517"/>
      <c r="BFM12" s="517"/>
      <c r="BFN12" s="517"/>
      <c r="BFO12" s="517"/>
      <c r="BFP12" s="517"/>
      <c r="BFQ12" s="517"/>
      <c r="BFR12" s="517"/>
      <c r="BFS12" s="517"/>
      <c r="BFT12" s="517"/>
      <c r="BFU12" s="517"/>
      <c r="BFV12" s="517"/>
      <c r="BFW12" s="517"/>
      <c r="BFX12" s="517"/>
      <c r="BFY12" s="517"/>
      <c r="BFZ12" s="517"/>
      <c r="BGA12" s="517"/>
      <c r="BGB12" s="517"/>
      <c r="BGC12" s="517"/>
      <c r="BGD12" s="517"/>
      <c r="BGE12" s="517"/>
      <c r="BGF12" s="517"/>
      <c r="BGG12" s="517"/>
      <c r="BGH12" s="517"/>
      <c r="BGI12" s="517"/>
      <c r="BGJ12" s="517"/>
      <c r="BGK12" s="517"/>
      <c r="BGL12" s="517"/>
      <c r="BGM12" s="517"/>
      <c r="BGN12" s="517"/>
      <c r="BGO12" s="517"/>
      <c r="BGP12" s="517"/>
      <c r="BGQ12" s="517"/>
      <c r="BGR12" s="517"/>
      <c r="BGS12" s="517"/>
      <c r="BGT12" s="517"/>
      <c r="BGU12" s="517"/>
      <c r="BGV12" s="517"/>
      <c r="BGW12" s="517"/>
      <c r="BGX12" s="517"/>
      <c r="BGY12" s="517"/>
      <c r="BGZ12" s="517"/>
      <c r="BHA12" s="517"/>
      <c r="BHB12" s="517"/>
      <c r="BHC12" s="517"/>
      <c r="BHD12" s="517"/>
      <c r="BHE12" s="517"/>
      <c r="BHF12" s="517"/>
      <c r="BHG12" s="517"/>
      <c r="BHH12" s="517"/>
      <c r="BHI12" s="517"/>
      <c r="BHJ12" s="517"/>
      <c r="BHK12" s="517"/>
      <c r="BHL12" s="517"/>
      <c r="BHM12" s="517"/>
      <c r="BHN12" s="517"/>
      <c r="BHO12" s="517"/>
      <c r="BHP12" s="517"/>
      <c r="BHQ12" s="517"/>
      <c r="BHR12" s="517"/>
      <c r="BHS12" s="517"/>
      <c r="BHT12" s="517"/>
      <c r="BHU12" s="517"/>
      <c r="BHV12" s="517"/>
      <c r="BHW12" s="517"/>
      <c r="BHX12" s="517"/>
      <c r="BHY12" s="517"/>
      <c r="BHZ12" s="517"/>
      <c r="BIA12" s="517"/>
      <c r="BIB12" s="517"/>
      <c r="BIC12" s="517"/>
      <c r="BID12" s="517"/>
      <c r="BIE12" s="517"/>
      <c r="BIF12" s="517"/>
      <c r="BIG12" s="517"/>
      <c r="BIH12" s="517"/>
      <c r="BII12" s="517"/>
      <c r="BIJ12" s="517"/>
      <c r="BIK12" s="517"/>
      <c r="BIL12" s="517"/>
      <c r="BIM12" s="517"/>
      <c r="BIN12" s="517"/>
      <c r="BIO12" s="517"/>
      <c r="BIP12" s="517"/>
      <c r="BIQ12" s="517"/>
      <c r="BIR12" s="517"/>
      <c r="BIS12" s="517"/>
      <c r="BIT12" s="517"/>
      <c r="BIU12" s="517"/>
      <c r="BIV12" s="517"/>
      <c r="BIW12" s="517"/>
      <c r="BIX12" s="517"/>
      <c r="BIY12" s="517"/>
      <c r="BIZ12" s="517"/>
      <c r="BJA12" s="517"/>
      <c r="BJB12" s="517"/>
      <c r="BJC12" s="517"/>
      <c r="BJD12" s="517"/>
      <c r="BJE12" s="517"/>
      <c r="BJF12" s="517"/>
      <c r="BJG12" s="517"/>
      <c r="BJH12" s="517"/>
      <c r="BJI12" s="517"/>
      <c r="BJJ12" s="517"/>
      <c r="BJK12" s="517"/>
      <c r="BJL12" s="517"/>
      <c r="BJM12" s="517"/>
      <c r="BJN12" s="517"/>
      <c r="BJO12" s="517"/>
      <c r="BJP12" s="517"/>
      <c r="BJQ12" s="517"/>
      <c r="BJR12" s="517"/>
      <c r="BJS12" s="517"/>
      <c r="BJT12" s="517"/>
      <c r="BJU12" s="517"/>
      <c r="BJV12" s="517"/>
      <c r="BJW12" s="517"/>
      <c r="BJX12" s="517"/>
      <c r="BJY12" s="517"/>
      <c r="BJZ12" s="517"/>
      <c r="BKA12" s="517"/>
      <c r="BKB12" s="517"/>
      <c r="BKC12" s="517"/>
      <c r="BKD12" s="517"/>
      <c r="BKE12" s="517"/>
      <c r="BKF12" s="517"/>
      <c r="BKG12" s="517"/>
      <c r="BKH12" s="517"/>
      <c r="BKI12" s="517"/>
      <c r="BKJ12" s="517"/>
      <c r="BKK12" s="517"/>
      <c r="BKL12" s="517"/>
      <c r="BKM12" s="517"/>
      <c r="BKN12" s="517"/>
      <c r="BKO12" s="517"/>
      <c r="BKP12" s="517"/>
      <c r="BKQ12" s="517"/>
      <c r="BKR12" s="517"/>
      <c r="BKS12" s="517"/>
      <c r="BKT12" s="517"/>
      <c r="BKU12" s="517"/>
      <c r="BKV12" s="517"/>
      <c r="BKW12" s="517"/>
      <c r="BKX12" s="517"/>
      <c r="BKY12" s="517"/>
      <c r="BKZ12" s="517"/>
      <c r="BLA12" s="517"/>
      <c r="BLB12" s="517"/>
      <c r="BLC12" s="517"/>
      <c r="BLD12" s="517"/>
      <c r="BLE12" s="517"/>
      <c r="BLF12" s="517"/>
      <c r="BLG12" s="517"/>
      <c r="BLH12" s="517"/>
      <c r="BLI12" s="517"/>
      <c r="BLJ12" s="517"/>
      <c r="BLK12" s="517"/>
      <c r="BLL12" s="517"/>
      <c r="BLM12" s="517"/>
      <c r="BLN12" s="517"/>
      <c r="BLO12" s="517"/>
      <c r="BLP12" s="517"/>
      <c r="BLQ12" s="517"/>
      <c r="BLR12" s="517"/>
      <c r="BLS12" s="517"/>
      <c r="BLT12" s="517"/>
      <c r="BLU12" s="517"/>
      <c r="BLV12" s="517"/>
      <c r="BLW12" s="517"/>
      <c r="BLX12" s="517"/>
      <c r="BLY12" s="517"/>
      <c r="BLZ12" s="517"/>
      <c r="BMA12" s="517"/>
      <c r="BMB12" s="517"/>
      <c r="BMC12" s="517"/>
      <c r="BMD12" s="517"/>
      <c r="BME12" s="517"/>
      <c r="BMF12" s="517"/>
      <c r="BMG12" s="517"/>
      <c r="BMH12" s="517"/>
      <c r="BMI12" s="517"/>
      <c r="BMJ12" s="517"/>
      <c r="BMK12" s="517"/>
      <c r="BML12" s="517"/>
      <c r="BMM12" s="517"/>
      <c r="BMN12" s="517"/>
      <c r="BMO12" s="517"/>
      <c r="BMP12" s="517"/>
      <c r="BMQ12" s="517"/>
      <c r="BMR12" s="517"/>
      <c r="BMS12" s="517"/>
      <c r="BMT12" s="517"/>
      <c r="BMU12" s="517"/>
      <c r="BMV12" s="517"/>
      <c r="BMW12" s="517"/>
      <c r="BMX12" s="517"/>
      <c r="BMY12" s="517"/>
      <c r="BMZ12" s="517"/>
      <c r="BNA12" s="517"/>
      <c r="BNB12" s="517"/>
      <c r="BNC12" s="517"/>
      <c r="BND12" s="517"/>
      <c r="BNE12" s="517"/>
      <c r="BNF12" s="517"/>
      <c r="BNG12" s="517"/>
      <c r="BNH12" s="517"/>
      <c r="BNI12" s="517"/>
      <c r="BNJ12" s="517"/>
      <c r="BNK12" s="517"/>
      <c r="BNL12" s="517"/>
      <c r="BNM12" s="517"/>
      <c r="BNN12" s="517"/>
      <c r="BNO12" s="517"/>
      <c r="BNP12" s="517"/>
      <c r="BNQ12" s="517"/>
      <c r="BNR12" s="517"/>
      <c r="BNS12" s="517"/>
      <c r="BNT12" s="517"/>
      <c r="BNU12" s="517"/>
      <c r="BNV12" s="517"/>
      <c r="BNW12" s="517"/>
      <c r="BNX12" s="517"/>
      <c r="BNY12" s="517"/>
      <c r="BNZ12" s="517"/>
      <c r="BOA12" s="517"/>
      <c r="BOB12" s="517"/>
      <c r="BOC12" s="517"/>
      <c r="BOD12" s="517"/>
      <c r="BOE12" s="517"/>
      <c r="BOF12" s="517"/>
      <c r="BOG12" s="517"/>
      <c r="BOH12" s="517"/>
      <c r="BOI12" s="517"/>
      <c r="BOJ12" s="517"/>
      <c r="BOK12" s="517"/>
      <c r="BOL12" s="517"/>
      <c r="BOM12" s="517"/>
      <c r="BON12" s="517"/>
      <c r="BOO12" s="517"/>
      <c r="BOP12" s="517"/>
      <c r="BOQ12" s="517"/>
      <c r="BOR12" s="517"/>
      <c r="BOS12" s="517"/>
      <c r="BOT12" s="517"/>
      <c r="BOU12" s="517"/>
      <c r="BOV12" s="517"/>
      <c r="BOW12" s="517"/>
      <c r="BOX12" s="517"/>
      <c r="BOY12" s="517"/>
      <c r="BOZ12" s="517"/>
      <c r="BPA12" s="517"/>
      <c r="BPB12" s="517"/>
      <c r="BPC12" s="517"/>
      <c r="BPD12" s="517"/>
      <c r="BPE12" s="517"/>
      <c r="BPF12" s="517"/>
      <c r="BPG12" s="517"/>
      <c r="BPH12" s="517"/>
      <c r="BPI12" s="517"/>
      <c r="BPJ12" s="517"/>
      <c r="BPK12" s="517"/>
      <c r="BPL12" s="517"/>
      <c r="BPM12" s="517"/>
      <c r="BPN12" s="517"/>
      <c r="BPO12" s="517"/>
      <c r="BPP12" s="517"/>
      <c r="BPQ12" s="517"/>
      <c r="BPR12" s="517"/>
      <c r="BPS12" s="517"/>
      <c r="BPT12" s="517"/>
      <c r="BPU12" s="517"/>
      <c r="BPV12" s="517"/>
      <c r="BPW12" s="517"/>
      <c r="BPX12" s="517"/>
      <c r="BPY12" s="517"/>
      <c r="BPZ12" s="517"/>
      <c r="BQA12" s="517"/>
      <c r="BQB12" s="517"/>
      <c r="BQC12" s="517"/>
      <c r="BQD12" s="517"/>
      <c r="BQE12" s="517"/>
      <c r="BQF12" s="517"/>
      <c r="BQG12" s="517"/>
      <c r="BQH12" s="517"/>
      <c r="BQI12" s="517"/>
      <c r="BQJ12" s="517"/>
      <c r="BQK12" s="517"/>
      <c r="BQL12" s="517"/>
      <c r="BQM12" s="517"/>
      <c r="BQN12" s="517"/>
      <c r="BQO12" s="517"/>
      <c r="BQP12" s="517"/>
      <c r="BQQ12" s="517"/>
      <c r="BQR12" s="517"/>
      <c r="BQS12" s="517"/>
      <c r="BQT12" s="517"/>
      <c r="BQU12" s="517"/>
      <c r="BQV12" s="517"/>
      <c r="BQW12" s="517"/>
      <c r="BQX12" s="517"/>
      <c r="BQY12" s="517"/>
      <c r="BQZ12" s="517"/>
      <c r="BRA12" s="517"/>
      <c r="BRB12" s="517"/>
      <c r="BRC12" s="517"/>
      <c r="BRD12" s="517"/>
      <c r="BRE12" s="517"/>
      <c r="BRF12" s="517"/>
      <c r="BRG12" s="517"/>
      <c r="BRH12" s="517"/>
      <c r="BRI12" s="517"/>
      <c r="BRJ12" s="517"/>
      <c r="BRK12" s="517"/>
      <c r="BRL12" s="517"/>
      <c r="BRM12" s="517"/>
      <c r="BRN12" s="517"/>
      <c r="BRO12" s="517"/>
      <c r="BRP12" s="517"/>
      <c r="BRQ12" s="517"/>
      <c r="BRR12" s="517"/>
      <c r="BRS12" s="517"/>
      <c r="BRT12" s="517"/>
      <c r="BRU12" s="517"/>
      <c r="BRV12" s="517"/>
      <c r="BRW12" s="517"/>
      <c r="BRX12" s="517"/>
      <c r="BRY12" s="517"/>
      <c r="BRZ12" s="517"/>
      <c r="BSA12" s="517"/>
      <c r="BSB12" s="517"/>
      <c r="BSC12" s="517"/>
      <c r="BSD12" s="517"/>
      <c r="BSE12" s="517"/>
      <c r="BSF12" s="517"/>
      <c r="BSG12" s="517"/>
      <c r="BSH12" s="517"/>
      <c r="BSI12" s="517"/>
      <c r="BSJ12" s="517"/>
      <c r="BSK12" s="517"/>
      <c r="BSL12" s="517"/>
      <c r="BSM12" s="517"/>
      <c r="BSN12" s="517"/>
      <c r="BSO12" s="517"/>
      <c r="BSP12" s="517"/>
      <c r="BSQ12" s="517"/>
      <c r="BSR12" s="517"/>
      <c r="BSS12" s="517"/>
      <c r="BST12" s="517"/>
      <c r="BSU12" s="517"/>
      <c r="BSV12" s="517"/>
      <c r="BSW12" s="517"/>
      <c r="BSX12" s="517"/>
      <c r="BSY12" s="517"/>
      <c r="BSZ12" s="517"/>
      <c r="BTA12" s="517"/>
      <c r="BTB12" s="517"/>
      <c r="BTC12" s="517"/>
      <c r="BTD12" s="517"/>
      <c r="BTE12" s="517"/>
      <c r="BTF12" s="517"/>
      <c r="BTG12" s="517"/>
      <c r="BTH12" s="517"/>
      <c r="BTI12" s="517"/>
      <c r="BTJ12" s="517"/>
      <c r="BTK12" s="517"/>
      <c r="BTL12" s="517"/>
      <c r="BTM12" s="517"/>
      <c r="BTN12" s="517"/>
      <c r="BTO12" s="517"/>
      <c r="BTP12" s="517"/>
      <c r="BTQ12" s="517"/>
      <c r="BTR12" s="517"/>
      <c r="BTS12" s="517"/>
      <c r="BTT12" s="517"/>
      <c r="BTU12" s="517"/>
      <c r="BTV12" s="517"/>
      <c r="BTW12" s="517"/>
      <c r="BTX12" s="517"/>
      <c r="BTY12" s="517"/>
      <c r="BTZ12" s="517"/>
      <c r="BUA12" s="517"/>
      <c r="BUB12" s="517"/>
      <c r="BUC12" s="517"/>
      <c r="BUD12" s="517"/>
      <c r="BUE12" s="517"/>
      <c r="BUF12" s="517"/>
      <c r="BUG12" s="517"/>
      <c r="BUH12" s="517"/>
      <c r="BUI12" s="517"/>
      <c r="BUJ12" s="517"/>
      <c r="BUK12" s="517"/>
      <c r="BUL12" s="517"/>
      <c r="BUM12" s="517"/>
      <c r="BUN12" s="517"/>
      <c r="BUO12" s="517"/>
      <c r="BUP12" s="517"/>
      <c r="BUQ12" s="517"/>
      <c r="BUR12" s="517"/>
      <c r="BUS12" s="517"/>
      <c r="BUT12" s="517"/>
      <c r="BUU12" s="517"/>
      <c r="BUV12" s="517"/>
      <c r="BUW12" s="517"/>
      <c r="BUX12" s="517"/>
      <c r="BUY12" s="517"/>
      <c r="BUZ12" s="517"/>
      <c r="BVA12" s="517"/>
      <c r="BVB12" s="517"/>
      <c r="BVC12" s="517"/>
      <c r="BVD12" s="517"/>
      <c r="BVE12" s="517"/>
      <c r="BVF12" s="517"/>
      <c r="BVG12" s="517"/>
      <c r="BVH12" s="517"/>
      <c r="BVI12" s="517"/>
      <c r="BVJ12" s="517"/>
      <c r="BVK12" s="517"/>
      <c r="BVL12" s="517"/>
      <c r="BVM12" s="517"/>
      <c r="BVN12" s="517"/>
      <c r="BVO12" s="517"/>
      <c r="BVP12" s="517"/>
      <c r="BVQ12" s="517"/>
      <c r="BVR12" s="517"/>
      <c r="BVS12" s="517"/>
      <c r="BVT12" s="517"/>
      <c r="BVU12" s="517"/>
      <c r="BVV12" s="517"/>
      <c r="BVW12" s="517"/>
      <c r="BVX12" s="517"/>
      <c r="BVY12" s="517"/>
      <c r="BVZ12" s="517"/>
      <c r="BWA12" s="517"/>
      <c r="BWB12" s="517"/>
      <c r="BWC12" s="517"/>
      <c r="BWD12" s="517"/>
      <c r="BWE12" s="517"/>
      <c r="BWF12" s="517"/>
      <c r="BWG12" s="517"/>
      <c r="BWH12" s="517"/>
      <c r="BWI12" s="517"/>
      <c r="BWJ12" s="517"/>
      <c r="BWK12" s="517"/>
      <c r="BWL12" s="517"/>
      <c r="BWM12" s="517"/>
      <c r="BWN12" s="517"/>
      <c r="BWO12" s="517"/>
      <c r="BWP12" s="517"/>
      <c r="BWQ12" s="517"/>
      <c r="BWR12" s="517"/>
      <c r="BWS12" s="517"/>
      <c r="BWT12" s="517"/>
      <c r="BWU12" s="517"/>
      <c r="BWV12" s="517"/>
      <c r="BWW12" s="517"/>
      <c r="BWX12" s="517"/>
      <c r="BWY12" s="517"/>
      <c r="BWZ12" s="517"/>
      <c r="BXA12" s="517"/>
      <c r="BXB12" s="517"/>
      <c r="BXC12" s="517"/>
      <c r="BXD12" s="517"/>
      <c r="BXE12" s="517"/>
      <c r="BXF12" s="517"/>
      <c r="BXG12" s="517"/>
      <c r="BXH12" s="517"/>
      <c r="BXI12" s="517"/>
      <c r="BXJ12" s="517"/>
      <c r="BXK12" s="517"/>
      <c r="BXL12" s="517"/>
      <c r="BXM12" s="517"/>
      <c r="BXN12" s="517"/>
      <c r="BXO12" s="517"/>
      <c r="BXP12" s="517"/>
      <c r="BXQ12" s="517"/>
      <c r="BXR12" s="517"/>
      <c r="BXS12" s="517"/>
      <c r="BXT12" s="517"/>
      <c r="BXU12" s="517"/>
      <c r="BXV12" s="517"/>
      <c r="BXW12" s="517"/>
      <c r="BXX12" s="517"/>
      <c r="BXY12" s="517"/>
      <c r="BXZ12" s="517"/>
      <c r="BYA12" s="517"/>
      <c r="BYB12" s="517"/>
      <c r="BYC12" s="517"/>
    </row>
    <row r="13" spans="1:2005" ht="15">
      <c r="A13" s="1908" t="s">
        <v>505</v>
      </c>
      <c r="B13" s="658" t="s">
        <v>373</v>
      </c>
      <c r="C13" s="355">
        <f>ConcentratsNr!C21</f>
        <v>129.49685147489254</v>
      </c>
      <c r="D13" s="356">
        <f>ConcentratsNr!C22</f>
        <v>14.832951122333204</v>
      </c>
      <c r="E13" s="355">
        <f>ConcentratsNr!G21</f>
        <v>54.414915461744698</v>
      </c>
      <c r="F13" s="355">
        <f>ConcentratsNr!G22</f>
        <v>13.114674147610486</v>
      </c>
      <c r="G13" s="357">
        <f>ConcentratsNr!K21</f>
        <v>50.486163051608081</v>
      </c>
      <c r="H13" s="355">
        <f>ConcentratsNr!K22</f>
        <v>12.951063879460985</v>
      </c>
      <c r="I13" s="519">
        <f>ConcentratsNr!O21</f>
        <v>26.438188494492046</v>
      </c>
      <c r="J13" s="355">
        <f>ConcentratsNr!O22</f>
        <v>5.5371426159937132</v>
      </c>
      <c r="K13" s="412"/>
      <c r="L13" s="751"/>
      <c r="M13" s="357">
        <f>ConcentratsNr!S21</f>
        <v>3.6672064225604513</v>
      </c>
      <c r="N13" s="356">
        <f>ConcentratsNr!S22</f>
        <v>0.63303305477042615</v>
      </c>
      <c r="O13" s="357">
        <f>ConcentratsNr!W21</f>
        <v>55.731113992235002</v>
      </c>
      <c r="P13" s="356">
        <f>ConcentratsNr!W22</f>
        <v>7.3081685174530389</v>
      </c>
      <c r="Q13" s="636"/>
      <c r="R13" s="757"/>
      <c r="S13" s="523"/>
      <c r="T13" s="351"/>
      <c r="U13" s="522"/>
      <c r="V13" s="181"/>
      <c r="W13" s="666"/>
      <c r="X13" s="475"/>
      <c r="Y13" s="645"/>
      <c r="Z13" s="646"/>
      <c r="AA13" s="1183">
        <v>60</v>
      </c>
      <c r="AB13" s="180">
        <f>AA13*0.1</f>
        <v>6</v>
      </c>
      <c r="AC13" s="645"/>
      <c r="AD13" s="180"/>
      <c r="AE13" s="1600"/>
      <c r="AF13" s="1203"/>
      <c r="AG13" s="180"/>
      <c r="AH13" s="180"/>
      <c r="AI13" s="180"/>
      <c r="AJ13" s="180"/>
      <c r="AK13" s="180"/>
      <c r="AL13" s="180"/>
      <c r="AM13" s="180"/>
      <c r="AN13" s="180"/>
      <c r="AO13" s="180"/>
      <c r="AP13" s="180"/>
      <c r="AQ13" s="180"/>
      <c r="AR13" s="180"/>
      <c r="AS13" s="180"/>
      <c r="AT13" s="180"/>
      <c r="AU13" s="180"/>
      <c r="AV13" s="180"/>
      <c r="AW13" s="180"/>
      <c r="AX13" s="180"/>
      <c r="AY13" s="180"/>
      <c r="AZ13" s="180"/>
      <c r="BA13" s="180"/>
      <c r="BB13" s="180"/>
      <c r="BC13" s="180"/>
      <c r="BD13" s="180"/>
      <c r="BE13" s="180"/>
      <c r="BF13" s="180"/>
      <c r="BG13" s="180"/>
      <c r="BH13" s="180"/>
      <c r="BI13" s="180"/>
      <c r="BJ13" s="180"/>
      <c r="BK13" s="180"/>
      <c r="BL13" s="180"/>
      <c r="BM13" s="180"/>
      <c r="BN13" s="180"/>
      <c r="BO13" s="180"/>
      <c r="BP13" s="180"/>
      <c r="BQ13" s="180"/>
      <c r="BR13" s="180"/>
      <c r="BS13" s="180"/>
      <c r="BT13" s="180"/>
      <c r="BU13" s="180"/>
      <c r="BV13" s="180"/>
      <c r="BW13" s="180"/>
      <c r="BX13" s="180"/>
      <c r="BY13" s="180"/>
      <c r="BZ13" s="180"/>
      <c r="CA13" s="180"/>
      <c r="CB13" s="180"/>
      <c r="CC13" s="180"/>
      <c r="CD13" s="180"/>
      <c r="CE13" s="180"/>
      <c r="CF13" s="180"/>
      <c r="CG13" s="180"/>
      <c r="CH13" s="180"/>
      <c r="CI13" s="180"/>
      <c r="CJ13" s="180"/>
      <c r="CK13" s="180"/>
      <c r="CL13" s="180"/>
      <c r="CM13" s="180"/>
      <c r="CN13" s="180"/>
      <c r="CO13" s="180"/>
      <c r="CP13" s="180"/>
      <c r="CQ13" s="180"/>
      <c r="CR13" s="180"/>
      <c r="CS13" s="180"/>
      <c r="CT13" s="180"/>
      <c r="CU13" s="180"/>
      <c r="CV13" s="180"/>
      <c r="CW13" s="180"/>
      <c r="CX13" s="180"/>
      <c r="CY13" s="180"/>
      <c r="CZ13" s="180"/>
      <c r="DA13" s="180"/>
      <c r="DB13" s="180"/>
      <c r="DC13" s="180"/>
      <c r="DD13" s="180"/>
      <c r="DE13" s="180"/>
      <c r="DF13" s="180"/>
      <c r="DG13" s="180"/>
      <c r="DH13" s="180"/>
      <c r="DI13" s="180"/>
      <c r="DJ13" s="180"/>
      <c r="DK13" s="180"/>
      <c r="DL13" s="180"/>
      <c r="DM13" s="180"/>
      <c r="DN13" s="180"/>
      <c r="DO13" s="180"/>
      <c r="DP13" s="180"/>
      <c r="DQ13" s="180"/>
      <c r="DR13" s="180"/>
      <c r="DS13" s="180"/>
      <c r="DT13" s="180"/>
      <c r="DU13" s="180"/>
      <c r="DV13" s="180"/>
      <c r="DW13" s="180"/>
      <c r="DX13" s="180"/>
      <c r="DY13" s="180"/>
      <c r="DZ13" s="180"/>
      <c r="EA13" s="180"/>
      <c r="EB13" s="180"/>
      <c r="EC13" s="180"/>
      <c r="ED13" s="180"/>
      <c r="EE13" s="180"/>
      <c r="EF13" s="180"/>
      <c r="EG13" s="180"/>
      <c r="EH13" s="180"/>
      <c r="EI13" s="180"/>
      <c r="EJ13" s="180"/>
      <c r="EK13" s="180"/>
      <c r="EL13" s="180"/>
      <c r="EM13" s="180"/>
      <c r="EN13" s="180"/>
      <c r="EO13" s="180"/>
      <c r="EP13" s="180"/>
      <c r="EQ13" s="180"/>
      <c r="ER13" s="180"/>
      <c r="ES13" s="180"/>
      <c r="ET13" s="180"/>
      <c r="EU13" s="180"/>
      <c r="EV13" s="180"/>
      <c r="EW13" s="180"/>
      <c r="EX13" s="180"/>
      <c r="EY13" s="180"/>
      <c r="EZ13" s="180"/>
      <c r="FA13" s="180"/>
      <c r="FB13" s="180"/>
      <c r="FC13" s="180"/>
      <c r="FD13" s="180"/>
      <c r="FE13" s="180"/>
      <c r="FF13" s="180"/>
      <c r="FG13" s="180"/>
      <c r="FH13" s="180"/>
      <c r="FI13" s="180"/>
      <c r="FJ13" s="180"/>
      <c r="FK13" s="180"/>
      <c r="FL13" s="180"/>
      <c r="FM13" s="180"/>
      <c r="FN13" s="180"/>
      <c r="FO13" s="180"/>
      <c r="FP13" s="180"/>
      <c r="FQ13" s="180"/>
      <c r="FR13" s="180"/>
      <c r="FS13" s="180"/>
      <c r="FT13" s="180"/>
      <c r="FU13" s="180"/>
      <c r="FV13" s="180"/>
      <c r="FW13" s="180"/>
      <c r="FX13" s="180"/>
      <c r="FY13" s="180"/>
      <c r="FZ13" s="180"/>
      <c r="GA13" s="180"/>
      <c r="GB13" s="180"/>
      <c r="GC13" s="180"/>
      <c r="GD13" s="180"/>
      <c r="GE13" s="180"/>
      <c r="GF13" s="180"/>
      <c r="GG13" s="180"/>
      <c r="GH13" s="180"/>
      <c r="GI13" s="180"/>
      <c r="GJ13" s="180"/>
      <c r="GK13" s="180"/>
      <c r="GL13" s="180"/>
      <c r="GM13" s="180"/>
      <c r="GN13" s="180"/>
      <c r="GO13" s="180"/>
      <c r="GP13" s="180"/>
      <c r="GQ13" s="180"/>
      <c r="GR13" s="180"/>
      <c r="GS13" s="180"/>
      <c r="GT13" s="180"/>
      <c r="GU13" s="180"/>
      <c r="GV13" s="180"/>
      <c r="GW13" s="180"/>
      <c r="GX13" s="180"/>
      <c r="GY13" s="180"/>
      <c r="GZ13" s="180"/>
      <c r="HA13" s="180"/>
      <c r="HB13" s="180"/>
      <c r="HC13" s="180"/>
      <c r="HD13" s="180"/>
      <c r="HE13" s="180"/>
      <c r="HF13" s="180"/>
      <c r="HG13" s="180"/>
      <c r="HH13" s="180"/>
      <c r="HI13" s="180"/>
      <c r="HJ13" s="180"/>
      <c r="HK13" s="180"/>
      <c r="HL13" s="180"/>
      <c r="HM13" s="180"/>
      <c r="HN13" s="180"/>
      <c r="HO13" s="180"/>
      <c r="HP13" s="180"/>
      <c r="HQ13" s="180"/>
      <c r="HR13" s="180"/>
      <c r="HS13" s="180"/>
      <c r="HT13" s="180"/>
      <c r="HU13" s="180"/>
      <c r="HV13" s="180"/>
      <c r="HW13" s="180"/>
      <c r="HX13" s="180"/>
      <c r="HY13" s="180"/>
      <c r="HZ13" s="180"/>
      <c r="IA13" s="180"/>
      <c r="IB13" s="180"/>
      <c r="IC13" s="180"/>
      <c r="ID13" s="180"/>
      <c r="IE13" s="180"/>
      <c r="IF13" s="180"/>
      <c r="IG13" s="180"/>
      <c r="IH13" s="180"/>
      <c r="II13" s="180"/>
      <c r="IJ13" s="180"/>
      <c r="IK13" s="180"/>
      <c r="IL13" s="180"/>
      <c r="IM13" s="180"/>
      <c r="IN13" s="180"/>
      <c r="IO13" s="180"/>
      <c r="IP13" s="180"/>
      <c r="IQ13" s="180"/>
      <c r="IR13" s="180"/>
      <c r="IS13" s="180"/>
      <c r="IT13" s="180"/>
      <c r="IU13" s="180"/>
      <c r="IV13" s="180"/>
      <c r="IW13" s="180"/>
      <c r="IX13" s="180"/>
      <c r="IY13" s="180"/>
      <c r="IZ13" s="180"/>
      <c r="JA13" s="180"/>
      <c r="JB13" s="180"/>
      <c r="JC13" s="180"/>
      <c r="JD13" s="180"/>
      <c r="JE13" s="180"/>
      <c r="JF13" s="180"/>
      <c r="JG13" s="180"/>
      <c r="JH13" s="180"/>
      <c r="JI13" s="180"/>
      <c r="JJ13" s="180"/>
      <c r="JK13" s="180"/>
      <c r="JL13" s="180"/>
      <c r="JM13" s="180"/>
      <c r="JN13" s="180"/>
      <c r="JO13" s="180"/>
      <c r="JP13" s="180"/>
      <c r="JQ13" s="180"/>
      <c r="JR13" s="180"/>
      <c r="JS13" s="180"/>
      <c r="JT13" s="180"/>
      <c r="JU13" s="180"/>
      <c r="JV13" s="180"/>
      <c r="JW13" s="180"/>
      <c r="JX13" s="180"/>
      <c r="JY13" s="180"/>
      <c r="JZ13" s="180"/>
      <c r="KA13" s="180"/>
      <c r="KB13" s="180"/>
      <c r="KC13" s="180"/>
      <c r="KD13" s="180"/>
      <c r="KE13" s="180"/>
      <c r="KF13" s="180"/>
      <c r="KG13" s="180"/>
      <c r="KH13" s="180"/>
      <c r="KI13" s="180"/>
      <c r="KJ13" s="180"/>
      <c r="KK13" s="180"/>
      <c r="KL13" s="180"/>
      <c r="KM13" s="180"/>
      <c r="KN13" s="180"/>
      <c r="KO13" s="180"/>
      <c r="KP13" s="180"/>
      <c r="KQ13" s="180"/>
      <c r="KR13" s="180"/>
      <c r="KS13" s="180"/>
      <c r="KT13" s="180"/>
      <c r="KU13" s="180"/>
      <c r="KV13" s="180"/>
      <c r="KW13" s="180"/>
      <c r="KX13" s="180"/>
      <c r="KY13" s="180"/>
      <c r="KZ13" s="180"/>
      <c r="LA13" s="180"/>
      <c r="LB13" s="180"/>
      <c r="LC13" s="180"/>
      <c r="LD13" s="180"/>
      <c r="LE13" s="180"/>
      <c r="LF13" s="180"/>
      <c r="LG13" s="180"/>
      <c r="LH13" s="180"/>
      <c r="LI13" s="180"/>
      <c r="LJ13" s="180"/>
      <c r="LK13" s="180"/>
      <c r="LL13" s="180"/>
      <c r="LM13" s="180"/>
      <c r="LN13" s="180"/>
      <c r="LO13" s="180"/>
      <c r="LP13" s="180"/>
      <c r="LQ13" s="180"/>
      <c r="LR13" s="180"/>
      <c r="LS13" s="180"/>
      <c r="LT13" s="180"/>
      <c r="LU13" s="180"/>
      <c r="LV13" s="180"/>
      <c r="LW13" s="180"/>
      <c r="LX13" s="180"/>
      <c r="LY13" s="180"/>
      <c r="LZ13" s="180"/>
      <c r="MA13" s="180"/>
      <c r="MB13" s="180"/>
      <c r="MC13" s="180"/>
      <c r="MD13" s="180"/>
      <c r="ME13" s="180"/>
      <c r="MF13" s="180"/>
      <c r="MG13" s="180"/>
      <c r="MH13" s="180"/>
      <c r="MI13" s="180"/>
      <c r="MJ13" s="180"/>
      <c r="MK13" s="180"/>
      <c r="ML13" s="180"/>
      <c r="MM13" s="180"/>
      <c r="MN13" s="180"/>
      <c r="MO13" s="180"/>
      <c r="MP13" s="180"/>
      <c r="MQ13" s="180"/>
      <c r="MR13" s="180"/>
      <c r="MS13" s="180"/>
      <c r="MT13" s="180"/>
      <c r="MU13" s="180"/>
      <c r="MV13" s="180"/>
      <c r="MW13" s="180"/>
      <c r="MX13" s="180"/>
      <c r="MY13" s="180"/>
      <c r="MZ13" s="180"/>
      <c r="NA13" s="180"/>
      <c r="NB13" s="180"/>
      <c r="NC13" s="180"/>
      <c r="ND13" s="180"/>
      <c r="NE13" s="180"/>
      <c r="NF13" s="180"/>
      <c r="NG13" s="180"/>
      <c r="NH13" s="180"/>
      <c r="NI13" s="180"/>
      <c r="NJ13" s="180"/>
      <c r="NK13" s="180"/>
      <c r="NL13" s="180"/>
      <c r="NM13" s="180"/>
      <c r="NN13" s="180"/>
      <c r="NO13" s="180"/>
      <c r="NP13" s="180"/>
      <c r="NQ13" s="180"/>
      <c r="NR13" s="180"/>
      <c r="NS13" s="180"/>
      <c r="NT13" s="180"/>
      <c r="NU13" s="180"/>
      <c r="NV13" s="180"/>
      <c r="NW13" s="180"/>
      <c r="NX13" s="180"/>
      <c r="NY13" s="180"/>
      <c r="NZ13" s="180"/>
      <c r="OA13" s="180"/>
      <c r="OB13" s="180"/>
      <c r="OC13" s="180"/>
      <c r="OD13" s="180"/>
      <c r="OE13" s="180"/>
      <c r="OF13" s="180"/>
      <c r="OG13" s="180"/>
      <c r="OH13" s="180"/>
      <c r="OI13" s="180"/>
      <c r="OJ13" s="180"/>
      <c r="OK13" s="180"/>
      <c r="OL13" s="180"/>
      <c r="OM13" s="180"/>
      <c r="ON13" s="180"/>
      <c r="OO13" s="180"/>
      <c r="OP13" s="180"/>
      <c r="OQ13" s="180"/>
      <c r="OR13" s="180"/>
      <c r="OS13" s="180"/>
      <c r="OT13" s="180"/>
      <c r="OU13" s="180"/>
      <c r="OV13" s="180"/>
      <c r="OW13" s="180"/>
      <c r="OX13" s="180"/>
      <c r="OY13" s="180"/>
      <c r="OZ13" s="180"/>
      <c r="PA13" s="180"/>
      <c r="PB13" s="180"/>
      <c r="PC13" s="180"/>
      <c r="PD13" s="180"/>
      <c r="PE13" s="180"/>
      <c r="PF13" s="180"/>
      <c r="PG13" s="180"/>
      <c r="PH13" s="180"/>
      <c r="PI13" s="180"/>
      <c r="PJ13" s="180"/>
      <c r="PK13" s="180"/>
      <c r="PL13" s="180"/>
      <c r="PM13" s="180"/>
      <c r="PN13" s="180"/>
      <c r="PO13" s="180"/>
      <c r="PP13" s="180"/>
      <c r="PQ13" s="180"/>
      <c r="PR13" s="180"/>
      <c r="PS13" s="180"/>
      <c r="PT13" s="180"/>
      <c r="PU13" s="180"/>
      <c r="PV13" s="180"/>
      <c r="PW13" s="180"/>
      <c r="PX13" s="180"/>
      <c r="PY13" s="180"/>
      <c r="PZ13" s="180"/>
      <c r="QA13" s="180"/>
      <c r="QB13" s="180"/>
      <c r="QC13" s="180"/>
      <c r="QD13" s="180"/>
      <c r="QE13" s="180"/>
      <c r="QF13" s="180"/>
      <c r="QG13" s="180"/>
      <c r="QH13" s="180"/>
      <c r="QI13" s="180"/>
      <c r="QJ13" s="180"/>
      <c r="QK13" s="180"/>
      <c r="QL13" s="180"/>
      <c r="QM13" s="180"/>
      <c r="QN13" s="180"/>
      <c r="QO13" s="180"/>
      <c r="QP13" s="180"/>
      <c r="QQ13" s="180"/>
      <c r="QR13" s="180"/>
      <c r="QS13" s="180"/>
      <c r="QT13" s="180"/>
      <c r="QU13" s="180"/>
      <c r="QV13" s="180"/>
      <c r="QW13" s="180"/>
      <c r="QX13" s="180"/>
      <c r="QY13" s="180"/>
      <c r="QZ13" s="180"/>
      <c r="RA13" s="180"/>
      <c r="RB13" s="180"/>
      <c r="RC13" s="180"/>
      <c r="RD13" s="180"/>
      <c r="RE13" s="180"/>
      <c r="RF13" s="180"/>
      <c r="RG13" s="180"/>
      <c r="RH13" s="180"/>
      <c r="RI13" s="180"/>
      <c r="RJ13" s="180"/>
      <c r="RK13" s="180"/>
      <c r="RL13" s="180"/>
      <c r="RM13" s="180"/>
      <c r="RN13" s="180"/>
      <c r="RO13" s="180"/>
      <c r="RP13" s="180"/>
      <c r="RQ13" s="180"/>
      <c r="RR13" s="180"/>
      <c r="RS13" s="180"/>
      <c r="RT13" s="180"/>
      <c r="RU13" s="180"/>
      <c r="RV13" s="180"/>
      <c r="RW13" s="180"/>
      <c r="RX13" s="180"/>
      <c r="RY13" s="180"/>
      <c r="RZ13" s="180"/>
      <c r="SA13" s="180"/>
      <c r="SB13" s="180"/>
      <c r="SC13" s="180"/>
      <c r="SD13" s="180"/>
      <c r="SE13" s="180"/>
      <c r="SF13" s="180"/>
      <c r="SG13" s="180"/>
      <c r="SH13" s="180"/>
      <c r="SI13" s="180"/>
      <c r="SJ13" s="180"/>
      <c r="SK13" s="180"/>
      <c r="SL13" s="180"/>
      <c r="SM13" s="180"/>
      <c r="SN13" s="180"/>
      <c r="SO13" s="180"/>
      <c r="SP13" s="180"/>
      <c r="SQ13" s="180"/>
      <c r="SR13" s="180"/>
      <c r="SS13" s="180"/>
      <c r="ST13" s="180"/>
      <c r="SU13" s="180"/>
      <c r="SV13" s="180"/>
      <c r="SW13" s="180"/>
      <c r="SX13" s="180"/>
      <c r="SY13" s="180"/>
      <c r="SZ13" s="180"/>
      <c r="TA13" s="180"/>
      <c r="TB13" s="180"/>
      <c r="TC13" s="180"/>
      <c r="TD13" s="180"/>
      <c r="TE13" s="180"/>
      <c r="TF13" s="180"/>
      <c r="TG13" s="180"/>
      <c r="TH13" s="180"/>
      <c r="TI13" s="180"/>
      <c r="TJ13" s="180"/>
      <c r="TK13" s="180"/>
      <c r="TL13" s="180"/>
      <c r="TM13" s="180"/>
      <c r="TN13" s="180"/>
      <c r="TO13" s="180"/>
      <c r="TP13" s="180"/>
      <c r="TQ13" s="180"/>
      <c r="TR13" s="180"/>
      <c r="TS13" s="180"/>
      <c r="TT13" s="180"/>
      <c r="TU13" s="180"/>
      <c r="TV13" s="180"/>
      <c r="TW13" s="180"/>
      <c r="TX13" s="180"/>
      <c r="TY13" s="180"/>
      <c r="TZ13" s="180"/>
      <c r="UA13" s="180"/>
      <c r="UB13" s="180"/>
      <c r="UC13" s="180"/>
      <c r="UD13" s="180"/>
      <c r="UE13" s="180"/>
      <c r="UF13" s="180"/>
      <c r="UG13" s="180"/>
      <c r="UH13" s="180"/>
      <c r="UI13" s="180"/>
      <c r="UJ13" s="180"/>
      <c r="UK13" s="180"/>
      <c r="UL13" s="180"/>
      <c r="UM13" s="180"/>
      <c r="UN13" s="180"/>
      <c r="UO13" s="180"/>
      <c r="UP13" s="180"/>
      <c r="UQ13" s="180"/>
      <c r="UR13" s="180"/>
      <c r="US13" s="180"/>
      <c r="UT13" s="180"/>
      <c r="UU13" s="180"/>
      <c r="UV13" s="180"/>
      <c r="UW13" s="180"/>
      <c r="UX13" s="180"/>
      <c r="UY13" s="180"/>
      <c r="UZ13" s="180"/>
      <c r="VA13" s="180"/>
      <c r="VB13" s="180"/>
      <c r="VC13" s="180"/>
      <c r="VD13" s="180"/>
      <c r="VE13" s="180"/>
      <c r="VF13" s="180"/>
      <c r="VG13" s="180"/>
      <c r="VH13" s="180"/>
      <c r="VI13" s="180"/>
      <c r="VJ13" s="180"/>
      <c r="VK13" s="180"/>
      <c r="VL13" s="180"/>
      <c r="VM13" s="180"/>
      <c r="VN13" s="180"/>
      <c r="VO13" s="180"/>
      <c r="VP13" s="180"/>
      <c r="VQ13" s="180"/>
      <c r="VR13" s="180"/>
      <c r="VS13" s="180"/>
      <c r="VT13" s="180"/>
      <c r="VU13" s="180"/>
      <c r="VV13" s="180"/>
      <c r="VW13" s="180"/>
      <c r="VX13" s="180"/>
      <c r="VY13" s="180"/>
      <c r="VZ13" s="180"/>
      <c r="WA13" s="180"/>
      <c r="WB13" s="180"/>
      <c r="WC13" s="180"/>
      <c r="WD13" s="180"/>
      <c r="WE13" s="180"/>
      <c r="WF13" s="180"/>
      <c r="WG13" s="180"/>
      <c r="WH13" s="180"/>
      <c r="WI13" s="180"/>
      <c r="WJ13" s="180"/>
      <c r="WK13" s="180"/>
      <c r="WL13" s="180"/>
      <c r="WM13" s="180"/>
      <c r="WN13" s="180"/>
      <c r="WO13" s="180"/>
      <c r="WP13" s="180"/>
      <c r="WQ13" s="180"/>
      <c r="WR13" s="180"/>
      <c r="WS13" s="180"/>
      <c r="WT13" s="180"/>
      <c r="WU13" s="180"/>
      <c r="WV13" s="180"/>
      <c r="WW13" s="180"/>
      <c r="WX13" s="180"/>
      <c r="WY13" s="180"/>
      <c r="WZ13" s="180"/>
      <c r="XA13" s="180"/>
      <c r="XB13" s="180"/>
      <c r="XC13" s="180"/>
      <c r="XD13" s="180"/>
      <c r="XE13" s="180"/>
      <c r="XF13" s="180"/>
      <c r="XG13" s="180"/>
      <c r="XH13" s="180"/>
      <c r="XI13" s="180"/>
      <c r="XJ13" s="180"/>
      <c r="XK13" s="180"/>
      <c r="XL13" s="180"/>
      <c r="XM13" s="180"/>
      <c r="XN13" s="180"/>
      <c r="XO13" s="180"/>
      <c r="XP13" s="180"/>
      <c r="XQ13" s="180"/>
      <c r="XR13" s="180"/>
      <c r="XS13" s="180"/>
      <c r="XT13" s="180"/>
      <c r="XU13" s="180"/>
      <c r="XV13" s="180"/>
      <c r="XW13" s="180"/>
      <c r="XX13" s="180"/>
      <c r="XY13" s="180"/>
      <c r="XZ13" s="180"/>
      <c r="YA13" s="180"/>
      <c r="YB13" s="180"/>
      <c r="YC13" s="180"/>
      <c r="YD13" s="180"/>
      <c r="YE13" s="180"/>
      <c r="YF13" s="180"/>
      <c r="YG13" s="180"/>
      <c r="YH13" s="180"/>
      <c r="YI13" s="180"/>
      <c r="YJ13" s="180"/>
      <c r="YK13" s="180"/>
      <c r="YL13" s="180"/>
      <c r="YM13" s="180"/>
      <c r="YN13" s="180"/>
      <c r="YO13" s="180"/>
      <c r="YP13" s="180"/>
      <c r="YQ13" s="180"/>
      <c r="YR13" s="180"/>
      <c r="YS13" s="180"/>
      <c r="YT13" s="180"/>
      <c r="YU13" s="180"/>
      <c r="YV13" s="180"/>
      <c r="YW13" s="180"/>
      <c r="YX13" s="180"/>
      <c r="YY13" s="180"/>
      <c r="YZ13" s="180"/>
      <c r="ZA13" s="180"/>
      <c r="ZB13" s="180"/>
      <c r="ZC13" s="180"/>
      <c r="ZD13" s="180"/>
      <c r="ZE13" s="180"/>
      <c r="ZF13" s="180"/>
      <c r="ZG13" s="180"/>
      <c r="ZH13" s="180"/>
      <c r="ZI13" s="180"/>
      <c r="ZJ13" s="180"/>
      <c r="ZK13" s="180"/>
      <c r="ZL13" s="180"/>
      <c r="ZM13" s="180"/>
      <c r="ZN13" s="180"/>
      <c r="ZO13" s="180"/>
      <c r="ZP13" s="180"/>
      <c r="ZQ13" s="180"/>
      <c r="ZR13" s="180"/>
      <c r="ZS13" s="180"/>
      <c r="ZT13" s="180"/>
      <c r="ZU13" s="180"/>
      <c r="ZV13" s="180"/>
      <c r="ZW13" s="180"/>
      <c r="ZX13" s="180"/>
      <c r="ZY13" s="180"/>
      <c r="ZZ13" s="180"/>
      <c r="AAA13" s="180"/>
      <c r="AAB13" s="180"/>
      <c r="AAC13" s="180"/>
      <c r="AAD13" s="180"/>
      <c r="AAE13" s="180"/>
      <c r="AAF13" s="180"/>
      <c r="AAG13" s="180"/>
      <c r="AAH13" s="180"/>
      <c r="AAI13" s="180"/>
      <c r="AAJ13" s="180"/>
      <c r="AAK13" s="180"/>
      <c r="AAL13" s="180"/>
      <c r="AAM13" s="180"/>
      <c r="AAN13" s="180"/>
      <c r="AAO13" s="180"/>
      <c r="AAP13" s="180"/>
      <c r="AAQ13" s="180"/>
      <c r="AAR13" s="180"/>
      <c r="AAS13" s="180"/>
      <c r="AAT13" s="180"/>
      <c r="AAU13" s="180"/>
      <c r="AAV13" s="180"/>
      <c r="AAW13" s="180"/>
      <c r="AAX13" s="180"/>
      <c r="AAY13" s="180"/>
      <c r="AAZ13" s="180"/>
      <c r="ABA13" s="180"/>
      <c r="ABB13" s="180"/>
      <c r="ABC13" s="180"/>
      <c r="ABD13" s="180"/>
      <c r="ABE13" s="180"/>
      <c r="ABF13" s="180"/>
      <c r="ABG13" s="180"/>
      <c r="ABH13" s="180"/>
      <c r="ABI13" s="180"/>
      <c r="ABJ13" s="180"/>
      <c r="ABK13" s="180"/>
      <c r="ABL13" s="180"/>
      <c r="ABM13" s="180"/>
      <c r="ABN13" s="180"/>
      <c r="ABO13" s="180"/>
      <c r="ABP13" s="180"/>
      <c r="ABQ13" s="180"/>
      <c r="ABR13" s="180"/>
      <c r="ABS13" s="180"/>
      <c r="ABT13" s="180"/>
      <c r="ABU13" s="180"/>
      <c r="ABV13" s="180"/>
      <c r="ABW13" s="180"/>
      <c r="ABX13" s="180"/>
      <c r="ABY13" s="180"/>
      <c r="ABZ13" s="180"/>
      <c r="ACA13" s="180"/>
      <c r="ACB13" s="180"/>
      <c r="ACC13" s="180"/>
      <c r="ACD13" s="180"/>
      <c r="ACE13" s="180"/>
      <c r="ACF13" s="180"/>
      <c r="ACG13" s="180"/>
      <c r="ACH13" s="180"/>
      <c r="ACI13" s="180"/>
      <c r="ACJ13" s="180"/>
      <c r="ACK13" s="180"/>
      <c r="ACL13" s="180"/>
      <c r="ACM13" s="180"/>
      <c r="ACN13" s="180"/>
      <c r="ACO13" s="180"/>
      <c r="ACP13" s="180"/>
      <c r="ACQ13" s="180"/>
      <c r="ACR13" s="180"/>
      <c r="ACS13" s="180"/>
      <c r="ACT13" s="180"/>
      <c r="ACU13" s="180"/>
      <c r="ACV13" s="180"/>
      <c r="ACW13" s="180"/>
      <c r="ACX13" s="180"/>
      <c r="ACY13" s="180"/>
      <c r="ACZ13" s="180"/>
      <c r="ADA13" s="180"/>
      <c r="ADB13" s="180"/>
      <c r="ADC13" s="180"/>
      <c r="ADD13" s="180"/>
      <c r="ADE13" s="180"/>
      <c r="ADF13" s="180"/>
      <c r="ADG13" s="180"/>
      <c r="ADH13" s="180"/>
      <c r="ADI13" s="180"/>
      <c r="ADJ13" s="180"/>
      <c r="ADK13" s="180"/>
      <c r="ADL13" s="180"/>
      <c r="ADM13" s="180"/>
      <c r="ADN13" s="180"/>
      <c r="ADO13" s="180"/>
      <c r="ADP13" s="180"/>
      <c r="ADQ13" s="180"/>
      <c r="ADR13" s="180"/>
      <c r="ADS13" s="180"/>
      <c r="ADT13" s="180"/>
      <c r="ADU13" s="180"/>
      <c r="ADV13" s="180"/>
      <c r="ADW13" s="180"/>
      <c r="ADX13" s="180"/>
      <c r="ADY13" s="180"/>
      <c r="ADZ13" s="180"/>
      <c r="AEA13" s="180"/>
      <c r="AEB13" s="180"/>
      <c r="AEC13" s="180"/>
      <c r="AED13" s="180"/>
      <c r="AEE13" s="180"/>
      <c r="AEF13" s="180"/>
      <c r="AEG13" s="180"/>
      <c r="AEH13" s="180"/>
      <c r="AEI13" s="180"/>
      <c r="AEJ13" s="180"/>
      <c r="AEK13" s="180"/>
      <c r="AEL13" s="180"/>
      <c r="AEM13" s="180"/>
      <c r="AEN13" s="180"/>
      <c r="AEO13" s="180"/>
      <c r="AEP13" s="180"/>
      <c r="AEQ13" s="180"/>
      <c r="AER13" s="180"/>
      <c r="AES13" s="180"/>
      <c r="AET13" s="180"/>
      <c r="AEU13" s="180"/>
      <c r="AEV13" s="180"/>
      <c r="AEW13" s="180"/>
      <c r="AEX13" s="180"/>
      <c r="AEY13" s="180"/>
      <c r="AEZ13" s="180"/>
      <c r="AFA13" s="180"/>
      <c r="AFB13" s="180"/>
      <c r="AFC13" s="180"/>
      <c r="AFD13" s="180"/>
      <c r="AFE13" s="180"/>
      <c r="AFF13" s="180"/>
      <c r="AFG13" s="180"/>
      <c r="AFH13" s="180"/>
      <c r="AFI13" s="180"/>
      <c r="AFJ13" s="180"/>
      <c r="AFK13" s="180"/>
      <c r="AFL13" s="180"/>
      <c r="AFM13" s="180"/>
      <c r="AFN13" s="180"/>
      <c r="AFO13" s="180"/>
      <c r="AFP13" s="180"/>
      <c r="AFQ13" s="180"/>
      <c r="AFR13" s="180"/>
      <c r="AFS13" s="180"/>
      <c r="AFT13" s="180"/>
      <c r="AFU13" s="180"/>
      <c r="AFV13" s="180"/>
      <c r="AFW13" s="180"/>
      <c r="AFX13" s="180"/>
      <c r="AFY13" s="180"/>
      <c r="AFZ13" s="180"/>
      <c r="AGA13" s="180"/>
      <c r="AGB13" s="180"/>
      <c r="AGC13" s="180"/>
      <c r="AGD13" s="180"/>
      <c r="AGE13" s="180"/>
      <c r="AGF13" s="180"/>
      <c r="AGG13" s="180"/>
      <c r="AGH13" s="180"/>
      <c r="AGI13" s="180"/>
      <c r="AGJ13" s="180"/>
      <c r="AGK13" s="180"/>
      <c r="AGL13" s="180"/>
      <c r="AGM13" s="180"/>
      <c r="AGN13" s="180"/>
      <c r="AGO13" s="180"/>
      <c r="AGP13" s="180"/>
      <c r="AGQ13" s="180"/>
      <c r="AGR13" s="180"/>
      <c r="AGS13" s="180"/>
      <c r="AGT13" s="180"/>
      <c r="AGU13" s="180"/>
      <c r="AGV13" s="180"/>
      <c r="AGW13" s="180"/>
      <c r="AGX13" s="180"/>
      <c r="AGY13" s="180"/>
      <c r="AGZ13" s="180"/>
      <c r="AHA13" s="180"/>
      <c r="AHB13" s="180"/>
      <c r="AHC13" s="180"/>
      <c r="AHD13" s="180"/>
      <c r="AHE13" s="180"/>
      <c r="AHF13" s="180"/>
      <c r="AHG13" s="180"/>
      <c r="AHH13" s="180"/>
      <c r="AHI13" s="180"/>
      <c r="AHJ13" s="180"/>
      <c r="AHK13" s="180"/>
      <c r="AHL13" s="180"/>
      <c r="AHM13" s="180"/>
      <c r="AHN13" s="180"/>
      <c r="AHO13" s="180"/>
      <c r="AHP13" s="180"/>
      <c r="AHQ13" s="180"/>
      <c r="AHR13" s="180"/>
      <c r="AHS13" s="180"/>
      <c r="AHT13" s="180"/>
      <c r="AHU13" s="180"/>
      <c r="AHV13" s="180"/>
      <c r="AHW13" s="180"/>
      <c r="AHX13" s="180"/>
      <c r="AHY13" s="180"/>
      <c r="AHZ13" s="180"/>
      <c r="AIA13" s="180"/>
      <c r="AIB13" s="180"/>
      <c r="AIC13" s="180"/>
      <c r="AID13" s="180"/>
      <c r="AIE13" s="180"/>
      <c r="AIF13" s="180"/>
      <c r="AIG13" s="180"/>
      <c r="AIH13" s="180"/>
      <c r="AII13" s="180"/>
      <c r="AIJ13" s="180"/>
      <c r="AIK13" s="180"/>
      <c r="AIL13" s="180"/>
      <c r="AIM13" s="180"/>
      <c r="AIN13" s="180"/>
      <c r="AIO13" s="180"/>
      <c r="AIP13" s="180"/>
      <c r="AIQ13" s="180"/>
      <c r="AIR13" s="180"/>
      <c r="AIS13" s="180"/>
      <c r="AIT13" s="180"/>
      <c r="AIU13" s="180"/>
      <c r="AIV13" s="180"/>
      <c r="AIW13" s="180"/>
      <c r="AIX13" s="180"/>
      <c r="AIY13" s="180"/>
      <c r="AIZ13" s="180"/>
      <c r="AJA13" s="180"/>
      <c r="AJB13" s="180"/>
      <c r="AJC13" s="180"/>
      <c r="AJD13" s="180"/>
      <c r="AJE13" s="180"/>
      <c r="AJF13" s="180"/>
      <c r="AJG13" s="180"/>
      <c r="AJH13" s="180"/>
      <c r="AJI13" s="180"/>
      <c r="AJJ13" s="180"/>
      <c r="AJK13" s="180"/>
      <c r="AJL13" s="180"/>
      <c r="AJM13" s="180"/>
      <c r="AJN13" s="180"/>
      <c r="AJO13" s="180"/>
      <c r="AJP13" s="180"/>
      <c r="AJQ13" s="180"/>
      <c r="AJR13" s="180"/>
      <c r="AJS13" s="180"/>
      <c r="AJT13" s="180"/>
      <c r="AJU13" s="180"/>
      <c r="AJV13" s="180"/>
      <c r="AJW13" s="180"/>
      <c r="AJX13" s="180"/>
      <c r="AJY13" s="180"/>
      <c r="AJZ13" s="180"/>
      <c r="AKA13" s="180"/>
      <c r="AKB13" s="180"/>
      <c r="AKC13" s="180"/>
      <c r="AKD13" s="180"/>
      <c r="AKE13" s="180"/>
      <c r="AKF13" s="180"/>
      <c r="AKG13" s="180"/>
      <c r="AKH13" s="180"/>
      <c r="AKI13" s="180"/>
      <c r="AKJ13" s="180"/>
      <c r="AKK13" s="180"/>
      <c r="AKL13" s="180"/>
      <c r="AKM13" s="180"/>
      <c r="AKN13" s="180"/>
      <c r="AKO13" s="180"/>
      <c r="AKP13" s="180"/>
      <c r="AKQ13" s="180"/>
      <c r="AKR13" s="180"/>
      <c r="AKS13" s="180"/>
      <c r="AKT13" s="180"/>
      <c r="AKU13" s="180"/>
      <c r="AKV13" s="180"/>
      <c r="AKW13" s="180"/>
      <c r="AKX13" s="180"/>
      <c r="AKY13" s="180"/>
      <c r="AKZ13" s="180"/>
      <c r="ALA13" s="180"/>
      <c r="ALB13" s="180"/>
      <c r="ALC13" s="180"/>
      <c r="ALD13" s="180"/>
      <c r="ALE13" s="180"/>
      <c r="ALF13" s="180"/>
      <c r="ALG13" s="180"/>
      <c r="ALH13" s="180"/>
      <c r="ALI13" s="180"/>
      <c r="ALJ13" s="180"/>
      <c r="ALK13" s="180"/>
      <c r="ALL13" s="180"/>
      <c r="ALM13" s="180"/>
      <c r="ALN13" s="180"/>
      <c r="ALO13" s="180"/>
      <c r="ALP13" s="180"/>
      <c r="ALQ13" s="180"/>
      <c r="ALR13" s="180"/>
      <c r="ALS13" s="180"/>
      <c r="ALT13" s="180"/>
      <c r="ALU13" s="180"/>
      <c r="ALV13" s="180"/>
      <c r="ALW13" s="180"/>
      <c r="ALX13" s="180"/>
      <c r="ALY13" s="180"/>
      <c r="ALZ13" s="180"/>
      <c r="AMA13" s="180"/>
      <c r="AMB13" s="180"/>
      <c r="AMC13" s="180"/>
      <c r="AMD13" s="180"/>
      <c r="AME13" s="180"/>
      <c r="AMF13" s="180"/>
      <c r="AMG13" s="180"/>
      <c r="AMH13" s="180"/>
      <c r="AMI13" s="180"/>
      <c r="AMJ13" s="180"/>
      <c r="AMK13" s="180"/>
      <c r="AML13" s="180"/>
      <c r="AMM13" s="180"/>
      <c r="AMN13" s="180"/>
      <c r="AMO13" s="180"/>
      <c r="AMP13" s="180"/>
      <c r="AMQ13" s="180"/>
      <c r="AMR13" s="180"/>
      <c r="AMS13" s="180"/>
      <c r="AMT13" s="180"/>
      <c r="AMU13" s="180"/>
      <c r="AMV13" s="180"/>
      <c r="AMW13" s="180"/>
      <c r="AMX13" s="180"/>
      <c r="AMY13" s="180"/>
      <c r="AMZ13" s="180"/>
      <c r="ANA13" s="180"/>
      <c r="ANB13" s="180"/>
      <c r="ANC13" s="180"/>
      <c r="AND13" s="180"/>
      <c r="ANE13" s="180"/>
      <c r="ANF13" s="180"/>
      <c r="ANG13" s="180"/>
      <c r="ANH13" s="180"/>
      <c r="ANI13" s="180"/>
      <c r="ANJ13" s="180"/>
      <c r="ANK13" s="180"/>
      <c r="ANL13" s="180"/>
      <c r="ANM13" s="180"/>
      <c r="ANN13" s="180"/>
      <c r="ANO13" s="180"/>
      <c r="ANP13" s="180"/>
      <c r="ANQ13" s="180"/>
      <c r="ANR13" s="180"/>
      <c r="ANS13" s="180"/>
      <c r="ANT13" s="180"/>
      <c r="ANU13" s="180"/>
      <c r="ANV13" s="180"/>
      <c r="ANW13" s="180"/>
      <c r="ANX13" s="180"/>
      <c r="ANY13" s="180"/>
      <c r="ANZ13" s="180"/>
      <c r="AOA13" s="180"/>
      <c r="AOB13" s="180"/>
      <c r="AOC13" s="180"/>
      <c r="AOD13" s="180"/>
      <c r="AOE13" s="180"/>
      <c r="AOF13" s="180"/>
      <c r="AOG13" s="180"/>
      <c r="AOH13" s="180"/>
      <c r="AOI13" s="180"/>
      <c r="AOJ13" s="180"/>
      <c r="AOK13" s="180"/>
      <c r="AOL13" s="180"/>
      <c r="AOM13" s="180"/>
      <c r="AON13" s="180"/>
      <c r="AOO13" s="180"/>
      <c r="AOP13" s="180"/>
      <c r="AOQ13" s="180"/>
      <c r="AOR13" s="180"/>
      <c r="AOS13" s="180"/>
      <c r="AOT13" s="180"/>
      <c r="AOU13" s="180"/>
      <c r="AOV13" s="180"/>
      <c r="AOW13" s="180"/>
      <c r="AOX13" s="180"/>
      <c r="AOY13" s="180"/>
      <c r="AOZ13" s="180"/>
      <c r="APA13" s="180"/>
      <c r="APB13" s="180"/>
      <c r="APC13" s="180"/>
      <c r="APD13" s="180"/>
      <c r="APE13" s="180"/>
      <c r="APF13" s="180"/>
      <c r="APG13" s="180"/>
      <c r="APH13" s="180"/>
      <c r="API13" s="180"/>
      <c r="APJ13" s="180"/>
      <c r="APK13" s="180"/>
      <c r="APL13" s="180"/>
      <c r="APM13" s="180"/>
      <c r="APN13" s="180"/>
      <c r="APO13" s="180"/>
      <c r="APP13" s="180"/>
      <c r="APQ13" s="180"/>
      <c r="APR13" s="180"/>
      <c r="APS13" s="180"/>
      <c r="APT13" s="180"/>
      <c r="APU13" s="180"/>
      <c r="APV13" s="180"/>
      <c r="APW13" s="180"/>
      <c r="APX13" s="180"/>
      <c r="APY13" s="180"/>
      <c r="APZ13" s="180"/>
      <c r="AQA13" s="180"/>
      <c r="AQB13" s="180"/>
      <c r="AQC13" s="180"/>
      <c r="AQD13" s="180"/>
      <c r="AQE13" s="180"/>
      <c r="AQF13" s="180"/>
      <c r="AQG13" s="180"/>
      <c r="AQH13" s="180"/>
      <c r="AQI13" s="180"/>
      <c r="AQJ13" s="180"/>
      <c r="AQK13" s="180"/>
      <c r="AQL13" s="180"/>
      <c r="AQM13" s="180"/>
      <c r="AQN13" s="180"/>
      <c r="AQO13" s="180"/>
      <c r="AQP13" s="180"/>
      <c r="AQQ13" s="180"/>
      <c r="AQR13" s="180"/>
      <c r="AQS13" s="180"/>
      <c r="AQT13" s="180"/>
      <c r="AQU13" s="180"/>
      <c r="AQV13" s="180"/>
      <c r="AQW13" s="180"/>
      <c r="AQX13" s="180"/>
      <c r="AQY13" s="180"/>
      <c r="AQZ13" s="180"/>
      <c r="ARA13" s="180"/>
      <c r="ARB13" s="180"/>
      <c r="ARC13" s="180"/>
      <c r="ARD13" s="180"/>
      <c r="ARE13" s="180"/>
      <c r="ARF13" s="180"/>
      <c r="ARG13" s="180"/>
      <c r="ARH13" s="180"/>
      <c r="ARI13" s="180"/>
      <c r="ARJ13" s="180"/>
      <c r="ARK13" s="180"/>
      <c r="ARL13" s="180"/>
      <c r="ARM13" s="180"/>
      <c r="ARN13" s="180"/>
      <c r="ARO13" s="180"/>
      <c r="ARP13" s="180"/>
      <c r="ARQ13" s="180"/>
      <c r="ARR13" s="180"/>
      <c r="ARS13" s="180"/>
      <c r="ART13" s="180"/>
      <c r="ARU13" s="180"/>
      <c r="ARV13" s="180"/>
      <c r="ARW13" s="180"/>
      <c r="ARX13" s="180"/>
      <c r="ARY13" s="180"/>
      <c r="ARZ13" s="180"/>
      <c r="ASA13" s="180"/>
      <c r="ASB13" s="180"/>
      <c r="ASC13" s="180"/>
      <c r="ASD13" s="180"/>
      <c r="ASE13" s="180"/>
      <c r="ASF13" s="180"/>
      <c r="ASG13" s="180"/>
      <c r="ASH13" s="180"/>
      <c r="ASI13" s="180"/>
      <c r="ASJ13" s="180"/>
      <c r="ASK13" s="180"/>
      <c r="ASL13" s="180"/>
      <c r="ASM13" s="180"/>
      <c r="ASN13" s="180"/>
      <c r="ASO13" s="180"/>
      <c r="ASP13" s="180"/>
      <c r="ASQ13" s="180"/>
      <c r="ASR13" s="180"/>
      <c r="ASS13" s="180"/>
      <c r="AST13" s="180"/>
      <c r="ASU13" s="180"/>
      <c r="ASV13" s="180"/>
      <c r="ASW13" s="180"/>
      <c r="ASX13" s="180"/>
      <c r="ASY13" s="180"/>
      <c r="ASZ13" s="180"/>
      <c r="ATA13" s="180"/>
      <c r="ATB13" s="180"/>
      <c r="ATC13" s="180"/>
      <c r="ATD13" s="180"/>
      <c r="ATE13" s="180"/>
      <c r="ATF13" s="180"/>
      <c r="ATG13" s="180"/>
      <c r="ATH13" s="180"/>
      <c r="ATI13" s="180"/>
      <c r="ATJ13" s="180"/>
      <c r="ATK13" s="180"/>
      <c r="ATL13" s="180"/>
      <c r="ATM13" s="180"/>
      <c r="ATN13" s="180"/>
      <c r="ATO13" s="180"/>
      <c r="ATP13" s="180"/>
      <c r="ATQ13" s="180"/>
      <c r="ATR13" s="180"/>
      <c r="ATS13" s="180"/>
      <c r="ATT13" s="180"/>
      <c r="ATU13" s="180"/>
      <c r="ATV13" s="180"/>
      <c r="ATW13" s="180"/>
      <c r="ATX13" s="180"/>
      <c r="ATY13" s="180"/>
      <c r="ATZ13" s="180"/>
      <c r="AUA13" s="180"/>
      <c r="AUB13" s="180"/>
      <c r="AUC13" s="180"/>
      <c r="AUD13" s="180"/>
      <c r="AUE13" s="180"/>
      <c r="AUF13" s="180"/>
      <c r="AUG13" s="180"/>
      <c r="AUH13" s="180"/>
      <c r="AUI13" s="180"/>
      <c r="AUJ13" s="180"/>
      <c r="AUK13" s="180"/>
      <c r="AUL13" s="180"/>
      <c r="AUM13" s="180"/>
      <c r="AUN13" s="180"/>
      <c r="AUO13" s="180"/>
      <c r="AUP13" s="180"/>
      <c r="AUQ13" s="180"/>
      <c r="AUR13" s="180"/>
      <c r="AUS13" s="180"/>
      <c r="AUT13" s="180"/>
      <c r="AUU13" s="180"/>
      <c r="AUV13" s="180"/>
      <c r="AUW13" s="180"/>
      <c r="AUX13" s="180"/>
      <c r="AUY13" s="180"/>
      <c r="AUZ13" s="180"/>
      <c r="AVA13" s="180"/>
      <c r="AVB13" s="180"/>
      <c r="AVC13" s="180"/>
      <c r="AVD13" s="180"/>
      <c r="AVE13" s="180"/>
      <c r="AVF13" s="180"/>
      <c r="AVG13" s="180"/>
      <c r="AVH13" s="180"/>
      <c r="AVI13" s="180"/>
      <c r="AVJ13" s="180"/>
      <c r="AVK13" s="180"/>
      <c r="AVL13" s="180"/>
      <c r="AVM13" s="180"/>
      <c r="AVN13" s="180"/>
      <c r="AVO13" s="180"/>
      <c r="AVP13" s="180"/>
      <c r="AVQ13" s="180"/>
      <c r="AVR13" s="180"/>
      <c r="AVS13" s="180"/>
      <c r="AVT13" s="180"/>
      <c r="AVU13" s="180"/>
      <c r="AVV13" s="180"/>
      <c r="AVW13" s="180"/>
      <c r="AVX13" s="180"/>
      <c r="AVY13" s="180"/>
      <c r="AVZ13" s="180"/>
      <c r="AWA13" s="180"/>
      <c r="AWB13" s="180"/>
      <c r="AWC13" s="180"/>
      <c r="AWD13" s="180"/>
      <c r="AWE13" s="180"/>
      <c r="AWF13" s="180"/>
      <c r="AWG13" s="180"/>
      <c r="AWH13" s="180"/>
      <c r="AWI13" s="180"/>
      <c r="AWJ13" s="180"/>
      <c r="AWK13" s="180"/>
      <c r="AWL13" s="180"/>
      <c r="AWM13" s="180"/>
      <c r="AWN13" s="180"/>
      <c r="AWO13" s="180"/>
      <c r="AWP13" s="180"/>
      <c r="AWQ13" s="180"/>
      <c r="AWR13" s="180"/>
      <c r="AWS13" s="180"/>
      <c r="AWT13" s="180"/>
      <c r="AWU13" s="180"/>
      <c r="AWV13" s="180"/>
      <c r="AWW13" s="180"/>
      <c r="AWX13" s="180"/>
      <c r="AWY13" s="180"/>
      <c r="AWZ13" s="180"/>
      <c r="AXA13" s="180"/>
      <c r="AXB13" s="180"/>
      <c r="AXC13" s="180"/>
      <c r="AXD13" s="180"/>
      <c r="AXE13" s="180"/>
      <c r="AXF13" s="180"/>
      <c r="AXG13" s="180"/>
      <c r="AXH13" s="180"/>
      <c r="AXI13" s="180"/>
      <c r="AXJ13" s="180"/>
      <c r="AXK13" s="180"/>
      <c r="AXL13" s="180"/>
      <c r="AXM13" s="180"/>
      <c r="AXN13" s="180"/>
      <c r="AXO13" s="180"/>
      <c r="AXP13" s="180"/>
      <c r="AXQ13" s="180"/>
      <c r="AXR13" s="180"/>
      <c r="AXS13" s="180"/>
      <c r="AXT13" s="180"/>
      <c r="AXU13" s="180"/>
      <c r="AXV13" s="180"/>
      <c r="AXW13" s="180"/>
      <c r="AXX13" s="180"/>
      <c r="AXY13" s="180"/>
      <c r="AXZ13" s="180"/>
      <c r="AYA13" s="180"/>
      <c r="AYB13" s="180"/>
      <c r="AYC13" s="180"/>
      <c r="AYD13" s="180"/>
      <c r="AYE13" s="180"/>
      <c r="AYF13" s="180"/>
      <c r="AYG13" s="180"/>
      <c r="AYH13" s="180"/>
      <c r="AYI13" s="180"/>
      <c r="AYJ13" s="180"/>
      <c r="AYK13" s="180"/>
      <c r="AYL13" s="180"/>
      <c r="AYM13" s="180"/>
      <c r="AYN13" s="180"/>
      <c r="AYO13" s="180"/>
      <c r="AYP13" s="180"/>
      <c r="AYQ13" s="180"/>
      <c r="AYR13" s="180"/>
      <c r="AYS13" s="180"/>
      <c r="AYT13" s="180"/>
      <c r="AYU13" s="180"/>
      <c r="AYV13" s="180"/>
      <c r="AYW13" s="180"/>
      <c r="AYX13" s="180"/>
      <c r="AYY13" s="180"/>
      <c r="AYZ13" s="180"/>
      <c r="AZA13" s="180"/>
      <c r="AZB13" s="180"/>
      <c r="AZC13" s="180"/>
      <c r="AZD13" s="180"/>
      <c r="AZE13" s="180"/>
      <c r="AZF13" s="180"/>
      <c r="AZG13" s="180"/>
      <c r="AZH13" s="180"/>
      <c r="AZI13" s="180"/>
      <c r="AZJ13" s="180"/>
      <c r="AZK13" s="180"/>
      <c r="AZL13" s="180"/>
      <c r="AZM13" s="180"/>
      <c r="AZN13" s="180"/>
      <c r="AZO13" s="180"/>
      <c r="AZP13" s="180"/>
      <c r="AZQ13" s="180"/>
      <c r="AZR13" s="180"/>
      <c r="AZS13" s="180"/>
      <c r="AZT13" s="180"/>
      <c r="AZU13" s="180"/>
      <c r="AZV13" s="180"/>
      <c r="AZW13" s="180"/>
      <c r="AZX13" s="180"/>
      <c r="AZY13" s="180"/>
      <c r="AZZ13" s="180"/>
      <c r="BAA13" s="180"/>
      <c r="BAB13" s="180"/>
      <c r="BAC13" s="180"/>
      <c r="BAD13" s="180"/>
      <c r="BAE13" s="180"/>
      <c r="BAF13" s="180"/>
      <c r="BAG13" s="180"/>
      <c r="BAH13" s="180"/>
      <c r="BAI13" s="180"/>
      <c r="BAJ13" s="180"/>
      <c r="BAK13" s="180"/>
      <c r="BAL13" s="180"/>
      <c r="BAM13" s="180"/>
      <c r="BAN13" s="180"/>
      <c r="BAO13" s="180"/>
      <c r="BAP13" s="180"/>
      <c r="BAQ13" s="180"/>
      <c r="BAR13" s="180"/>
      <c r="BAS13" s="180"/>
      <c r="BAT13" s="180"/>
      <c r="BAU13" s="180"/>
      <c r="BAV13" s="180"/>
      <c r="BAW13" s="180"/>
      <c r="BAX13" s="180"/>
      <c r="BAY13" s="180"/>
      <c r="BAZ13" s="180"/>
      <c r="BBA13" s="180"/>
      <c r="BBB13" s="180"/>
      <c r="BBC13" s="180"/>
      <c r="BBD13" s="180"/>
      <c r="BBE13" s="180"/>
      <c r="BBF13" s="180"/>
      <c r="BBG13" s="180"/>
      <c r="BBH13" s="180"/>
      <c r="BBI13" s="180"/>
      <c r="BBJ13" s="180"/>
      <c r="BBK13" s="180"/>
      <c r="BBL13" s="180"/>
      <c r="BBM13" s="180"/>
      <c r="BBN13" s="180"/>
      <c r="BBO13" s="180"/>
      <c r="BBP13" s="180"/>
      <c r="BBQ13" s="180"/>
      <c r="BBR13" s="180"/>
      <c r="BBS13" s="180"/>
      <c r="BBT13" s="180"/>
      <c r="BBU13" s="180"/>
      <c r="BBV13" s="180"/>
      <c r="BBW13" s="180"/>
      <c r="BBX13" s="180"/>
      <c r="BBY13" s="180"/>
      <c r="BBZ13" s="180"/>
      <c r="BCA13" s="180"/>
      <c r="BCB13" s="180"/>
      <c r="BCC13" s="180"/>
      <c r="BCD13" s="180"/>
      <c r="BCE13" s="180"/>
      <c r="BCF13" s="180"/>
      <c r="BCG13" s="180"/>
      <c r="BCH13" s="180"/>
      <c r="BCI13" s="180"/>
      <c r="BCJ13" s="180"/>
      <c r="BCK13" s="180"/>
      <c r="BCL13" s="180"/>
      <c r="BCM13" s="180"/>
      <c r="BCN13" s="180"/>
      <c r="BCO13" s="180"/>
      <c r="BCP13" s="180"/>
      <c r="BCQ13" s="180"/>
      <c r="BCR13" s="180"/>
      <c r="BCS13" s="180"/>
      <c r="BCT13" s="180"/>
      <c r="BCU13" s="180"/>
      <c r="BCV13" s="180"/>
      <c r="BCW13" s="180"/>
      <c r="BCX13" s="180"/>
      <c r="BCY13" s="180"/>
      <c r="BCZ13" s="180"/>
      <c r="BDA13" s="180"/>
      <c r="BDB13" s="180"/>
      <c r="BDC13" s="180"/>
      <c r="BDD13" s="180"/>
      <c r="BDE13" s="180"/>
      <c r="BDF13" s="180"/>
      <c r="BDG13" s="180"/>
      <c r="BDH13" s="180"/>
      <c r="BDI13" s="180"/>
      <c r="BDJ13" s="180"/>
      <c r="BDK13" s="180"/>
      <c r="BDL13" s="180"/>
      <c r="BDM13" s="180"/>
      <c r="BDN13" s="180"/>
      <c r="BDO13" s="180"/>
      <c r="BDP13" s="180"/>
      <c r="BDQ13" s="180"/>
      <c r="BDR13" s="180"/>
      <c r="BDS13" s="180"/>
      <c r="BDT13" s="180"/>
      <c r="BDU13" s="180"/>
      <c r="BDV13" s="180"/>
      <c r="BDW13" s="180"/>
      <c r="BDX13" s="180"/>
      <c r="BDY13" s="180"/>
      <c r="BDZ13" s="180"/>
      <c r="BEA13" s="180"/>
      <c r="BEB13" s="180"/>
      <c r="BEC13" s="180"/>
      <c r="BED13" s="180"/>
      <c r="BEE13" s="180"/>
      <c r="BEF13" s="180"/>
      <c r="BEG13" s="180"/>
      <c r="BEH13" s="180"/>
      <c r="BEI13" s="180"/>
      <c r="BEJ13" s="180"/>
      <c r="BEK13" s="180"/>
      <c r="BEL13" s="180"/>
      <c r="BEM13" s="180"/>
      <c r="BEN13" s="180"/>
      <c r="BEO13" s="180"/>
      <c r="BEP13" s="180"/>
      <c r="BEQ13" s="180"/>
      <c r="BER13" s="180"/>
      <c r="BES13" s="180"/>
      <c r="BET13" s="180"/>
      <c r="BEU13" s="180"/>
      <c r="BEV13" s="180"/>
      <c r="BEW13" s="180"/>
      <c r="BEX13" s="180"/>
      <c r="BEY13" s="180"/>
      <c r="BEZ13" s="180"/>
      <c r="BFA13" s="180"/>
      <c r="BFB13" s="180"/>
      <c r="BFC13" s="180"/>
      <c r="BFD13" s="180"/>
      <c r="BFE13" s="180"/>
      <c r="BFF13" s="180"/>
      <c r="BFG13" s="180"/>
      <c r="BFH13" s="180"/>
      <c r="BFI13" s="180"/>
      <c r="BFJ13" s="180"/>
      <c r="BFK13" s="180"/>
      <c r="BFL13" s="180"/>
      <c r="BFM13" s="180"/>
      <c r="BFN13" s="180"/>
      <c r="BFO13" s="180"/>
      <c r="BFP13" s="180"/>
      <c r="BFQ13" s="180"/>
      <c r="BFR13" s="180"/>
      <c r="BFS13" s="180"/>
      <c r="BFT13" s="180"/>
      <c r="BFU13" s="180"/>
      <c r="BFV13" s="180"/>
      <c r="BFW13" s="180"/>
      <c r="BFX13" s="180"/>
      <c r="BFY13" s="180"/>
      <c r="BFZ13" s="180"/>
      <c r="BGA13" s="180"/>
      <c r="BGB13" s="180"/>
      <c r="BGC13" s="180"/>
      <c r="BGD13" s="180"/>
      <c r="BGE13" s="180"/>
      <c r="BGF13" s="180"/>
      <c r="BGG13" s="180"/>
      <c r="BGH13" s="180"/>
      <c r="BGI13" s="180"/>
      <c r="BGJ13" s="180"/>
      <c r="BGK13" s="180"/>
      <c r="BGL13" s="180"/>
      <c r="BGM13" s="180"/>
      <c r="BGN13" s="180"/>
      <c r="BGO13" s="180"/>
      <c r="BGP13" s="180"/>
      <c r="BGQ13" s="180"/>
      <c r="BGR13" s="180"/>
      <c r="BGS13" s="180"/>
      <c r="BGT13" s="180"/>
      <c r="BGU13" s="180"/>
      <c r="BGV13" s="180"/>
      <c r="BGW13" s="180"/>
      <c r="BGX13" s="180"/>
      <c r="BGY13" s="180"/>
      <c r="BGZ13" s="180"/>
      <c r="BHA13" s="180"/>
      <c r="BHB13" s="180"/>
      <c r="BHC13" s="180"/>
      <c r="BHD13" s="180"/>
      <c r="BHE13" s="180"/>
      <c r="BHF13" s="180"/>
      <c r="BHG13" s="180"/>
      <c r="BHH13" s="180"/>
      <c r="BHI13" s="180"/>
      <c r="BHJ13" s="180"/>
      <c r="BHK13" s="180"/>
      <c r="BHL13" s="180"/>
      <c r="BHM13" s="180"/>
      <c r="BHN13" s="180"/>
      <c r="BHO13" s="180"/>
      <c r="BHP13" s="180"/>
      <c r="BHQ13" s="180"/>
      <c r="BHR13" s="180"/>
      <c r="BHS13" s="180"/>
      <c r="BHT13" s="180"/>
      <c r="BHU13" s="180"/>
      <c r="BHV13" s="180"/>
      <c r="BHW13" s="180"/>
      <c r="BHX13" s="180"/>
      <c r="BHY13" s="180"/>
      <c r="BHZ13" s="180"/>
      <c r="BIA13" s="180"/>
      <c r="BIB13" s="180"/>
      <c r="BIC13" s="180"/>
      <c r="BID13" s="180"/>
      <c r="BIE13" s="180"/>
      <c r="BIF13" s="180"/>
      <c r="BIG13" s="180"/>
      <c r="BIH13" s="180"/>
      <c r="BII13" s="180"/>
      <c r="BIJ13" s="180"/>
      <c r="BIK13" s="180"/>
      <c r="BIL13" s="180"/>
      <c r="BIM13" s="180"/>
      <c r="BIN13" s="180"/>
      <c r="BIO13" s="180"/>
      <c r="BIP13" s="180"/>
      <c r="BIQ13" s="180"/>
      <c r="BIR13" s="180"/>
      <c r="BIS13" s="180"/>
      <c r="BIT13" s="180"/>
      <c r="BIU13" s="180"/>
      <c r="BIV13" s="180"/>
      <c r="BIW13" s="180"/>
      <c r="BIX13" s="180"/>
      <c r="BIY13" s="180"/>
      <c r="BIZ13" s="180"/>
      <c r="BJA13" s="180"/>
      <c r="BJB13" s="180"/>
      <c r="BJC13" s="180"/>
      <c r="BJD13" s="180"/>
      <c r="BJE13" s="180"/>
      <c r="BJF13" s="180"/>
      <c r="BJG13" s="180"/>
      <c r="BJH13" s="180"/>
      <c r="BJI13" s="180"/>
      <c r="BJJ13" s="180"/>
      <c r="BJK13" s="180"/>
      <c r="BJL13" s="180"/>
      <c r="BJM13" s="180"/>
      <c r="BJN13" s="180"/>
      <c r="BJO13" s="180"/>
      <c r="BJP13" s="180"/>
      <c r="BJQ13" s="180"/>
      <c r="BJR13" s="180"/>
      <c r="BJS13" s="180"/>
      <c r="BJT13" s="180"/>
      <c r="BJU13" s="180"/>
      <c r="BJV13" s="180"/>
      <c r="BJW13" s="180"/>
      <c r="BJX13" s="180"/>
      <c r="BJY13" s="180"/>
      <c r="BJZ13" s="180"/>
      <c r="BKA13" s="180"/>
      <c r="BKB13" s="180"/>
      <c r="BKC13" s="180"/>
      <c r="BKD13" s="180"/>
      <c r="BKE13" s="180"/>
      <c r="BKF13" s="180"/>
      <c r="BKG13" s="180"/>
      <c r="BKH13" s="180"/>
      <c r="BKI13" s="180"/>
      <c r="BKJ13" s="180"/>
      <c r="BKK13" s="180"/>
      <c r="BKL13" s="180"/>
      <c r="BKM13" s="180"/>
      <c r="BKN13" s="180"/>
      <c r="BKO13" s="180"/>
      <c r="BKP13" s="180"/>
      <c r="BKQ13" s="180"/>
      <c r="BKR13" s="180"/>
      <c r="BKS13" s="180"/>
      <c r="BKT13" s="180"/>
      <c r="BKU13" s="180"/>
      <c r="BKV13" s="180"/>
      <c r="BKW13" s="180"/>
      <c r="BKX13" s="180"/>
      <c r="BKY13" s="180"/>
      <c r="BKZ13" s="180"/>
      <c r="BLA13" s="180"/>
      <c r="BLB13" s="180"/>
      <c r="BLC13" s="180"/>
      <c r="BLD13" s="180"/>
      <c r="BLE13" s="180"/>
      <c r="BLF13" s="180"/>
      <c r="BLG13" s="180"/>
      <c r="BLH13" s="180"/>
      <c r="BLI13" s="180"/>
      <c r="BLJ13" s="180"/>
      <c r="BLK13" s="180"/>
      <c r="BLL13" s="180"/>
      <c r="BLM13" s="180"/>
      <c r="BLN13" s="180"/>
      <c r="BLO13" s="180"/>
      <c r="BLP13" s="180"/>
      <c r="BLQ13" s="180"/>
      <c r="BLR13" s="180"/>
      <c r="BLS13" s="180"/>
      <c r="BLT13" s="180"/>
      <c r="BLU13" s="180"/>
      <c r="BLV13" s="180"/>
      <c r="BLW13" s="180"/>
      <c r="BLX13" s="180"/>
      <c r="BLY13" s="180"/>
      <c r="BLZ13" s="180"/>
      <c r="BMA13" s="180"/>
      <c r="BMB13" s="180"/>
      <c r="BMC13" s="180"/>
      <c r="BMD13" s="180"/>
      <c r="BME13" s="180"/>
      <c r="BMF13" s="180"/>
      <c r="BMG13" s="180"/>
      <c r="BMH13" s="180"/>
      <c r="BMI13" s="180"/>
      <c r="BMJ13" s="180"/>
      <c r="BMK13" s="180"/>
      <c r="BML13" s="180"/>
      <c r="BMM13" s="180"/>
      <c r="BMN13" s="180"/>
      <c r="BMO13" s="180"/>
      <c r="BMP13" s="180"/>
      <c r="BMQ13" s="180"/>
      <c r="BMR13" s="180"/>
      <c r="BMS13" s="180"/>
      <c r="BMT13" s="180"/>
      <c r="BMU13" s="180"/>
      <c r="BMV13" s="180"/>
      <c r="BMW13" s="180"/>
      <c r="BMX13" s="180"/>
      <c r="BMY13" s="180"/>
      <c r="BMZ13" s="180"/>
      <c r="BNA13" s="180"/>
      <c r="BNB13" s="180"/>
      <c r="BNC13" s="180"/>
      <c r="BND13" s="180"/>
      <c r="BNE13" s="180"/>
      <c r="BNF13" s="180"/>
      <c r="BNG13" s="180"/>
      <c r="BNH13" s="180"/>
      <c r="BNI13" s="180"/>
      <c r="BNJ13" s="180"/>
      <c r="BNK13" s="180"/>
      <c r="BNL13" s="180"/>
      <c r="BNM13" s="180"/>
      <c r="BNN13" s="180"/>
      <c r="BNO13" s="180"/>
      <c r="BNP13" s="180"/>
      <c r="BNQ13" s="180"/>
      <c r="BNR13" s="180"/>
      <c r="BNS13" s="180"/>
      <c r="BNT13" s="180"/>
      <c r="BNU13" s="180"/>
      <c r="BNV13" s="180"/>
      <c r="BNW13" s="180"/>
      <c r="BNX13" s="180"/>
      <c r="BNY13" s="180"/>
      <c r="BNZ13" s="180"/>
      <c r="BOA13" s="180"/>
      <c r="BOB13" s="180"/>
      <c r="BOC13" s="180"/>
      <c r="BOD13" s="180"/>
      <c r="BOE13" s="180"/>
      <c r="BOF13" s="180"/>
      <c r="BOG13" s="180"/>
      <c r="BOH13" s="180"/>
      <c r="BOI13" s="180"/>
      <c r="BOJ13" s="180"/>
      <c r="BOK13" s="180"/>
      <c r="BOL13" s="180"/>
      <c r="BOM13" s="180"/>
      <c r="BON13" s="180"/>
      <c r="BOO13" s="180"/>
      <c r="BOP13" s="180"/>
      <c r="BOQ13" s="180"/>
      <c r="BOR13" s="180"/>
      <c r="BOS13" s="180"/>
      <c r="BOT13" s="180"/>
      <c r="BOU13" s="180"/>
      <c r="BOV13" s="180"/>
      <c r="BOW13" s="180"/>
      <c r="BOX13" s="180"/>
      <c r="BOY13" s="180"/>
      <c r="BOZ13" s="180"/>
      <c r="BPA13" s="180"/>
      <c r="BPB13" s="180"/>
      <c r="BPC13" s="180"/>
      <c r="BPD13" s="180"/>
      <c r="BPE13" s="180"/>
      <c r="BPF13" s="180"/>
      <c r="BPG13" s="180"/>
      <c r="BPH13" s="180"/>
      <c r="BPI13" s="180"/>
      <c r="BPJ13" s="180"/>
      <c r="BPK13" s="180"/>
      <c r="BPL13" s="180"/>
      <c r="BPM13" s="180"/>
      <c r="BPN13" s="180"/>
      <c r="BPO13" s="180"/>
      <c r="BPP13" s="180"/>
      <c r="BPQ13" s="180"/>
      <c r="BPR13" s="180"/>
      <c r="BPS13" s="180"/>
      <c r="BPT13" s="180"/>
      <c r="BPU13" s="180"/>
      <c r="BPV13" s="180"/>
      <c r="BPW13" s="180"/>
      <c r="BPX13" s="180"/>
      <c r="BPY13" s="180"/>
      <c r="BPZ13" s="180"/>
      <c r="BQA13" s="180"/>
      <c r="BQB13" s="180"/>
      <c r="BQC13" s="180"/>
      <c r="BQD13" s="180"/>
      <c r="BQE13" s="180"/>
      <c r="BQF13" s="180"/>
      <c r="BQG13" s="180"/>
      <c r="BQH13" s="180"/>
      <c r="BQI13" s="180"/>
      <c r="BQJ13" s="180"/>
      <c r="BQK13" s="180"/>
      <c r="BQL13" s="180"/>
      <c r="BQM13" s="180"/>
      <c r="BQN13" s="180"/>
      <c r="BQO13" s="180"/>
      <c r="BQP13" s="180"/>
      <c r="BQQ13" s="180"/>
      <c r="BQR13" s="180"/>
      <c r="BQS13" s="180"/>
      <c r="BQT13" s="180"/>
      <c r="BQU13" s="180"/>
      <c r="BQV13" s="180"/>
      <c r="BQW13" s="180"/>
      <c r="BQX13" s="180"/>
      <c r="BQY13" s="180"/>
      <c r="BQZ13" s="180"/>
      <c r="BRA13" s="180"/>
      <c r="BRB13" s="180"/>
      <c r="BRC13" s="180"/>
      <c r="BRD13" s="180"/>
      <c r="BRE13" s="180"/>
      <c r="BRF13" s="180"/>
      <c r="BRG13" s="180"/>
      <c r="BRH13" s="180"/>
      <c r="BRI13" s="180"/>
      <c r="BRJ13" s="180"/>
      <c r="BRK13" s="180"/>
      <c r="BRL13" s="180"/>
      <c r="BRM13" s="180"/>
      <c r="BRN13" s="180"/>
      <c r="BRO13" s="180"/>
      <c r="BRP13" s="180"/>
      <c r="BRQ13" s="180"/>
      <c r="BRR13" s="180"/>
      <c r="BRS13" s="180"/>
      <c r="BRT13" s="180"/>
      <c r="BRU13" s="180"/>
      <c r="BRV13" s="180"/>
      <c r="BRW13" s="180"/>
      <c r="BRX13" s="180"/>
      <c r="BRY13" s="180"/>
      <c r="BRZ13" s="180"/>
      <c r="BSA13" s="180"/>
      <c r="BSB13" s="180"/>
      <c r="BSC13" s="180"/>
      <c r="BSD13" s="180"/>
      <c r="BSE13" s="180"/>
      <c r="BSF13" s="180"/>
      <c r="BSG13" s="180"/>
      <c r="BSH13" s="180"/>
      <c r="BSI13" s="180"/>
      <c r="BSJ13" s="180"/>
      <c r="BSK13" s="180"/>
      <c r="BSL13" s="180"/>
      <c r="BSM13" s="180"/>
      <c r="BSN13" s="180"/>
      <c r="BSO13" s="180"/>
      <c r="BSP13" s="180"/>
      <c r="BSQ13" s="180"/>
      <c r="BSR13" s="180"/>
      <c r="BSS13" s="180"/>
      <c r="BST13" s="180"/>
      <c r="BSU13" s="180"/>
      <c r="BSV13" s="180"/>
      <c r="BSW13" s="180"/>
      <c r="BSX13" s="180"/>
      <c r="BSY13" s="180"/>
      <c r="BSZ13" s="180"/>
      <c r="BTA13" s="180"/>
      <c r="BTB13" s="180"/>
      <c r="BTC13" s="180"/>
      <c r="BTD13" s="180"/>
      <c r="BTE13" s="180"/>
      <c r="BTF13" s="180"/>
      <c r="BTG13" s="180"/>
      <c r="BTH13" s="180"/>
      <c r="BTI13" s="180"/>
      <c r="BTJ13" s="180"/>
      <c r="BTK13" s="180"/>
      <c r="BTL13" s="180"/>
      <c r="BTM13" s="180"/>
      <c r="BTN13" s="180"/>
      <c r="BTO13" s="180"/>
      <c r="BTP13" s="180"/>
      <c r="BTQ13" s="180"/>
      <c r="BTR13" s="180"/>
      <c r="BTS13" s="180"/>
      <c r="BTT13" s="180"/>
      <c r="BTU13" s="180"/>
      <c r="BTV13" s="180"/>
      <c r="BTW13" s="180"/>
      <c r="BTX13" s="180"/>
      <c r="BTY13" s="180"/>
      <c r="BTZ13" s="180"/>
      <c r="BUA13" s="180"/>
      <c r="BUB13" s="180"/>
      <c r="BUC13" s="180"/>
      <c r="BUD13" s="180"/>
      <c r="BUE13" s="180"/>
      <c r="BUF13" s="180"/>
      <c r="BUG13" s="180"/>
      <c r="BUH13" s="180"/>
      <c r="BUI13" s="180"/>
      <c r="BUJ13" s="180"/>
      <c r="BUK13" s="180"/>
      <c r="BUL13" s="180"/>
      <c r="BUM13" s="180"/>
      <c r="BUN13" s="180"/>
      <c r="BUO13" s="180"/>
      <c r="BUP13" s="180"/>
      <c r="BUQ13" s="180"/>
      <c r="BUR13" s="180"/>
      <c r="BUS13" s="180"/>
      <c r="BUT13" s="180"/>
      <c r="BUU13" s="180"/>
      <c r="BUV13" s="180"/>
      <c r="BUW13" s="180"/>
      <c r="BUX13" s="180"/>
      <c r="BUY13" s="180"/>
      <c r="BUZ13" s="180"/>
      <c r="BVA13" s="180"/>
      <c r="BVB13" s="180"/>
      <c r="BVC13" s="180"/>
      <c r="BVD13" s="180"/>
      <c r="BVE13" s="180"/>
      <c r="BVF13" s="180"/>
      <c r="BVG13" s="180"/>
      <c r="BVH13" s="180"/>
      <c r="BVI13" s="180"/>
      <c r="BVJ13" s="180"/>
      <c r="BVK13" s="180"/>
      <c r="BVL13" s="180"/>
      <c r="BVM13" s="180"/>
      <c r="BVN13" s="180"/>
      <c r="BVO13" s="180"/>
      <c r="BVP13" s="180"/>
      <c r="BVQ13" s="180"/>
      <c r="BVR13" s="180"/>
      <c r="BVS13" s="180"/>
      <c r="BVT13" s="180"/>
      <c r="BVU13" s="180"/>
      <c r="BVV13" s="180"/>
      <c r="BVW13" s="180"/>
      <c r="BVX13" s="180"/>
      <c r="BVY13" s="180"/>
      <c r="BVZ13" s="180"/>
      <c r="BWA13" s="180"/>
      <c r="BWB13" s="180"/>
      <c r="BWC13" s="180"/>
      <c r="BWD13" s="180"/>
      <c r="BWE13" s="180"/>
      <c r="BWF13" s="180"/>
      <c r="BWG13" s="180"/>
      <c r="BWH13" s="180"/>
      <c r="BWI13" s="180"/>
      <c r="BWJ13" s="180"/>
      <c r="BWK13" s="180"/>
      <c r="BWL13" s="180"/>
      <c r="BWM13" s="180"/>
      <c r="BWN13" s="180"/>
      <c r="BWO13" s="180"/>
      <c r="BWP13" s="180"/>
      <c r="BWQ13" s="180"/>
      <c r="BWR13" s="180"/>
      <c r="BWS13" s="180"/>
      <c r="BWT13" s="180"/>
      <c r="BWU13" s="180"/>
      <c r="BWV13" s="180"/>
      <c r="BWW13" s="180"/>
      <c r="BWX13" s="180"/>
      <c r="BWY13" s="180"/>
      <c r="BWZ13" s="180"/>
      <c r="BXA13" s="180"/>
      <c r="BXB13" s="180"/>
      <c r="BXC13" s="180"/>
      <c r="BXD13" s="180"/>
      <c r="BXE13" s="180"/>
      <c r="BXF13" s="180"/>
      <c r="BXG13" s="180"/>
      <c r="BXH13" s="180"/>
      <c r="BXI13" s="180"/>
      <c r="BXJ13" s="180"/>
      <c r="BXK13" s="180"/>
      <c r="BXL13" s="180"/>
      <c r="BXM13" s="180"/>
      <c r="BXN13" s="180"/>
      <c r="BXO13" s="180"/>
      <c r="BXP13" s="180"/>
      <c r="BXQ13" s="180"/>
      <c r="BXR13" s="180"/>
      <c r="BXS13" s="180"/>
      <c r="BXT13" s="180"/>
      <c r="BXU13" s="180"/>
      <c r="BXV13" s="180"/>
      <c r="BXW13" s="180"/>
      <c r="BXX13" s="180"/>
      <c r="BXY13" s="180"/>
      <c r="BXZ13" s="180"/>
      <c r="BYA13" s="180"/>
      <c r="BYB13" s="180"/>
      <c r="BYC13" s="180"/>
    </row>
    <row r="14" spans="1:2005" ht="17">
      <c r="A14" s="1915"/>
      <c r="B14" s="658" t="s">
        <v>103</v>
      </c>
      <c r="C14" s="355"/>
      <c r="D14" s="356"/>
      <c r="E14" s="355"/>
      <c r="F14" s="355"/>
      <c r="G14" s="357"/>
      <c r="H14" s="356"/>
      <c r="I14" s="519"/>
      <c r="J14" s="355"/>
      <c r="K14" s="412"/>
      <c r="L14" s="751"/>
      <c r="M14" s="357"/>
      <c r="N14" s="356"/>
      <c r="O14" s="357"/>
      <c r="P14" s="599"/>
      <c r="Q14" s="636"/>
      <c r="R14" s="757"/>
      <c r="S14" s="523"/>
      <c r="T14" s="351"/>
      <c r="U14" s="522"/>
      <c r="V14" s="181"/>
      <c r="W14" s="522"/>
      <c r="X14" s="180"/>
      <c r="Y14" s="645"/>
      <c r="Z14" s="646"/>
      <c r="AA14" s="771">
        <f>(25002776+23979842)/2/10^6</f>
        <v>24.491309000000001</v>
      </c>
      <c r="AB14" s="1187">
        <f>AA14*0.1</f>
        <v>2.4491309000000001</v>
      </c>
      <c r="AC14" s="645"/>
      <c r="AD14" s="180"/>
      <c r="AE14" s="1600"/>
      <c r="AF14" s="1203"/>
      <c r="AG14" s="180"/>
      <c r="AH14" s="180"/>
      <c r="AI14" s="180"/>
      <c r="AJ14" s="180"/>
      <c r="AK14" s="180"/>
      <c r="AL14" s="180"/>
      <c r="AM14" s="180"/>
      <c r="AN14" s="180"/>
      <c r="AO14" s="180"/>
      <c r="AP14" s="180"/>
      <c r="AQ14" s="180"/>
      <c r="AR14" s="180"/>
      <c r="AS14" s="180"/>
      <c r="AT14" s="180"/>
      <c r="AU14" s="180"/>
      <c r="AV14" s="180"/>
      <c r="AW14" s="180"/>
      <c r="AX14" s="180"/>
      <c r="AY14" s="180"/>
      <c r="AZ14" s="180"/>
      <c r="BA14" s="180"/>
      <c r="BB14" s="180"/>
      <c r="BC14" s="180"/>
      <c r="BD14" s="180"/>
      <c r="BE14" s="180"/>
      <c r="BF14" s="180"/>
      <c r="BG14" s="180"/>
      <c r="BH14" s="180"/>
      <c r="BI14" s="180"/>
      <c r="BJ14" s="180"/>
      <c r="BK14" s="180"/>
      <c r="BL14" s="180"/>
      <c r="BM14" s="180"/>
      <c r="BN14" s="180"/>
      <c r="BO14" s="180"/>
      <c r="BP14" s="180"/>
      <c r="BQ14" s="180"/>
      <c r="BR14" s="180"/>
      <c r="BS14" s="180"/>
      <c r="BT14" s="180"/>
      <c r="BU14" s="180"/>
      <c r="BV14" s="180"/>
      <c r="BW14" s="180"/>
      <c r="BX14" s="180"/>
      <c r="BY14" s="180"/>
      <c r="BZ14" s="180"/>
      <c r="CA14" s="180"/>
      <c r="CB14" s="180"/>
      <c r="CC14" s="180"/>
      <c r="CD14" s="180"/>
      <c r="CE14" s="180"/>
      <c r="CF14" s="180"/>
      <c r="CG14" s="180"/>
      <c r="CH14" s="180"/>
      <c r="CI14" s="180"/>
      <c r="CJ14" s="180"/>
      <c r="CK14" s="180"/>
      <c r="CL14" s="180"/>
      <c r="CM14" s="180"/>
      <c r="CN14" s="180"/>
      <c r="CO14" s="180"/>
      <c r="CP14" s="180"/>
      <c r="CQ14" s="180"/>
      <c r="CR14" s="180"/>
      <c r="CS14" s="180"/>
      <c r="CT14" s="180"/>
      <c r="CU14" s="180"/>
      <c r="CV14" s="180"/>
      <c r="CW14" s="180"/>
      <c r="CX14" s="180"/>
      <c r="CY14" s="180"/>
      <c r="CZ14" s="180"/>
      <c r="DA14" s="180"/>
      <c r="DB14" s="180"/>
      <c r="DC14" s="180"/>
      <c r="DD14" s="180"/>
      <c r="DE14" s="180"/>
      <c r="DF14" s="180"/>
      <c r="DG14" s="180"/>
      <c r="DH14" s="180"/>
      <c r="DI14" s="180"/>
      <c r="DJ14" s="180"/>
      <c r="DK14" s="180"/>
      <c r="DL14" s="180"/>
      <c r="DM14" s="180"/>
      <c r="DN14" s="180"/>
      <c r="DO14" s="180"/>
      <c r="DP14" s="180"/>
      <c r="DQ14" s="180"/>
      <c r="DR14" s="180"/>
      <c r="DS14" s="180"/>
      <c r="DT14" s="180"/>
      <c r="DU14" s="180"/>
      <c r="DV14" s="180"/>
      <c r="DW14" s="180"/>
      <c r="DX14" s="180"/>
      <c r="DY14" s="180"/>
      <c r="DZ14" s="180"/>
      <c r="EA14" s="180"/>
      <c r="EB14" s="180"/>
      <c r="EC14" s="180"/>
      <c r="ED14" s="180"/>
      <c r="EE14" s="180"/>
      <c r="EF14" s="180"/>
      <c r="EG14" s="180"/>
      <c r="EH14" s="180"/>
      <c r="EI14" s="180"/>
      <c r="EJ14" s="180"/>
      <c r="EK14" s="180"/>
      <c r="EL14" s="180"/>
      <c r="EM14" s="180"/>
      <c r="EN14" s="180"/>
      <c r="EO14" s="180"/>
      <c r="EP14" s="180"/>
      <c r="EQ14" s="180"/>
      <c r="ER14" s="180"/>
      <c r="ES14" s="180"/>
      <c r="ET14" s="180"/>
      <c r="EU14" s="180"/>
      <c r="EV14" s="180"/>
      <c r="EW14" s="180"/>
      <c r="EX14" s="180"/>
      <c r="EY14" s="180"/>
      <c r="EZ14" s="180"/>
      <c r="FA14" s="180"/>
      <c r="FB14" s="180"/>
      <c r="FC14" s="180"/>
      <c r="FD14" s="180"/>
      <c r="FE14" s="180"/>
      <c r="FF14" s="180"/>
      <c r="FG14" s="180"/>
      <c r="FH14" s="180"/>
      <c r="FI14" s="180"/>
      <c r="FJ14" s="180"/>
      <c r="FK14" s="180"/>
      <c r="FL14" s="180"/>
      <c r="FM14" s="180"/>
      <c r="FN14" s="180"/>
      <c r="FO14" s="180"/>
      <c r="FP14" s="180"/>
      <c r="FQ14" s="180"/>
      <c r="FR14" s="180"/>
      <c r="FS14" s="180"/>
      <c r="FT14" s="180"/>
      <c r="FU14" s="180"/>
      <c r="FV14" s="180"/>
      <c r="FW14" s="180"/>
      <c r="FX14" s="180"/>
      <c r="FY14" s="180"/>
      <c r="FZ14" s="180"/>
      <c r="GA14" s="180"/>
      <c r="GB14" s="180"/>
      <c r="GC14" s="180"/>
      <c r="GD14" s="180"/>
      <c r="GE14" s="180"/>
      <c r="GF14" s="180"/>
      <c r="GG14" s="180"/>
      <c r="GH14" s="180"/>
      <c r="GI14" s="180"/>
      <c r="GJ14" s="180"/>
      <c r="GK14" s="180"/>
      <c r="GL14" s="180"/>
      <c r="GM14" s="180"/>
      <c r="GN14" s="180"/>
      <c r="GO14" s="180"/>
      <c r="GP14" s="180"/>
      <c r="GQ14" s="180"/>
      <c r="GR14" s="180"/>
      <c r="GS14" s="180"/>
      <c r="GT14" s="180"/>
      <c r="GU14" s="180"/>
      <c r="GV14" s="180"/>
      <c r="GW14" s="180"/>
      <c r="GX14" s="180"/>
      <c r="GY14" s="180"/>
      <c r="GZ14" s="180"/>
      <c r="HA14" s="180"/>
      <c r="HB14" s="180"/>
      <c r="HC14" s="180"/>
      <c r="HD14" s="180"/>
      <c r="HE14" s="180"/>
      <c r="HF14" s="180"/>
      <c r="HG14" s="180"/>
      <c r="HH14" s="180"/>
      <c r="HI14" s="180"/>
      <c r="HJ14" s="180"/>
      <c r="HK14" s="180"/>
      <c r="HL14" s="180"/>
      <c r="HM14" s="180"/>
      <c r="HN14" s="180"/>
      <c r="HO14" s="180"/>
      <c r="HP14" s="180"/>
      <c r="HQ14" s="180"/>
      <c r="HR14" s="180"/>
      <c r="HS14" s="180"/>
      <c r="HT14" s="180"/>
      <c r="HU14" s="180"/>
      <c r="HV14" s="180"/>
      <c r="HW14" s="180"/>
      <c r="HX14" s="180"/>
      <c r="HY14" s="180"/>
      <c r="HZ14" s="180"/>
      <c r="IA14" s="180"/>
      <c r="IB14" s="180"/>
      <c r="IC14" s="180"/>
      <c r="ID14" s="180"/>
      <c r="IE14" s="180"/>
      <c r="IF14" s="180"/>
      <c r="IG14" s="180"/>
      <c r="IH14" s="180"/>
      <c r="II14" s="180"/>
      <c r="IJ14" s="180"/>
      <c r="IK14" s="180"/>
      <c r="IL14" s="180"/>
      <c r="IM14" s="180"/>
      <c r="IN14" s="180"/>
      <c r="IO14" s="180"/>
      <c r="IP14" s="180"/>
      <c r="IQ14" s="180"/>
      <c r="IR14" s="180"/>
      <c r="IS14" s="180"/>
      <c r="IT14" s="180"/>
      <c r="IU14" s="180"/>
      <c r="IV14" s="180"/>
      <c r="IW14" s="180"/>
      <c r="IX14" s="180"/>
      <c r="IY14" s="180"/>
      <c r="IZ14" s="180"/>
      <c r="JA14" s="180"/>
      <c r="JB14" s="180"/>
      <c r="JC14" s="180"/>
      <c r="JD14" s="180"/>
      <c r="JE14" s="180"/>
      <c r="JF14" s="180"/>
      <c r="JG14" s="180"/>
      <c r="JH14" s="180"/>
      <c r="JI14" s="180"/>
      <c r="JJ14" s="180"/>
      <c r="JK14" s="180"/>
      <c r="JL14" s="180"/>
      <c r="JM14" s="180"/>
      <c r="JN14" s="180"/>
      <c r="JO14" s="180"/>
      <c r="JP14" s="180"/>
      <c r="JQ14" s="180"/>
      <c r="JR14" s="180"/>
      <c r="JS14" s="180"/>
      <c r="JT14" s="180"/>
      <c r="JU14" s="180"/>
      <c r="JV14" s="180"/>
      <c r="JW14" s="180"/>
      <c r="JX14" s="180"/>
      <c r="JY14" s="180"/>
      <c r="JZ14" s="180"/>
      <c r="KA14" s="180"/>
      <c r="KB14" s="180"/>
      <c r="KC14" s="180"/>
      <c r="KD14" s="180"/>
      <c r="KE14" s="180"/>
      <c r="KF14" s="180"/>
      <c r="KG14" s="180"/>
      <c r="KH14" s="180"/>
      <c r="KI14" s="180"/>
      <c r="KJ14" s="180"/>
      <c r="KK14" s="180"/>
      <c r="KL14" s="180"/>
      <c r="KM14" s="180"/>
      <c r="KN14" s="180"/>
      <c r="KO14" s="180"/>
      <c r="KP14" s="180"/>
      <c r="KQ14" s="180"/>
      <c r="KR14" s="180"/>
      <c r="KS14" s="180"/>
      <c r="KT14" s="180"/>
      <c r="KU14" s="180"/>
      <c r="KV14" s="180"/>
      <c r="KW14" s="180"/>
      <c r="KX14" s="180"/>
      <c r="KY14" s="180"/>
      <c r="KZ14" s="180"/>
      <c r="LA14" s="180"/>
      <c r="LB14" s="180"/>
      <c r="LC14" s="180"/>
      <c r="LD14" s="180"/>
      <c r="LE14" s="180"/>
      <c r="LF14" s="180"/>
      <c r="LG14" s="180"/>
      <c r="LH14" s="180"/>
      <c r="LI14" s="180"/>
      <c r="LJ14" s="180"/>
      <c r="LK14" s="180"/>
      <c r="LL14" s="180"/>
      <c r="LM14" s="180"/>
      <c r="LN14" s="180"/>
      <c r="LO14" s="180"/>
      <c r="LP14" s="180"/>
      <c r="LQ14" s="180"/>
      <c r="LR14" s="180"/>
      <c r="LS14" s="180"/>
      <c r="LT14" s="180"/>
      <c r="LU14" s="180"/>
      <c r="LV14" s="180"/>
      <c r="LW14" s="180"/>
      <c r="LX14" s="180"/>
      <c r="LY14" s="180"/>
      <c r="LZ14" s="180"/>
      <c r="MA14" s="180"/>
      <c r="MB14" s="180"/>
      <c r="MC14" s="180"/>
      <c r="MD14" s="180"/>
      <c r="ME14" s="180"/>
      <c r="MF14" s="180"/>
      <c r="MG14" s="180"/>
      <c r="MH14" s="180"/>
      <c r="MI14" s="180"/>
      <c r="MJ14" s="180"/>
      <c r="MK14" s="180"/>
      <c r="ML14" s="180"/>
      <c r="MM14" s="180"/>
      <c r="MN14" s="180"/>
      <c r="MO14" s="180"/>
      <c r="MP14" s="180"/>
      <c r="MQ14" s="180"/>
      <c r="MR14" s="180"/>
      <c r="MS14" s="180"/>
      <c r="MT14" s="180"/>
      <c r="MU14" s="180"/>
      <c r="MV14" s="180"/>
      <c r="MW14" s="180"/>
      <c r="MX14" s="180"/>
      <c r="MY14" s="180"/>
      <c r="MZ14" s="180"/>
      <c r="NA14" s="180"/>
      <c r="NB14" s="180"/>
      <c r="NC14" s="180"/>
      <c r="ND14" s="180"/>
      <c r="NE14" s="180"/>
      <c r="NF14" s="180"/>
      <c r="NG14" s="180"/>
      <c r="NH14" s="180"/>
      <c r="NI14" s="180"/>
      <c r="NJ14" s="180"/>
      <c r="NK14" s="180"/>
      <c r="NL14" s="180"/>
      <c r="NM14" s="180"/>
      <c r="NN14" s="180"/>
      <c r="NO14" s="180"/>
      <c r="NP14" s="180"/>
      <c r="NQ14" s="180"/>
      <c r="NR14" s="180"/>
      <c r="NS14" s="180"/>
      <c r="NT14" s="180"/>
      <c r="NU14" s="180"/>
      <c r="NV14" s="180"/>
      <c r="NW14" s="180"/>
      <c r="NX14" s="180"/>
      <c r="NY14" s="180"/>
      <c r="NZ14" s="180"/>
      <c r="OA14" s="180"/>
      <c r="OB14" s="180"/>
      <c r="OC14" s="180"/>
      <c r="OD14" s="180"/>
      <c r="OE14" s="180"/>
      <c r="OF14" s="180"/>
      <c r="OG14" s="180"/>
      <c r="OH14" s="180"/>
      <c r="OI14" s="180"/>
      <c r="OJ14" s="180"/>
      <c r="OK14" s="180"/>
      <c r="OL14" s="180"/>
      <c r="OM14" s="180"/>
      <c r="ON14" s="180"/>
      <c r="OO14" s="180"/>
      <c r="OP14" s="180"/>
      <c r="OQ14" s="180"/>
      <c r="OR14" s="180"/>
      <c r="OS14" s="180"/>
      <c r="OT14" s="180"/>
      <c r="OU14" s="180"/>
      <c r="OV14" s="180"/>
      <c r="OW14" s="180"/>
      <c r="OX14" s="180"/>
      <c r="OY14" s="180"/>
      <c r="OZ14" s="180"/>
      <c r="PA14" s="180"/>
      <c r="PB14" s="180"/>
      <c r="PC14" s="180"/>
      <c r="PD14" s="180"/>
      <c r="PE14" s="180"/>
      <c r="PF14" s="180"/>
      <c r="PG14" s="180"/>
      <c r="PH14" s="180"/>
      <c r="PI14" s="180"/>
      <c r="PJ14" s="180"/>
      <c r="PK14" s="180"/>
      <c r="PL14" s="180"/>
      <c r="PM14" s="180"/>
      <c r="PN14" s="180"/>
      <c r="PO14" s="180"/>
      <c r="PP14" s="180"/>
      <c r="PQ14" s="180"/>
      <c r="PR14" s="180"/>
      <c r="PS14" s="180"/>
      <c r="PT14" s="180"/>
      <c r="PU14" s="180"/>
      <c r="PV14" s="180"/>
      <c r="PW14" s="180"/>
      <c r="PX14" s="180"/>
      <c r="PY14" s="180"/>
      <c r="PZ14" s="180"/>
      <c r="QA14" s="180"/>
      <c r="QB14" s="180"/>
      <c r="QC14" s="180"/>
      <c r="QD14" s="180"/>
      <c r="QE14" s="180"/>
      <c r="QF14" s="180"/>
      <c r="QG14" s="180"/>
      <c r="QH14" s="180"/>
      <c r="QI14" s="180"/>
      <c r="QJ14" s="180"/>
      <c r="QK14" s="180"/>
      <c r="QL14" s="180"/>
      <c r="QM14" s="180"/>
      <c r="QN14" s="180"/>
      <c r="QO14" s="180"/>
      <c r="QP14" s="180"/>
      <c r="QQ14" s="180"/>
      <c r="QR14" s="180"/>
      <c r="QS14" s="180"/>
      <c r="QT14" s="180"/>
      <c r="QU14" s="180"/>
      <c r="QV14" s="180"/>
      <c r="QW14" s="180"/>
      <c r="QX14" s="180"/>
      <c r="QY14" s="180"/>
      <c r="QZ14" s="180"/>
      <c r="RA14" s="180"/>
      <c r="RB14" s="180"/>
      <c r="RC14" s="180"/>
      <c r="RD14" s="180"/>
      <c r="RE14" s="180"/>
      <c r="RF14" s="180"/>
      <c r="RG14" s="180"/>
      <c r="RH14" s="180"/>
      <c r="RI14" s="180"/>
      <c r="RJ14" s="180"/>
      <c r="RK14" s="180"/>
      <c r="RL14" s="180"/>
      <c r="RM14" s="180"/>
      <c r="RN14" s="180"/>
      <c r="RO14" s="180"/>
      <c r="RP14" s="180"/>
      <c r="RQ14" s="180"/>
      <c r="RR14" s="180"/>
      <c r="RS14" s="180"/>
      <c r="RT14" s="180"/>
      <c r="RU14" s="180"/>
      <c r="RV14" s="180"/>
      <c r="RW14" s="180"/>
      <c r="RX14" s="180"/>
      <c r="RY14" s="180"/>
      <c r="RZ14" s="180"/>
      <c r="SA14" s="180"/>
      <c r="SB14" s="180"/>
      <c r="SC14" s="180"/>
      <c r="SD14" s="180"/>
      <c r="SE14" s="180"/>
      <c r="SF14" s="180"/>
      <c r="SG14" s="180"/>
      <c r="SH14" s="180"/>
      <c r="SI14" s="180"/>
      <c r="SJ14" s="180"/>
      <c r="SK14" s="180"/>
      <c r="SL14" s="180"/>
      <c r="SM14" s="180"/>
      <c r="SN14" s="180"/>
      <c r="SO14" s="180"/>
      <c r="SP14" s="180"/>
      <c r="SQ14" s="180"/>
      <c r="SR14" s="180"/>
      <c r="SS14" s="180"/>
      <c r="ST14" s="180"/>
      <c r="SU14" s="180"/>
      <c r="SV14" s="180"/>
      <c r="SW14" s="180"/>
      <c r="SX14" s="180"/>
      <c r="SY14" s="180"/>
      <c r="SZ14" s="180"/>
      <c r="TA14" s="180"/>
      <c r="TB14" s="180"/>
      <c r="TC14" s="180"/>
      <c r="TD14" s="180"/>
      <c r="TE14" s="180"/>
      <c r="TF14" s="180"/>
      <c r="TG14" s="180"/>
      <c r="TH14" s="180"/>
      <c r="TI14" s="180"/>
      <c r="TJ14" s="180"/>
      <c r="TK14" s="180"/>
      <c r="TL14" s="180"/>
      <c r="TM14" s="180"/>
      <c r="TN14" s="180"/>
      <c r="TO14" s="180"/>
      <c r="TP14" s="180"/>
      <c r="TQ14" s="180"/>
      <c r="TR14" s="180"/>
      <c r="TS14" s="180"/>
      <c r="TT14" s="180"/>
      <c r="TU14" s="180"/>
      <c r="TV14" s="180"/>
      <c r="TW14" s="180"/>
      <c r="TX14" s="180"/>
      <c r="TY14" s="180"/>
      <c r="TZ14" s="180"/>
      <c r="UA14" s="180"/>
      <c r="UB14" s="180"/>
      <c r="UC14" s="180"/>
      <c r="UD14" s="180"/>
      <c r="UE14" s="180"/>
      <c r="UF14" s="180"/>
      <c r="UG14" s="180"/>
      <c r="UH14" s="180"/>
      <c r="UI14" s="180"/>
      <c r="UJ14" s="180"/>
      <c r="UK14" s="180"/>
      <c r="UL14" s="180"/>
      <c r="UM14" s="180"/>
      <c r="UN14" s="180"/>
      <c r="UO14" s="180"/>
      <c r="UP14" s="180"/>
      <c r="UQ14" s="180"/>
      <c r="UR14" s="180"/>
      <c r="US14" s="180"/>
      <c r="UT14" s="180"/>
      <c r="UU14" s="180"/>
      <c r="UV14" s="180"/>
      <c r="UW14" s="180"/>
      <c r="UX14" s="180"/>
      <c r="UY14" s="180"/>
      <c r="UZ14" s="180"/>
      <c r="VA14" s="180"/>
      <c r="VB14" s="180"/>
      <c r="VC14" s="180"/>
      <c r="VD14" s="180"/>
      <c r="VE14" s="180"/>
      <c r="VF14" s="180"/>
      <c r="VG14" s="180"/>
      <c r="VH14" s="180"/>
      <c r="VI14" s="180"/>
      <c r="VJ14" s="180"/>
      <c r="VK14" s="180"/>
      <c r="VL14" s="180"/>
      <c r="VM14" s="180"/>
      <c r="VN14" s="180"/>
      <c r="VO14" s="180"/>
      <c r="VP14" s="180"/>
      <c r="VQ14" s="180"/>
      <c r="VR14" s="180"/>
      <c r="VS14" s="180"/>
      <c r="VT14" s="180"/>
      <c r="VU14" s="180"/>
      <c r="VV14" s="180"/>
      <c r="VW14" s="180"/>
      <c r="VX14" s="180"/>
      <c r="VY14" s="180"/>
      <c r="VZ14" s="180"/>
      <c r="WA14" s="180"/>
      <c r="WB14" s="180"/>
      <c r="WC14" s="180"/>
      <c r="WD14" s="180"/>
      <c r="WE14" s="180"/>
      <c r="WF14" s="180"/>
      <c r="WG14" s="180"/>
      <c r="WH14" s="180"/>
      <c r="WI14" s="180"/>
      <c r="WJ14" s="180"/>
      <c r="WK14" s="180"/>
      <c r="WL14" s="180"/>
      <c r="WM14" s="180"/>
      <c r="WN14" s="180"/>
      <c r="WO14" s="180"/>
      <c r="WP14" s="180"/>
      <c r="WQ14" s="180"/>
      <c r="WR14" s="180"/>
      <c r="WS14" s="180"/>
      <c r="WT14" s="180"/>
      <c r="WU14" s="180"/>
      <c r="WV14" s="180"/>
      <c r="WW14" s="180"/>
      <c r="WX14" s="180"/>
      <c r="WY14" s="180"/>
      <c r="WZ14" s="180"/>
      <c r="XA14" s="180"/>
      <c r="XB14" s="180"/>
      <c r="XC14" s="180"/>
      <c r="XD14" s="180"/>
      <c r="XE14" s="180"/>
      <c r="XF14" s="180"/>
      <c r="XG14" s="180"/>
      <c r="XH14" s="180"/>
      <c r="XI14" s="180"/>
      <c r="XJ14" s="180"/>
      <c r="XK14" s="180"/>
      <c r="XL14" s="180"/>
      <c r="XM14" s="180"/>
      <c r="XN14" s="180"/>
      <c r="XO14" s="180"/>
      <c r="XP14" s="180"/>
      <c r="XQ14" s="180"/>
      <c r="XR14" s="180"/>
      <c r="XS14" s="180"/>
      <c r="XT14" s="180"/>
      <c r="XU14" s="180"/>
      <c r="XV14" s="180"/>
      <c r="XW14" s="180"/>
      <c r="XX14" s="180"/>
      <c r="XY14" s="180"/>
      <c r="XZ14" s="180"/>
      <c r="YA14" s="180"/>
      <c r="YB14" s="180"/>
      <c r="YC14" s="180"/>
      <c r="YD14" s="180"/>
      <c r="YE14" s="180"/>
      <c r="YF14" s="180"/>
      <c r="YG14" s="180"/>
      <c r="YH14" s="180"/>
      <c r="YI14" s="180"/>
      <c r="YJ14" s="180"/>
      <c r="YK14" s="180"/>
      <c r="YL14" s="180"/>
      <c r="YM14" s="180"/>
      <c r="YN14" s="180"/>
      <c r="YO14" s="180"/>
      <c r="YP14" s="180"/>
      <c r="YQ14" s="180"/>
      <c r="YR14" s="180"/>
      <c r="YS14" s="180"/>
      <c r="YT14" s="180"/>
      <c r="YU14" s="180"/>
      <c r="YV14" s="180"/>
      <c r="YW14" s="180"/>
      <c r="YX14" s="180"/>
      <c r="YY14" s="180"/>
      <c r="YZ14" s="180"/>
      <c r="ZA14" s="180"/>
      <c r="ZB14" s="180"/>
      <c r="ZC14" s="180"/>
      <c r="ZD14" s="180"/>
      <c r="ZE14" s="180"/>
      <c r="ZF14" s="180"/>
      <c r="ZG14" s="180"/>
      <c r="ZH14" s="180"/>
      <c r="ZI14" s="180"/>
      <c r="ZJ14" s="180"/>
      <c r="ZK14" s="180"/>
      <c r="ZL14" s="180"/>
      <c r="ZM14" s="180"/>
      <c r="ZN14" s="180"/>
      <c r="ZO14" s="180"/>
      <c r="ZP14" s="180"/>
      <c r="ZQ14" s="180"/>
      <c r="ZR14" s="180"/>
      <c r="ZS14" s="180"/>
      <c r="ZT14" s="180"/>
      <c r="ZU14" s="180"/>
      <c r="ZV14" s="180"/>
      <c r="ZW14" s="180"/>
      <c r="ZX14" s="180"/>
      <c r="ZY14" s="180"/>
      <c r="ZZ14" s="180"/>
      <c r="AAA14" s="180"/>
      <c r="AAB14" s="180"/>
      <c r="AAC14" s="180"/>
      <c r="AAD14" s="180"/>
      <c r="AAE14" s="180"/>
      <c r="AAF14" s="180"/>
      <c r="AAG14" s="180"/>
      <c r="AAH14" s="180"/>
      <c r="AAI14" s="180"/>
      <c r="AAJ14" s="180"/>
      <c r="AAK14" s="180"/>
      <c r="AAL14" s="180"/>
      <c r="AAM14" s="180"/>
      <c r="AAN14" s="180"/>
      <c r="AAO14" s="180"/>
      <c r="AAP14" s="180"/>
      <c r="AAQ14" s="180"/>
      <c r="AAR14" s="180"/>
      <c r="AAS14" s="180"/>
      <c r="AAT14" s="180"/>
      <c r="AAU14" s="180"/>
      <c r="AAV14" s="180"/>
      <c r="AAW14" s="180"/>
      <c r="AAX14" s="180"/>
      <c r="AAY14" s="180"/>
      <c r="AAZ14" s="180"/>
      <c r="ABA14" s="180"/>
      <c r="ABB14" s="180"/>
      <c r="ABC14" s="180"/>
      <c r="ABD14" s="180"/>
      <c r="ABE14" s="180"/>
      <c r="ABF14" s="180"/>
      <c r="ABG14" s="180"/>
      <c r="ABH14" s="180"/>
      <c r="ABI14" s="180"/>
      <c r="ABJ14" s="180"/>
      <c r="ABK14" s="180"/>
      <c r="ABL14" s="180"/>
      <c r="ABM14" s="180"/>
      <c r="ABN14" s="180"/>
      <c r="ABO14" s="180"/>
      <c r="ABP14" s="180"/>
      <c r="ABQ14" s="180"/>
      <c r="ABR14" s="180"/>
      <c r="ABS14" s="180"/>
      <c r="ABT14" s="180"/>
      <c r="ABU14" s="180"/>
      <c r="ABV14" s="180"/>
      <c r="ABW14" s="180"/>
      <c r="ABX14" s="180"/>
      <c r="ABY14" s="180"/>
      <c r="ABZ14" s="180"/>
      <c r="ACA14" s="180"/>
      <c r="ACB14" s="180"/>
      <c r="ACC14" s="180"/>
      <c r="ACD14" s="180"/>
      <c r="ACE14" s="180"/>
      <c r="ACF14" s="180"/>
      <c r="ACG14" s="180"/>
      <c r="ACH14" s="180"/>
      <c r="ACI14" s="180"/>
      <c r="ACJ14" s="180"/>
      <c r="ACK14" s="180"/>
      <c r="ACL14" s="180"/>
      <c r="ACM14" s="180"/>
      <c r="ACN14" s="180"/>
      <c r="ACO14" s="180"/>
      <c r="ACP14" s="180"/>
      <c r="ACQ14" s="180"/>
      <c r="ACR14" s="180"/>
      <c r="ACS14" s="180"/>
      <c r="ACT14" s="180"/>
      <c r="ACU14" s="180"/>
      <c r="ACV14" s="180"/>
      <c r="ACW14" s="180"/>
      <c r="ACX14" s="180"/>
      <c r="ACY14" s="180"/>
      <c r="ACZ14" s="180"/>
      <c r="ADA14" s="180"/>
      <c r="ADB14" s="180"/>
      <c r="ADC14" s="180"/>
      <c r="ADD14" s="180"/>
      <c r="ADE14" s="180"/>
      <c r="ADF14" s="180"/>
      <c r="ADG14" s="180"/>
      <c r="ADH14" s="180"/>
      <c r="ADI14" s="180"/>
      <c r="ADJ14" s="180"/>
      <c r="ADK14" s="180"/>
      <c r="ADL14" s="180"/>
      <c r="ADM14" s="180"/>
      <c r="ADN14" s="180"/>
      <c r="ADO14" s="180"/>
      <c r="ADP14" s="180"/>
      <c r="ADQ14" s="180"/>
      <c r="ADR14" s="180"/>
      <c r="ADS14" s="180"/>
      <c r="ADT14" s="180"/>
      <c r="ADU14" s="180"/>
      <c r="ADV14" s="180"/>
      <c r="ADW14" s="180"/>
      <c r="ADX14" s="180"/>
      <c r="ADY14" s="180"/>
      <c r="ADZ14" s="180"/>
      <c r="AEA14" s="180"/>
      <c r="AEB14" s="180"/>
      <c r="AEC14" s="180"/>
      <c r="AED14" s="180"/>
      <c r="AEE14" s="180"/>
      <c r="AEF14" s="180"/>
      <c r="AEG14" s="180"/>
      <c r="AEH14" s="180"/>
      <c r="AEI14" s="180"/>
      <c r="AEJ14" s="180"/>
      <c r="AEK14" s="180"/>
      <c r="AEL14" s="180"/>
      <c r="AEM14" s="180"/>
      <c r="AEN14" s="180"/>
      <c r="AEO14" s="180"/>
      <c r="AEP14" s="180"/>
      <c r="AEQ14" s="180"/>
      <c r="AER14" s="180"/>
      <c r="AES14" s="180"/>
      <c r="AET14" s="180"/>
      <c r="AEU14" s="180"/>
      <c r="AEV14" s="180"/>
      <c r="AEW14" s="180"/>
      <c r="AEX14" s="180"/>
      <c r="AEY14" s="180"/>
      <c r="AEZ14" s="180"/>
      <c r="AFA14" s="180"/>
      <c r="AFB14" s="180"/>
      <c r="AFC14" s="180"/>
      <c r="AFD14" s="180"/>
      <c r="AFE14" s="180"/>
      <c r="AFF14" s="180"/>
      <c r="AFG14" s="180"/>
      <c r="AFH14" s="180"/>
      <c r="AFI14" s="180"/>
      <c r="AFJ14" s="180"/>
      <c r="AFK14" s="180"/>
      <c r="AFL14" s="180"/>
      <c r="AFM14" s="180"/>
      <c r="AFN14" s="180"/>
      <c r="AFO14" s="180"/>
      <c r="AFP14" s="180"/>
      <c r="AFQ14" s="180"/>
      <c r="AFR14" s="180"/>
      <c r="AFS14" s="180"/>
      <c r="AFT14" s="180"/>
      <c r="AFU14" s="180"/>
      <c r="AFV14" s="180"/>
      <c r="AFW14" s="180"/>
      <c r="AFX14" s="180"/>
      <c r="AFY14" s="180"/>
      <c r="AFZ14" s="180"/>
      <c r="AGA14" s="180"/>
      <c r="AGB14" s="180"/>
      <c r="AGC14" s="180"/>
      <c r="AGD14" s="180"/>
      <c r="AGE14" s="180"/>
      <c r="AGF14" s="180"/>
      <c r="AGG14" s="180"/>
      <c r="AGH14" s="180"/>
      <c r="AGI14" s="180"/>
      <c r="AGJ14" s="180"/>
      <c r="AGK14" s="180"/>
      <c r="AGL14" s="180"/>
      <c r="AGM14" s="180"/>
      <c r="AGN14" s="180"/>
      <c r="AGO14" s="180"/>
      <c r="AGP14" s="180"/>
      <c r="AGQ14" s="180"/>
      <c r="AGR14" s="180"/>
      <c r="AGS14" s="180"/>
      <c r="AGT14" s="180"/>
      <c r="AGU14" s="180"/>
      <c r="AGV14" s="180"/>
      <c r="AGW14" s="180"/>
      <c r="AGX14" s="180"/>
      <c r="AGY14" s="180"/>
      <c r="AGZ14" s="180"/>
      <c r="AHA14" s="180"/>
      <c r="AHB14" s="180"/>
      <c r="AHC14" s="180"/>
      <c r="AHD14" s="180"/>
      <c r="AHE14" s="180"/>
      <c r="AHF14" s="180"/>
      <c r="AHG14" s="180"/>
      <c r="AHH14" s="180"/>
      <c r="AHI14" s="180"/>
      <c r="AHJ14" s="180"/>
      <c r="AHK14" s="180"/>
      <c r="AHL14" s="180"/>
      <c r="AHM14" s="180"/>
      <c r="AHN14" s="180"/>
      <c r="AHO14" s="180"/>
      <c r="AHP14" s="180"/>
      <c r="AHQ14" s="180"/>
      <c r="AHR14" s="180"/>
      <c r="AHS14" s="180"/>
      <c r="AHT14" s="180"/>
      <c r="AHU14" s="180"/>
      <c r="AHV14" s="180"/>
      <c r="AHW14" s="180"/>
      <c r="AHX14" s="180"/>
      <c r="AHY14" s="180"/>
      <c r="AHZ14" s="180"/>
      <c r="AIA14" s="180"/>
      <c r="AIB14" s="180"/>
      <c r="AIC14" s="180"/>
      <c r="AID14" s="180"/>
      <c r="AIE14" s="180"/>
      <c r="AIF14" s="180"/>
      <c r="AIG14" s="180"/>
      <c r="AIH14" s="180"/>
      <c r="AII14" s="180"/>
      <c r="AIJ14" s="180"/>
      <c r="AIK14" s="180"/>
      <c r="AIL14" s="180"/>
      <c r="AIM14" s="180"/>
      <c r="AIN14" s="180"/>
      <c r="AIO14" s="180"/>
      <c r="AIP14" s="180"/>
      <c r="AIQ14" s="180"/>
      <c r="AIR14" s="180"/>
      <c r="AIS14" s="180"/>
      <c r="AIT14" s="180"/>
      <c r="AIU14" s="180"/>
      <c r="AIV14" s="180"/>
      <c r="AIW14" s="180"/>
      <c r="AIX14" s="180"/>
      <c r="AIY14" s="180"/>
      <c r="AIZ14" s="180"/>
      <c r="AJA14" s="180"/>
      <c r="AJB14" s="180"/>
      <c r="AJC14" s="180"/>
      <c r="AJD14" s="180"/>
      <c r="AJE14" s="180"/>
      <c r="AJF14" s="180"/>
      <c r="AJG14" s="180"/>
      <c r="AJH14" s="180"/>
      <c r="AJI14" s="180"/>
      <c r="AJJ14" s="180"/>
      <c r="AJK14" s="180"/>
      <c r="AJL14" s="180"/>
      <c r="AJM14" s="180"/>
      <c r="AJN14" s="180"/>
      <c r="AJO14" s="180"/>
      <c r="AJP14" s="180"/>
      <c r="AJQ14" s="180"/>
      <c r="AJR14" s="180"/>
      <c r="AJS14" s="180"/>
      <c r="AJT14" s="180"/>
      <c r="AJU14" s="180"/>
      <c r="AJV14" s="180"/>
      <c r="AJW14" s="180"/>
      <c r="AJX14" s="180"/>
      <c r="AJY14" s="180"/>
      <c r="AJZ14" s="180"/>
      <c r="AKA14" s="180"/>
      <c r="AKB14" s="180"/>
      <c r="AKC14" s="180"/>
      <c r="AKD14" s="180"/>
      <c r="AKE14" s="180"/>
      <c r="AKF14" s="180"/>
      <c r="AKG14" s="180"/>
      <c r="AKH14" s="180"/>
      <c r="AKI14" s="180"/>
      <c r="AKJ14" s="180"/>
      <c r="AKK14" s="180"/>
      <c r="AKL14" s="180"/>
      <c r="AKM14" s="180"/>
      <c r="AKN14" s="180"/>
      <c r="AKO14" s="180"/>
      <c r="AKP14" s="180"/>
      <c r="AKQ14" s="180"/>
      <c r="AKR14" s="180"/>
      <c r="AKS14" s="180"/>
      <c r="AKT14" s="180"/>
      <c r="AKU14" s="180"/>
      <c r="AKV14" s="180"/>
      <c r="AKW14" s="180"/>
      <c r="AKX14" s="180"/>
      <c r="AKY14" s="180"/>
      <c r="AKZ14" s="180"/>
      <c r="ALA14" s="180"/>
      <c r="ALB14" s="180"/>
      <c r="ALC14" s="180"/>
      <c r="ALD14" s="180"/>
      <c r="ALE14" s="180"/>
      <c r="ALF14" s="180"/>
      <c r="ALG14" s="180"/>
      <c r="ALH14" s="180"/>
      <c r="ALI14" s="180"/>
      <c r="ALJ14" s="180"/>
      <c r="ALK14" s="180"/>
      <c r="ALL14" s="180"/>
      <c r="ALM14" s="180"/>
      <c r="ALN14" s="180"/>
      <c r="ALO14" s="180"/>
      <c r="ALP14" s="180"/>
      <c r="ALQ14" s="180"/>
      <c r="ALR14" s="180"/>
      <c r="ALS14" s="180"/>
      <c r="ALT14" s="180"/>
      <c r="ALU14" s="180"/>
      <c r="ALV14" s="180"/>
      <c r="ALW14" s="180"/>
      <c r="ALX14" s="180"/>
      <c r="ALY14" s="180"/>
      <c r="ALZ14" s="180"/>
      <c r="AMA14" s="180"/>
      <c r="AMB14" s="180"/>
      <c r="AMC14" s="180"/>
      <c r="AMD14" s="180"/>
      <c r="AME14" s="180"/>
      <c r="AMF14" s="180"/>
      <c r="AMG14" s="180"/>
      <c r="AMH14" s="180"/>
      <c r="AMI14" s="180"/>
      <c r="AMJ14" s="180"/>
      <c r="AMK14" s="180"/>
      <c r="AML14" s="180"/>
      <c r="AMM14" s="180"/>
      <c r="AMN14" s="180"/>
      <c r="AMO14" s="180"/>
      <c r="AMP14" s="180"/>
      <c r="AMQ14" s="180"/>
      <c r="AMR14" s="180"/>
      <c r="AMS14" s="180"/>
      <c r="AMT14" s="180"/>
      <c r="AMU14" s="180"/>
      <c r="AMV14" s="180"/>
      <c r="AMW14" s="180"/>
      <c r="AMX14" s="180"/>
      <c r="AMY14" s="180"/>
      <c r="AMZ14" s="180"/>
      <c r="ANA14" s="180"/>
      <c r="ANB14" s="180"/>
      <c r="ANC14" s="180"/>
      <c r="AND14" s="180"/>
      <c r="ANE14" s="180"/>
      <c r="ANF14" s="180"/>
      <c r="ANG14" s="180"/>
      <c r="ANH14" s="180"/>
      <c r="ANI14" s="180"/>
      <c r="ANJ14" s="180"/>
      <c r="ANK14" s="180"/>
      <c r="ANL14" s="180"/>
      <c r="ANM14" s="180"/>
      <c r="ANN14" s="180"/>
      <c r="ANO14" s="180"/>
      <c r="ANP14" s="180"/>
      <c r="ANQ14" s="180"/>
      <c r="ANR14" s="180"/>
      <c r="ANS14" s="180"/>
      <c r="ANT14" s="180"/>
      <c r="ANU14" s="180"/>
      <c r="ANV14" s="180"/>
      <c r="ANW14" s="180"/>
      <c r="ANX14" s="180"/>
      <c r="ANY14" s="180"/>
      <c r="ANZ14" s="180"/>
      <c r="AOA14" s="180"/>
      <c r="AOB14" s="180"/>
      <c r="AOC14" s="180"/>
      <c r="AOD14" s="180"/>
      <c r="AOE14" s="180"/>
      <c r="AOF14" s="180"/>
      <c r="AOG14" s="180"/>
      <c r="AOH14" s="180"/>
      <c r="AOI14" s="180"/>
      <c r="AOJ14" s="180"/>
      <c r="AOK14" s="180"/>
      <c r="AOL14" s="180"/>
      <c r="AOM14" s="180"/>
      <c r="AON14" s="180"/>
      <c r="AOO14" s="180"/>
      <c r="AOP14" s="180"/>
      <c r="AOQ14" s="180"/>
      <c r="AOR14" s="180"/>
      <c r="AOS14" s="180"/>
      <c r="AOT14" s="180"/>
      <c r="AOU14" s="180"/>
      <c r="AOV14" s="180"/>
      <c r="AOW14" s="180"/>
      <c r="AOX14" s="180"/>
      <c r="AOY14" s="180"/>
      <c r="AOZ14" s="180"/>
      <c r="APA14" s="180"/>
      <c r="APB14" s="180"/>
      <c r="APC14" s="180"/>
      <c r="APD14" s="180"/>
      <c r="APE14" s="180"/>
      <c r="APF14" s="180"/>
      <c r="APG14" s="180"/>
      <c r="APH14" s="180"/>
      <c r="API14" s="180"/>
      <c r="APJ14" s="180"/>
      <c r="APK14" s="180"/>
      <c r="APL14" s="180"/>
      <c r="APM14" s="180"/>
      <c r="APN14" s="180"/>
      <c r="APO14" s="180"/>
      <c r="APP14" s="180"/>
      <c r="APQ14" s="180"/>
      <c r="APR14" s="180"/>
      <c r="APS14" s="180"/>
      <c r="APT14" s="180"/>
      <c r="APU14" s="180"/>
      <c r="APV14" s="180"/>
      <c r="APW14" s="180"/>
      <c r="APX14" s="180"/>
      <c r="APY14" s="180"/>
      <c r="APZ14" s="180"/>
      <c r="AQA14" s="180"/>
      <c r="AQB14" s="180"/>
      <c r="AQC14" s="180"/>
      <c r="AQD14" s="180"/>
      <c r="AQE14" s="180"/>
      <c r="AQF14" s="180"/>
      <c r="AQG14" s="180"/>
      <c r="AQH14" s="180"/>
      <c r="AQI14" s="180"/>
      <c r="AQJ14" s="180"/>
      <c r="AQK14" s="180"/>
      <c r="AQL14" s="180"/>
      <c r="AQM14" s="180"/>
      <c r="AQN14" s="180"/>
      <c r="AQO14" s="180"/>
      <c r="AQP14" s="180"/>
      <c r="AQQ14" s="180"/>
      <c r="AQR14" s="180"/>
      <c r="AQS14" s="180"/>
      <c r="AQT14" s="180"/>
      <c r="AQU14" s="180"/>
      <c r="AQV14" s="180"/>
      <c r="AQW14" s="180"/>
      <c r="AQX14" s="180"/>
      <c r="AQY14" s="180"/>
      <c r="AQZ14" s="180"/>
      <c r="ARA14" s="180"/>
      <c r="ARB14" s="180"/>
      <c r="ARC14" s="180"/>
      <c r="ARD14" s="180"/>
      <c r="ARE14" s="180"/>
      <c r="ARF14" s="180"/>
      <c r="ARG14" s="180"/>
      <c r="ARH14" s="180"/>
      <c r="ARI14" s="180"/>
      <c r="ARJ14" s="180"/>
      <c r="ARK14" s="180"/>
      <c r="ARL14" s="180"/>
      <c r="ARM14" s="180"/>
      <c r="ARN14" s="180"/>
      <c r="ARO14" s="180"/>
      <c r="ARP14" s="180"/>
      <c r="ARQ14" s="180"/>
      <c r="ARR14" s="180"/>
      <c r="ARS14" s="180"/>
      <c r="ART14" s="180"/>
      <c r="ARU14" s="180"/>
      <c r="ARV14" s="180"/>
      <c r="ARW14" s="180"/>
      <c r="ARX14" s="180"/>
      <c r="ARY14" s="180"/>
      <c r="ARZ14" s="180"/>
      <c r="ASA14" s="180"/>
      <c r="ASB14" s="180"/>
      <c r="ASC14" s="180"/>
      <c r="ASD14" s="180"/>
      <c r="ASE14" s="180"/>
      <c r="ASF14" s="180"/>
      <c r="ASG14" s="180"/>
      <c r="ASH14" s="180"/>
      <c r="ASI14" s="180"/>
      <c r="ASJ14" s="180"/>
      <c r="ASK14" s="180"/>
      <c r="ASL14" s="180"/>
      <c r="ASM14" s="180"/>
      <c r="ASN14" s="180"/>
      <c r="ASO14" s="180"/>
      <c r="ASP14" s="180"/>
      <c r="ASQ14" s="180"/>
      <c r="ASR14" s="180"/>
      <c r="ASS14" s="180"/>
      <c r="AST14" s="180"/>
      <c r="ASU14" s="180"/>
      <c r="ASV14" s="180"/>
      <c r="ASW14" s="180"/>
      <c r="ASX14" s="180"/>
      <c r="ASY14" s="180"/>
      <c r="ASZ14" s="180"/>
      <c r="ATA14" s="180"/>
      <c r="ATB14" s="180"/>
      <c r="ATC14" s="180"/>
      <c r="ATD14" s="180"/>
      <c r="ATE14" s="180"/>
      <c r="ATF14" s="180"/>
      <c r="ATG14" s="180"/>
      <c r="ATH14" s="180"/>
      <c r="ATI14" s="180"/>
      <c r="ATJ14" s="180"/>
      <c r="ATK14" s="180"/>
      <c r="ATL14" s="180"/>
      <c r="ATM14" s="180"/>
      <c r="ATN14" s="180"/>
      <c r="ATO14" s="180"/>
      <c r="ATP14" s="180"/>
      <c r="ATQ14" s="180"/>
      <c r="ATR14" s="180"/>
      <c r="ATS14" s="180"/>
      <c r="ATT14" s="180"/>
      <c r="ATU14" s="180"/>
      <c r="ATV14" s="180"/>
      <c r="ATW14" s="180"/>
      <c r="ATX14" s="180"/>
      <c r="ATY14" s="180"/>
      <c r="ATZ14" s="180"/>
      <c r="AUA14" s="180"/>
      <c r="AUB14" s="180"/>
      <c r="AUC14" s="180"/>
      <c r="AUD14" s="180"/>
      <c r="AUE14" s="180"/>
      <c r="AUF14" s="180"/>
      <c r="AUG14" s="180"/>
      <c r="AUH14" s="180"/>
      <c r="AUI14" s="180"/>
      <c r="AUJ14" s="180"/>
      <c r="AUK14" s="180"/>
      <c r="AUL14" s="180"/>
      <c r="AUM14" s="180"/>
      <c r="AUN14" s="180"/>
      <c r="AUO14" s="180"/>
      <c r="AUP14" s="180"/>
      <c r="AUQ14" s="180"/>
      <c r="AUR14" s="180"/>
      <c r="AUS14" s="180"/>
      <c r="AUT14" s="180"/>
      <c r="AUU14" s="180"/>
      <c r="AUV14" s="180"/>
      <c r="AUW14" s="180"/>
      <c r="AUX14" s="180"/>
      <c r="AUY14" s="180"/>
      <c r="AUZ14" s="180"/>
      <c r="AVA14" s="180"/>
      <c r="AVB14" s="180"/>
      <c r="AVC14" s="180"/>
      <c r="AVD14" s="180"/>
      <c r="AVE14" s="180"/>
      <c r="AVF14" s="180"/>
      <c r="AVG14" s="180"/>
      <c r="AVH14" s="180"/>
      <c r="AVI14" s="180"/>
      <c r="AVJ14" s="180"/>
      <c r="AVK14" s="180"/>
      <c r="AVL14" s="180"/>
      <c r="AVM14" s="180"/>
      <c r="AVN14" s="180"/>
      <c r="AVO14" s="180"/>
      <c r="AVP14" s="180"/>
      <c r="AVQ14" s="180"/>
      <c r="AVR14" s="180"/>
      <c r="AVS14" s="180"/>
      <c r="AVT14" s="180"/>
      <c r="AVU14" s="180"/>
      <c r="AVV14" s="180"/>
      <c r="AVW14" s="180"/>
      <c r="AVX14" s="180"/>
      <c r="AVY14" s="180"/>
      <c r="AVZ14" s="180"/>
      <c r="AWA14" s="180"/>
      <c r="AWB14" s="180"/>
      <c r="AWC14" s="180"/>
      <c r="AWD14" s="180"/>
      <c r="AWE14" s="180"/>
      <c r="AWF14" s="180"/>
      <c r="AWG14" s="180"/>
      <c r="AWH14" s="180"/>
      <c r="AWI14" s="180"/>
      <c r="AWJ14" s="180"/>
      <c r="AWK14" s="180"/>
      <c r="AWL14" s="180"/>
      <c r="AWM14" s="180"/>
      <c r="AWN14" s="180"/>
      <c r="AWO14" s="180"/>
      <c r="AWP14" s="180"/>
      <c r="AWQ14" s="180"/>
      <c r="AWR14" s="180"/>
      <c r="AWS14" s="180"/>
      <c r="AWT14" s="180"/>
      <c r="AWU14" s="180"/>
      <c r="AWV14" s="180"/>
      <c r="AWW14" s="180"/>
      <c r="AWX14" s="180"/>
      <c r="AWY14" s="180"/>
      <c r="AWZ14" s="180"/>
      <c r="AXA14" s="180"/>
      <c r="AXB14" s="180"/>
      <c r="AXC14" s="180"/>
      <c r="AXD14" s="180"/>
      <c r="AXE14" s="180"/>
      <c r="AXF14" s="180"/>
      <c r="AXG14" s="180"/>
      <c r="AXH14" s="180"/>
      <c r="AXI14" s="180"/>
      <c r="AXJ14" s="180"/>
      <c r="AXK14" s="180"/>
      <c r="AXL14" s="180"/>
      <c r="AXM14" s="180"/>
      <c r="AXN14" s="180"/>
      <c r="AXO14" s="180"/>
      <c r="AXP14" s="180"/>
      <c r="AXQ14" s="180"/>
      <c r="AXR14" s="180"/>
      <c r="AXS14" s="180"/>
      <c r="AXT14" s="180"/>
      <c r="AXU14" s="180"/>
      <c r="AXV14" s="180"/>
      <c r="AXW14" s="180"/>
      <c r="AXX14" s="180"/>
      <c r="AXY14" s="180"/>
      <c r="AXZ14" s="180"/>
      <c r="AYA14" s="180"/>
      <c r="AYB14" s="180"/>
      <c r="AYC14" s="180"/>
      <c r="AYD14" s="180"/>
      <c r="AYE14" s="180"/>
      <c r="AYF14" s="180"/>
      <c r="AYG14" s="180"/>
      <c r="AYH14" s="180"/>
      <c r="AYI14" s="180"/>
      <c r="AYJ14" s="180"/>
      <c r="AYK14" s="180"/>
      <c r="AYL14" s="180"/>
      <c r="AYM14" s="180"/>
      <c r="AYN14" s="180"/>
      <c r="AYO14" s="180"/>
      <c r="AYP14" s="180"/>
      <c r="AYQ14" s="180"/>
      <c r="AYR14" s="180"/>
      <c r="AYS14" s="180"/>
      <c r="AYT14" s="180"/>
      <c r="AYU14" s="180"/>
      <c r="AYV14" s="180"/>
      <c r="AYW14" s="180"/>
      <c r="AYX14" s="180"/>
      <c r="AYY14" s="180"/>
      <c r="AYZ14" s="180"/>
      <c r="AZA14" s="180"/>
      <c r="AZB14" s="180"/>
      <c r="AZC14" s="180"/>
      <c r="AZD14" s="180"/>
      <c r="AZE14" s="180"/>
      <c r="AZF14" s="180"/>
      <c r="AZG14" s="180"/>
      <c r="AZH14" s="180"/>
      <c r="AZI14" s="180"/>
      <c r="AZJ14" s="180"/>
      <c r="AZK14" s="180"/>
      <c r="AZL14" s="180"/>
      <c r="AZM14" s="180"/>
      <c r="AZN14" s="180"/>
      <c r="AZO14" s="180"/>
      <c r="AZP14" s="180"/>
      <c r="AZQ14" s="180"/>
      <c r="AZR14" s="180"/>
      <c r="AZS14" s="180"/>
      <c r="AZT14" s="180"/>
      <c r="AZU14" s="180"/>
      <c r="AZV14" s="180"/>
      <c r="AZW14" s="180"/>
      <c r="AZX14" s="180"/>
      <c r="AZY14" s="180"/>
      <c r="AZZ14" s="180"/>
      <c r="BAA14" s="180"/>
      <c r="BAB14" s="180"/>
      <c r="BAC14" s="180"/>
      <c r="BAD14" s="180"/>
      <c r="BAE14" s="180"/>
      <c r="BAF14" s="180"/>
      <c r="BAG14" s="180"/>
      <c r="BAH14" s="180"/>
      <c r="BAI14" s="180"/>
      <c r="BAJ14" s="180"/>
      <c r="BAK14" s="180"/>
      <c r="BAL14" s="180"/>
      <c r="BAM14" s="180"/>
      <c r="BAN14" s="180"/>
      <c r="BAO14" s="180"/>
      <c r="BAP14" s="180"/>
      <c r="BAQ14" s="180"/>
      <c r="BAR14" s="180"/>
      <c r="BAS14" s="180"/>
      <c r="BAT14" s="180"/>
      <c r="BAU14" s="180"/>
      <c r="BAV14" s="180"/>
      <c r="BAW14" s="180"/>
      <c r="BAX14" s="180"/>
      <c r="BAY14" s="180"/>
      <c r="BAZ14" s="180"/>
      <c r="BBA14" s="180"/>
      <c r="BBB14" s="180"/>
      <c r="BBC14" s="180"/>
      <c r="BBD14" s="180"/>
      <c r="BBE14" s="180"/>
      <c r="BBF14" s="180"/>
      <c r="BBG14" s="180"/>
      <c r="BBH14" s="180"/>
      <c r="BBI14" s="180"/>
      <c r="BBJ14" s="180"/>
      <c r="BBK14" s="180"/>
      <c r="BBL14" s="180"/>
      <c r="BBM14" s="180"/>
      <c r="BBN14" s="180"/>
      <c r="BBO14" s="180"/>
      <c r="BBP14" s="180"/>
      <c r="BBQ14" s="180"/>
      <c r="BBR14" s="180"/>
      <c r="BBS14" s="180"/>
      <c r="BBT14" s="180"/>
      <c r="BBU14" s="180"/>
      <c r="BBV14" s="180"/>
      <c r="BBW14" s="180"/>
      <c r="BBX14" s="180"/>
      <c r="BBY14" s="180"/>
      <c r="BBZ14" s="180"/>
      <c r="BCA14" s="180"/>
      <c r="BCB14" s="180"/>
      <c r="BCC14" s="180"/>
      <c r="BCD14" s="180"/>
      <c r="BCE14" s="180"/>
      <c r="BCF14" s="180"/>
      <c r="BCG14" s="180"/>
      <c r="BCH14" s="180"/>
      <c r="BCI14" s="180"/>
      <c r="BCJ14" s="180"/>
      <c r="BCK14" s="180"/>
      <c r="BCL14" s="180"/>
      <c r="BCM14" s="180"/>
      <c r="BCN14" s="180"/>
      <c r="BCO14" s="180"/>
      <c r="BCP14" s="180"/>
      <c r="BCQ14" s="180"/>
      <c r="BCR14" s="180"/>
      <c r="BCS14" s="180"/>
      <c r="BCT14" s="180"/>
      <c r="BCU14" s="180"/>
      <c r="BCV14" s="180"/>
      <c r="BCW14" s="180"/>
      <c r="BCX14" s="180"/>
      <c r="BCY14" s="180"/>
      <c r="BCZ14" s="180"/>
      <c r="BDA14" s="180"/>
      <c r="BDB14" s="180"/>
      <c r="BDC14" s="180"/>
      <c r="BDD14" s="180"/>
      <c r="BDE14" s="180"/>
      <c r="BDF14" s="180"/>
      <c r="BDG14" s="180"/>
      <c r="BDH14" s="180"/>
      <c r="BDI14" s="180"/>
      <c r="BDJ14" s="180"/>
      <c r="BDK14" s="180"/>
      <c r="BDL14" s="180"/>
      <c r="BDM14" s="180"/>
      <c r="BDN14" s="180"/>
      <c r="BDO14" s="180"/>
      <c r="BDP14" s="180"/>
      <c r="BDQ14" s="180"/>
      <c r="BDR14" s="180"/>
      <c r="BDS14" s="180"/>
      <c r="BDT14" s="180"/>
      <c r="BDU14" s="180"/>
      <c r="BDV14" s="180"/>
      <c r="BDW14" s="180"/>
      <c r="BDX14" s="180"/>
      <c r="BDY14" s="180"/>
      <c r="BDZ14" s="180"/>
      <c r="BEA14" s="180"/>
      <c r="BEB14" s="180"/>
      <c r="BEC14" s="180"/>
      <c r="BED14" s="180"/>
      <c r="BEE14" s="180"/>
      <c r="BEF14" s="180"/>
      <c r="BEG14" s="180"/>
      <c r="BEH14" s="180"/>
      <c r="BEI14" s="180"/>
      <c r="BEJ14" s="180"/>
      <c r="BEK14" s="180"/>
      <c r="BEL14" s="180"/>
      <c r="BEM14" s="180"/>
      <c r="BEN14" s="180"/>
      <c r="BEO14" s="180"/>
      <c r="BEP14" s="180"/>
      <c r="BEQ14" s="180"/>
      <c r="BER14" s="180"/>
      <c r="BES14" s="180"/>
      <c r="BET14" s="180"/>
      <c r="BEU14" s="180"/>
      <c r="BEV14" s="180"/>
      <c r="BEW14" s="180"/>
      <c r="BEX14" s="180"/>
      <c r="BEY14" s="180"/>
      <c r="BEZ14" s="180"/>
      <c r="BFA14" s="180"/>
      <c r="BFB14" s="180"/>
      <c r="BFC14" s="180"/>
      <c r="BFD14" s="180"/>
      <c r="BFE14" s="180"/>
      <c r="BFF14" s="180"/>
      <c r="BFG14" s="180"/>
      <c r="BFH14" s="180"/>
      <c r="BFI14" s="180"/>
      <c r="BFJ14" s="180"/>
      <c r="BFK14" s="180"/>
      <c r="BFL14" s="180"/>
      <c r="BFM14" s="180"/>
      <c r="BFN14" s="180"/>
      <c r="BFO14" s="180"/>
      <c r="BFP14" s="180"/>
      <c r="BFQ14" s="180"/>
      <c r="BFR14" s="180"/>
      <c r="BFS14" s="180"/>
      <c r="BFT14" s="180"/>
      <c r="BFU14" s="180"/>
      <c r="BFV14" s="180"/>
      <c r="BFW14" s="180"/>
      <c r="BFX14" s="180"/>
      <c r="BFY14" s="180"/>
      <c r="BFZ14" s="180"/>
      <c r="BGA14" s="180"/>
      <c r="BGB14" s="180"/>
      <c r="BGC14" s="180"/>
      <c r="BGD14" s="180"/>
      <c r="BGE14" s="180"/>
      <c r="BGF14" s="180"/>
      <c r="BGG14" s="180"/>
      <c r="BGH14" s="180"/>
      <c r="BGI14" s="180"/>
      <c r="BGJ14" s="180"/>
      <c r="BGK14" s="180"/>
      <c r="BGL14" s="180"/>
      <c r="BGM14" s="180"/>
      <c r="BGN14" s="180"/>
      <c r="BGO14" s="180"/>
      <c r="BGP14" s="180"/>
      <c r="BGQ14" s="180"/>
      <c r="BGR14" s="180"/>
      <c r="BGS14" s="180"/>
      <c r="BGT14" s="180"/>
      <c r="BGU14" s="180"/>
      <c r="BGV14" s="180"/>
      <c r="BGW14" s="180"/>
      <c r="BGX14" s="180"/>
      <c r="BGY14" s="180"/>
      <c r="BGZ14" s="180"/>
      <c r="BHA14" s="180"/>
      <c r="BHB14" s="180"/>
      <c r="BHC14" s="180"/>
      <c r="BHD14" s="180"/>
      <c r="BHE14" s="180"/>
      <c r="BHF14" s="180"/>
      <c r="BHG14" s="180"/>
      <c r="BHH14" s="180"/>
      <c r="BHI14" s="180"/>
      <c r="BHJ14" s="180"/>
      <c r="BHK14" s="180"/>
      <c r="BHL14" s="180"/>
      <c r="BHM14" s="180"/>
      <c r="BHN14" s="180"/>
      <c r="BHO14" s="180"/>
      <c r="BHP14" s="180"/>
      <c r="BHQ14" s="180"/>
      <c r="BHR14" s="180"/>
      <c r="BHS14" s="180"/>
      <c r="BHT14" s="180"/>
      <c r="BHU14" s="180"/>
      <c r="BHV14" s="180"/>
      <c r="BHW14" s="180"/>
      <c r="BHX14" s="180"/>
      <c r="BHY14" s="180"/>
      <c r="BHZ14" s="180"/>
      <c r="BIA14" s="180"/>
      <c r="BIB14" s="180"/>
      <c r="BIC14" s="180"/>
      <c r="BID14" s="180"/>
      <c r="BIE14" s="180"/>
      <c r="BIF14" s="180"/>
      <c r="BIG14" s="180"/>
      <c r="BIH14" s="180"/>
      <c r="BII14" s="180"/>
      <c r="BIJ14" s="180"/>
      <c r="BIK14" s="180"/>
      <c r="BIL14" s="180"/>
      <c r="BIM14" s="180"/>
      <c r="BIN14" s="180"/>
      <c r="BIO14" s="180"/>
      <c r="BIP14" s="180"/>
      <c r="BIQ14" s="180"/>
      <c r="BIR14" s="180"/>
      <c r="BIS14" s="180"/>
      <c r="BIT14" s="180"/>
      <c r="BIU14" s="180"/>
      <c r="BIV14" s="180"/>
      <c r="BIW14" s="180"/>
      <c r="BIX14" s="180"/>
      <c r="BIY14" s="180"/>
      <c r="BIZ14" s="180"/>
      <c r="BJA14" s="180"/>
      <c r="BJB14" s="180"/>
      <c r="BJC14" s="180"/>
      <c r="BJD14" s="180"/>
      <c r="BJE14" s="180"/>
      <c r="BJF14" s="180"/>
      <c r="BJG14" s="180"/>
      <c r="BJH14" s="180"/>
      <c r="BJI14" s="180"/>
      <c r="BJJ14" s="180"/>
      <c r="BJK14" s="180"/>
      <c r="BJL14" s="180"/>
      <c r="BJM14" s="180"/>
      <c r="BJN14" s="180"/>
      <c r="BJO14" s="180"/>
      <c r="BJP14" s="180"/>
      <c r="BJQ14" s="180"/>
      <c r="BJR14" s="180"/>
      <c r="BJS14" s="180"/>
      <c r="BJT14" s="180"/>
      <c r="BJU14" s="180"/>
      <c r="BJV14" s="180"/>
      <c r="BJW14" s="180"/>
      <c r="BJX14" s="180"/>
      <c r="BJY14" s="180"/>
      <c r="BJZ14" s="180"/>
      <c r="BKA14" s="180"/>
      <c r="BKB14" s="180"/>
      <c r="BKC14" s="180"/>
      <c r="BKD14" s="180"/>
      <c r="BKE14" s="180"/>
      <c r="BKF14" s="180"/>
      <c r="BKG14" s="180"/>
      <c r="BKH14" s="180"/>
      <c r="BKI14" s="180"/>
      <c r="BKJ14" s="180"/>
      <c r="BKK14" s="180"/>
      <c r="BKL14" s="180"/>
      <c r="BKM14" s="180"/>
      <c r="BKN14" s="180"/>
      <c r="BKO14" s="180"/>
      <c r="BKP14" s="180"/>
      <c r="BKQ14" s="180"/>
      <c r="BKR14" s="180"/>
      <c r="BKS14" s="180"/>
      <c r="BKT14" s="180"/>
      <c r="BKU14" s="180"/>
      <c r="BKV14" s="180"/>
      <c r="BKW14" s="180"/>
      <c r="BKX14" s="180"/>
      <c r="BKY14" s="180"/>
      <c r="BKZ14" s="180"/>
      <c r="BLA14" s="180"/>
      <c r="BLB14" s="180"/>
      <c r="BLC14" s="180"/>
      <c r="BLD14" s="180"/>
      <c r="BLE14" s="180"/>
      <c r="BLF14" s="180"/>
      <c r="BLG14" s="180"/>
      <c r="BLH14" s="180"/>
      <c r="BLI14" s="180"/>
      <c r="BLJ14" s="180"/>
      <c r="BLK14" s="180"/>
      <c r="BLL14" s="180"/>
      <c r="BLM14" s="180"/>
      <c r="BLN14" s="180"/>
      <c r="BLO14" s="180"/>
      <c r="BLP14" s="180"/>
      <c r="BLQ14" s="180"/>
      <c r="BLR14" s="180"/>
      <c r="BLS14" s="180"/>
      <c r="BLT14" s="180"/>
      <c r="BLU14" s="180"/>
      <c r="BLV14" s="180"/>
      <c r="BLW14" s="180"/>
      <c r="BLX14" s="180"/>
      <c r="BLY14" s="180"/>
      <c r="BLZ14" s="180"/>
      <c r="BMA14" s="180"/>
      <c r="BMB14" s="180"/>
      <c r="BMC14" s="180"/>
      <c r="BMD14" s="180"/>
      <c r="BME14" s="180"/>
      <c r="BMF14" s="180"/>
      <c r="BMG14" s="180"/>
      <c r="BMH14" s="180"/>
      <c r="BMI14" s="180"/>
      <c r="BMJ14" s="180"/>
      <c r="BMK14" s="180"/>
      <c r="BML14" s="180"/>
      <c r="BMM14" s="180"/>
      <c r="BMN14" s="180"/>
      <c r="BMO14" s="180"/>
      <c r="BMP14" s="180"/>
      <c r="BMQ14" s="180"/>
      <c r="BMR14" s="180"/>
      <c r="BMS14" s="180"/>
      <c r="BMT14" s="180"/>
      <c r="BMU14" s="180"/>
      <c r="BMV14" s="180"/>
      <c r="BMW14" s="180"/>
      <c r="BMX14" s="180"/>
      <c r="BMY14" s="180"/>
      <c r="BMZ14" s="180"/>
      <c r="BNA14" s="180"/>
      <c r="BNB14" s="180"/>
      <c r="BNC14" s="180"/>
      <c r="BND14" s="180"/>
      <c r="BNE14" s="180"/>
      <c r="BNF14" s="180"/>
      <c r="BNG14" s="180"/>
      <c r="BNH14" s="180"/>
      <c r="BNI14" s="180"/>
      <c r="BNJ14" s="180"/>
      <c r="BNK14" s="180"/>
      <c r="BNL14" s="180"/>
      <c r="BNM14" s="180"/>
      <c r="BNN14" s="180"/>
      <c r="BNO14" s="180"/>
      <c r="BNP14" s="180"/>
      <c r="BNQ14" s="180"/>
      <c r="BNR14" s="180"/>
      <c r="BNS14" s="180"/>
      <c r="BNT14" s="180"/>
      <c r="BNU14" s="180"/>
      <c r="BNV14" s="180"/>
      <c r="BNW14" s="180"/>
      <c r="BNX14" s="180"/>
      <c r="BNY14" s="180"/>
      <c r="BNZ14" s="180"/>
      <c r="BOA14" s="180"/>
      <c r="BOB14" s="180"/>
      <c r="BOC14" s="180"/>
      <c r="BOD14" s="180"/>
      <c r="BOE14" s="180"/>
      <c r="BOF14" s="180"/>
      <c r="BOG14" s="180"/>
      <c r="BOH14" s="180"/>
      <c r="BOI14" s="180"/>
      <c r="BOJ14" s="180"/>
      <c r="BOK14" s="180"/>
      <c r="BOL14" s="180"/>
      <c r="BOM14" s="180"/>
      <c r="BON14" s="180"/>
      <c r="BOO14" s="180"/>
      <c r="BOP14" s="180"/>
      <c r="BOQ14" s="180"/>
      <c r="BOR14" s="180"/>
      <c r="BOS14" s="180"/>
      <c r="BOT14" s="180"/>
      <c r="BOU14" s="180"/>
      <c r="BOV14" s="180"/>
      <c r="BOW14" s="180"/>
      <c r="BOX14" s="180"/>
      <c r="BOY14" s="180"/>
      <c r="BOZ14" s="180"/>
      <c r="BPA14" s="180"/>
      <c r="BPB14" s="180"/>
      <c r="BPC14" s="180"/>
      <c r="BPD14" s="180"/>
      <c r="BPE14" s="180"/>
      <c r="BPF14" s="180"/>
      <c r="BPG14" s="180"/>
      <c r="BPH14" s="180"/>
      <c r="BPI14" s="180"/>
      <c r="BPJ14" s="180"/>
      <c r="BPK14" s="180"/>
      <c r="BPL14" s="180"/>
      <c r="BPM14" s="180"/>
      <c r="BPN14" s="180"/>
      <c r="BPO14" s="180"/>
      <c r="BPP14" s="180"/>
      <c r="BPQ14" s="180"/>
      <c r="BPR14" s="180"/>
      <c r="BPS14" s="180"/>
      <c r="BPT14" s="180"/>
      <c r="BPU14" s="180"/>
      <c r="BPV14" s="180"/>
      <c r="BPW14" s="180"/>
      <c r="BPX14" s="180"/>
      <c r="BPY14" s="180"/>
      <c r="BPZ14" s="180"/>
      <c r="BQA14" s="180"/>
      <c r="BQB14" s="180"/>
      <c r="BQC14" s="180"/>
      <c r="BQD14" s="180"/>
      <c r="BQE14" s="180"/>
      <c r="BQF14" s="180"/>
      <c r="BQG14" s="180"/>
      <c r="BQH14" s="180"/>
      <c r="BQI14" s="180"/>
      <c r="BQJ14" s="180"/>
      <c r="BQK14" s="180"/>
      <c r="BQL14" s="180"/>
      <c r="BQM14" s="180"/>
      <c r="BQN14" s="180"/>
      <c r="BQO14" s="180"/>
      <c r="BQP14" s="180"/>
      <c r="BQQ14" s="180"/>
      <c r="BQR14" s="180"/>
      <c r="BQS14" s="180"/>
      <c r="BQT14" s="180"/>
      <c r="BQU14" s="180"/>
      <c r="BQV14" s="180"/>
      <c r="BQW14" s="180"/>
      <c r="BQX14" s="180"/>
      <c r="BQY14" s="180"/>
      <c r="BQZ14" s="180"/>
      <c r="BRA14" s="180"/>
      <c r="BRB14" s="180"/>
      <c r="BRC14" s="180"/>
      <c r="BRD14" s="180"/>
      <c r="BRE14" s="180"/>
      <c r="BRF14" s="180"/>
      <c r="BRG14" s="180"/>
      <c r="BRH14" s="180"/>
      <c r="BRI14" s="180"/>
      <c r="BRJ14" s="180"/>
      <c r="BRK14" s="180"/>
      <c r="BRL14" s="180"/>
      <c r="BRM14" s="180"/>
      <c r="BRN14" s="180"/>
      <c r="BRO14" s="180"/>
      <c r="BRP14" s="180"/>
      <c r="BRQ14" s="180"/>
      <c r="BRR14" s="180"/>
      <c r="BRS14" s="180"/>
      <c r="BRT14" s="180"/>
      <c r="BRU14" s="180"/>
      <c r="BRV14" s="180"/>
      <c r="BRW14" s="180"/>
      <c r="BRX14" s="180"/>
      <c r="BRY14" s="180"/>
      <c r="BRZ14" s="180"/>
      <c r="BSA14" s="180"/>
      <c r="BSB14" s="180"/>
      <c r="BSC14" s="180"/>
      <c r="BSD14" s="180"/>
      <c r="BSE14" s="180"/>
      <c r="BSF14" s="180"/>
      <c r="BSG14" s="180"/>
      <c r="BSH14" s="180"/>
      <c r="BSI14" s="180"/>
      <c r="BSJ14" s="180"/>
      <c r="BSK14" s="180"/>
      <c r="BSL14" s="180"/>
      <c r="BSM14" s="180"/>
      <c r="BSN14" s="180"/>
      <c r="BSO14" s="180"/>
      <c r="BSP14" s="180"/>
      <c r="BSQ14" s="180"/>
      <c r="BSR14" s="180"/>
      <c r="BSS14" s="180"/>
      <c r="BST14" s="180"/>
      <c r="BSU14" s="180"/>
      <c r="BSV14" s="180"/>
      <c r="BSW14" s="180"/>
      <c r="BSX14" s="180"/>
      <c r="BSY14" s="180"/>
      <c r="BSZ14" s="180"/>
      <c r="BTA14" s="180"/>
      <c r="BTB14" s="180"/>
      <c r="BTC14" s="180"/>
      <c r="BTD14" s="180"/>
      <c r="BTE14" s="180"/>
      <c r="BTF14" s="180"/>
      <c r="BTG14" s="180"/>
      <c r="BTH14" s="180"/>
      <c r="BTI14" s="180"/>
      <c r="BTJ14" s="180"/>
      <c r="BTK14" s="180"/>
      <c r="BTL14" s="180"/>
      <c r="BTM14" s="180"/>
      <c r="BTN14" s="180"/>
      <c r="BTO14" s="180"/>
      <c r="BTP14" s="180"/>
      <c r="BTQ14" s="180"/>
      <c r="BTR14" s="180"/>
      <c r="BTS14" s="180"/>
      <c r="BTT14" s="180"/>
      <c r="BTU14" s="180"/>
      <c r="BTV14" s="180"/>
      <c r="BTW14" s="180"/>
      <c r="BTX14" s="180"/>
      <c r="BTY14" s="180"/>
      <c r="BTZ14" s="180"/>
      <c r="BUA14" s="180"/>
      <c r="BUB14" s="180"/>
      <c r="BUC14" s="180"/>
      <c r="BUD14" s="180"/>
      <c r="BUE14" s="180"/>
      <c r="BUF14" s="180"/>
      <c r="BUG14" s="180"/>
      <c r="BUH14" s="180"/>
      <c r="BUI14" s="180"/>
      <c r="BUJ14" s="180"/>
      <c r="BUK14" s="180"/>
      <c r="BUL14" s="180"/>
      <c r="BUM14" s="180"/>
      <c r="BUN14" s="180"/>
      <c r="BUO14" s="180"/>
      <c r="BUP14" s="180"/>
      <c r="BUQ14" s="180"/>
      <c r="BUR14" s="180"/>
      <c r="BUS14" s="180"/>
      <c r="BUT14" s="180"/>
      <c r="BUU14" s="180"/>
      <c r="BUV14" s="180"/>
      <c r="BUW14" s="180"/>
      <c r="BUX14" s="180"/>
      <c r="BUY14" s="180"/>
      <c r="BUZ14" s="180"/>
      <c r="BVA14" s="180"/>
      <c r="BVB14" s="180"/>
      <c r="BVC14" s="180"/>
      <c r="BVD14" s="180"/>
      <c r="BVE14" s="180"/>
      <c r="BVF14" s="180"/>
      <c r="BVG14" s="180"/>
      <c r="BVH14" s="180"/>
      <c r="BVI14" s="180"/>
      <c r="BVJ14" s="180"/>
      <c r="BVK14" s="180"/>
      <c r="BVL14" s="180"/>
      <c r="BVM14" s="180"/>
      <c r="BVN14" s="180"/>
      <c r="BVO14" s="180"/>
      <c r="BVP14" s="180"/>
      <c r="BVQ14" s="180"/>
      <c r="BVR14" s="180"/>
      <c r="BVS14" s="180"/>
      <c r="BVT14" s="180"/>
      <c r="BVU14" s="180"/>
      <c r="BVV14" s="180"/>
      <c r="BVW14" s="180"/>
      <c r="BVX14" s="180"/>
      <c r="BVY14" s="180"/>
      <c r="BVZ14" s="180"/>
      <c r="BWA14" s="180"/>
      <c r="BWB14" s="180"/>
      <c r="BWC14" s="180"/>
      <c r="BWD14" s="180"/>
      <c r="BWE14" s="180"/>
      <c r="BWF14" s="180"/>
      <c r="BWG14" s="180"/>
      <c r="BWH14" s="180"/>
      <c r="BWI14" s="180"/>
      <c r="BWJ14" s="180"/>
      <c r="BWK14" s="180"/>
      <c r="BWL14" s="180"/>
      <c r="BWM14" s="180"/>
      <c r="BWN14" s="180"/>
      <c r="BWO14" s="180"/>
      <c r="BWP14" s="180"/>
      <c r="BWQ14" s="180"/>
      <c r="BWR14" s="180"/>
      <c r="BWS14" s="180"/>
      <c r="BWT14" s="180"/>
      <c r="BWU14" s="180"/>
      <c r="BWV14" s="180"/>
      <c r="BWW14" s="180"/>
      <c r="BWX14" s="180"/>
      <c r="BWY14" s="180"/>
      <c r="BWZ14" s="180"/>
      <c r="BXA14" s="180"/>
      <c r="BXB14" s="180"/>
      <c r="BXC14" s="180"/>
      <c r="BXD14" s="180"/>
      <c r="BXE14" s="180"/>
      <c r="BXF14" s="180"/>
      <c r="BXG14" s="180"/>
      <c r="BXH14" s="180"/>
      <c r="BXI14" s="180"/>
      <c r="BXJ14" s="180"/>
      <c r="BXK14" s="180"/>
      <c r="BXL14" s="180"/>
      <c r="BXM14" s="180"/>
      <c r="BXN14" s="180"/>
      <c r="BXO14" s="180"/>
      <c r="BXP14" s="180"/>
      <c r="BXQ14" s="180"/>
      <c r="BXR14" s="180"/>
      <c r="BXS14" s="180"/>
      <c r="BXT14" s="180"/>
      <c r="BXU14" s="180"/>
      <c r="BXV14" s="180"/>
      <c r="BXW14" s="180"/>
      <c r="BXX14" s="180"/>
      <c r="BXY14" s="180"/>
      <c r="BXZ14" s="180"/>
      <c r="BYA14" s="180"/>
      <c r="BYB14" s="180"/>
      <c r="BYC14" s="180"/>
    </row>
    <row r="15" spans="1:2005" s="182" customFormat="1" ht="17">
      <c r="A15" s="1909"/>
      <c r="B15" s="659" t="s">
        <v>160</v>
      </c>
      <c r="C15" s="359">
        <f>C13*C12</f>
        <v>4903.4448701141264</v>
      </c>
      <c r="D15" s="360">
        <f>C15*SQRT(ConcentratsNr!C20^2/ConcentratsNr!C19^2+D4^2/C4^2+'crop yields'!I21^2/'crop yields'!I20^2+'crop yields'!J21^2/'crop yields'!J20^2+'crop yields'!G21^2/'crop yields'!G20^2)</f>
        <v>1035.2989486451804</v>
      </c>
      <c r="E15" s="359">
        <f>E13*E12</f>
        <v>152.32497809078902</v>
      </c>
      <c r="F15" s="359">
        <f>E15*SQRT(ConcentratsNr!G20^2/ConcentratsNr!G19^2+F4^2/E4^2+'crop yields'!I36^2/'crop yields'!I35^2+'crop yields'!J36^2/'crop yields'!J35^2+'crop yields'!G36^2/'crop yields'!G35^2)</f>
        <v>72.435763246551005</v>
      </c>
      <c r="G15" s="361">
        <f>G13*G12</f>
        <v>62.944354835077796</v>
      </c>
      <c r="H15" s="360">
        <f>G15*SQRT(H4^2/G4^2+'crop yields'!D51^2/'crop yields'!D50^2+ConcentratsNr!K20^2/ConcentratsNr!K19^2)</f>
        <v>34.387338593175656</v>
      </c>
      <c r="I15" s="359">
        <f>I13*I12</f>
        <v>130.97384882745743</v>
      </c>
      <c r="J15" s="360">
        <f>I15*SQRT(J4^2/I4^2+'crop yields'!D66^2/'crop yields'!D65^2+ConcentratsNr!O20^2/ConcentratsNr!O19^2)</f>
        <v>45.538206845130411</v>
      </c>
      <c r="K15" s="413">
        <f>C15+E15+G15+I15</f>
        <v>5249.6880518674507</v>
      </c>
      <c r="L15" s="752">
        <f>SQRT(J15^2+H15^2+F15^2+D15^2)</f>
        <v>1039.3974553562837</v>
      </c>
      <c r="M15" s="361">
        <f>M13*M12</f>
        <v>105.83017569879482</v>
      </c>
      <c r="N15" s="743">
        <f>M15*SQRT(N4^2/M4^2+ConcentratsNr!S20^2/ConcentratsNr!S19^2+'soy table2'!F20^2/'soy table2'!F19^2)</f>
        <v>21.119188620806192</v>
      </c>
      <c r="O15" s="361">
        <f>O13*O12</f>
        <v>281.41356710075092</v>
      </c>
      <c r="P15" s="684">
        <f>O15*SQRT(P4^2/O4^2+wheat!E20^2/wheat!E19^2+ConcentratsNr!W20^2/ConcentratsNr!W19^2)</f>
        <v>105.23969535072368</v>
      </c>
      <c r="Q15" s="637">
        <f>O15+M15+K15</f>
        <v>5636.9317946669962</v>
      </c>
      <c r="R15" s="638">
        <f>SQRT(P15^2+N15^2+L15^2)</f>
        <v>1044.9251091856449</v>
      </c>
      <c r="S15" s="524"/>
      <c r="T15" s="360"/>
      <c r="U15" s="663"/>
      <c r="V15" s="183"/>
      <c r="W15" s="665"/>
      <c r="X15" s="406"/>
      <c r="Y15" s="648">
        <f>AC15-AA15</f>
        <v>6268.5214599999999</v>
      </c>
      <c r="Z15" s="760">
        <f>SQRT(AB15^2+AD15^2)</f>
        <v>801.22018421306052</v>
      </c>
      <c r="AA15" s="541">
        <f>AA14*AA13</f>
        <v>1469.4785400000001</v>
      </c>
      <c r="AB15" s="542">
        <f>AA15*SQRT(AB14^2/AA14^2+AB13^2/AA13^2)</f>
        <v>207.81564808842148</v>
      </c>
      <c r="AC15" s="651">
        <f>3869*2</f>
        <v>7738</v>
      </c>
      <c r="AD15" s="542">
        <f>0.1*AC15</f>
        <v>773.80000000000007</v>
      </c>
      <c r="AE15" s="1329">
        <f>AA15+Y15+Q15</f>
        <v>13374.931794666996</v>
      </c>
      <c r="AF15" s="1203"/>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c r="BQ15" s="180"/>
      <c r="BR15" s="180"/>
      <c r="BS15" s="180"/>
      <c r="BT15" s="180"/>
      <c r="BU15" s="180"/>
      <c r="BV15" s="180"/>
      <c r="BW15" s="180"/>
      <c r="BX15" s="180"/>
      <c r="BY15" s="180"/>
      <c r="BZ15" s="180"/>
      <c r="CA15" s="180"/>
      <c r="CB15" s="180"/>
      <c r="CC15" s="180"/>
      <c r="CD15" s="180"/>
      <c r="CE15" s="180"/>
      <c r="CF15" s="180"/>
      <c r="CG15" s="180"/>
      <c r="CH15" s="180"/>
      <c r="CI15" s="180"/>
      <c r="CJ15" s="180"/>
      <c r="CK15" s="180"/>
      <c r="CL15" s="180"/>
      <c r="CM15" s="180"/>
      <c r="CN15" s="180"/>
      <c r="CO15" s="180"/>
      <c r="CP15" s="180"/>
      <c r="CQ15" s="180"/>
      <c r="CR15" s="180"/>
      <c r="CS15" s="180"/>
      <c r="CT15" s="180"/>
      <c r="CU15" s="180"/>
      <c r="CV15" s="180"/>
      <c r="CW15" s="180"/>
      <c r="CX15" s="180"/>
      <c r="CY15" s="180"/>
      <c r="CZ15" s="180"/>
      <c r="DA15" s="180"/>
      <c r="DB15" s="180"/>
      <c r="DC15" s="180"/>
      <c r="DD15" s="180"/>
      <c r="DE15" s="180"/>
      <c r="DF15" s="180"/>
      <c r="DG15" s="180"/>
      <c r="DH15" s="180"/>
      <c r="DI15" s="180"/>
      <c r="DJ15" s="180"/>
      <c r="DK15" s="180"/>
      <c r="DL15" s="180"/>
      <c r="DM15" s="180"/>
      <c r="DN15" s="180"/>
      <c r="DO15" s="180"/>
      <c r="DP15" s="180"/>
      <c r="DQ15" s="180"/>
      <c r="DR15" s="180"/>
      <c r="DS15" s="180"/>
      <c r="DT15" s="180"/>
      <c r="DU15" s="180"/>
      <c r="DV15" s="180"/>
      <c r="DW15" s="180"/>
      <c r="DX15" s="180"/>
      <c r="DY15" s="180"/>
      <c r="DZ15" s="180"/>
      <c r="EA15" s="180"/>
      <c r="EB15" s="180"/>
      <c r="EC15" s="180"/>
      <c r="ED15" s="180"/>
      <c r="EE15" s="180"/>
      <c r="EF15" s="180"/>
      <c r="EG15" s="180"/>
      <c r="EH15" s="180"/>
      <c r="EI15" s="180"/>
      <c r="EJ15" s="180"/>
      <c r="EK15" s="180"/>
      <c r="EL15" s="180"/>
      <c r="EM15" s="180"/>
      <c r="EN15" s="180"/>
      <c r="EO15" s="180"/>
      <c r="EP15" s="180"/>
      <c r="EQ15" s="180"/>
      <c r="ER15" s="180"/>
      <c r="ES15" s="180"/>
      <c r="ET15" s="180"/>
      <c r="EU15" s="180"/>
      <c r="EV15" s="180"/>
      <c r="EW15" s="180"/>
      <c r="EX15" s="180"/>
      <c r="EY15" s="180"/>
      <c r="EZ15" s="180"/>
      <c r="FA15" s="180"/>
      <c r="FB15" s="180"/>
      <c r="FC15" s="180"/>
      <c r="FD15" s="180"/>
      <c r="FE15" s="180"/>
      <c r="FF15" s="180"/>
      <c r="FG15" s="180"/>
      <c r="FH15" s="180"/>
      <c r="FI15" s="180"/>
      <c r="FJ15" s="180"/>
      <c r="FK15" s="180"/>
      <c r="FL15" s="180"/>
      <c r="FM15" s="180"/>
      <c r="FN15" s="180"/>
      <c r="FO15" s="180"/>
      <c r="FP15" s="180"/>
      <c r="FQ15" s="180"/>
      <c r="FR15" s="180"/>
      <c r="FS15" s="180"/>
      <c r="FT15" s="180"/>
      <c r="FU15" s="180"/>
      <c r="FV15" s="180"/>
      <c r="FW15" s="180"/>
      <c r="FX15" s="180"/>
      <c r="FY15" s="180"/>
      <c r="FZ15" s="180"/>
      <c r="GA15" s="180"/>
      <c r="GB15" s="180"/>
      <c r="GC15" s="180"/>
      <c r="GD15" s="180"/>
      <c r="GE15" s="180"/>
      <c r="GF15" s="180"/>
      <c r="GG15" s="180"/>
      <c r="GH15" s="180"/>
      <c r="GI15" s="180"/>
      <c r="GJ15" s="180"/>
      <c r="GK15" s="180"/>
      <c r="GL15" s="180"/>
      <c r="GM15" s="180"/>
      <c r="GN15" s="180"/>
      <c r="GO15" s="180"/>
      <c r="GP15" s="180"/>
      <c r="GQ15" s="180"/>
      <c r="GR15" s="180"/>
      <c r="GS15" s="180"/>
      <c r="GT15" s="180"/>
      <c r="GU15" s="180"/>
      <c r="GV15" s="180"/>
      <c r="GW15" s="180"/>
      <c r="GX15" s="180"/>
      <c r="GY15" s="180"/>
      <c r="GZ15" s="180"/>
      <c r="HA15" s="180"/>
      <c r="HB15" s="180"/>
      <c r="HC15" s="180"/>
      <c r="HD15" s="180"/>
      <c r="HE15" s="180"/>
      <c r="HF15" s="180"/>
      <c r="HG15" s="180"/>
      <c r="HH15" s="180"/>
      <c r="HI15" s="180"/>
      <c r="HJ15" s="180"/>
      <c r="HK15" s="180"/>
      <c r="HL15" s="180"/>
      <c r="HM15" s="180"/>
      <c r="HN15" s="180"/>
      <c r="HO15" s="180"/>
      <c r="HP15" s="180"/>
      <c r="HQ15" s="180"/>
      <c r="HR15" s="180"/>
      <c r="HS15" s="180"/>
      <c r="HT15" s="180"/>
      <c r="HU15" s="180"/>
      <c r="HV15" s="180"/>
      <c r="HW15" s="180"/>
      <c r="HX15" s="180"/>
      <c r="HY15" s="180"/>
      <c r="HZ15" s="180"/>
      <c r="IA15" s="180"/>
      <c r="IB15" s="180"/>
      <c r="IC15" s="180"/>
      <c r="ID15" s="180"/>
      <c r="IE15" s="180"/>
      <c r="IF15" s="180"/>
      <c r="IG15" s="180"/>
      <c r="IH15" s="180"/>
      <c r="II15" s="180"/>
      <c r="IJ15" s="180"/>
      <c r="IK15" s="180"/>
      <c r="IL15" s="180"/>
      <c r="IM15" s="180"/>
      <c r="IN15" s="180"/>
      <c r="IO15" s="180"/>
      <c r="IP15" s="180"/>
      <c r="IQ15" s="180"/>
      <c r="IR15" s="180"/>
      <c r="IS15" s="180"/>
      <c r="IT15" s="180"/>
      <c r="IU15" s="180"/>
      <c r="IV15" s="180"/>
      <c r="IW15" s="180"/>
      <c r="IX15" s="180"/>
      <c r="IY15" s="180"/>
      <c r="IZ15" s="180"/>
      <c r="JA15" s="180"/>
      <c r="JB15" s="180"/>
      <c r="JC15" s="180"/>
      <c r="JD15" s="180"/>
      <c r="JE15" s="180"/>
      <c r="JF15" s="180"/>
      <c r="JG15" s="180"/>
      <c r="JH15" s="180"/>
      <c r="JI15" s="180"/>
      <c r="JJ15" s="180"/>
      <c r="JK15" s="180"/>
      <c r="JL15" s="180"/>
      <c r="JM15" s="180"/>
      <c r="JN15" s="180"/>
      <c r="JO15" s="180"/>
      <c r="JP15" s="180"/>
      <c r="JQ15" s="180"/>
      <c r="JR15" s="180"/>
      <c r="JS15" s="180"/>
      <c r="JT15" s="180"/>
      <c r="JU15" s="180"/>
      <c r="JV15" s="180"/>
      <c r="JW15" s="180"/>
      <c r="JX15" s="180"/>
      <c r="JY15" s="180"/>
      <c r="JZ15" s="180"/>
      <c r="KA15" s="180"/>
      <c r="KB15" s="180"/>
      <c r="KC15" s="180"/>
      <c r="KD15" s="180"/>
      <c r="KE15" s="180"/>
      <c r="KF15" s="180"/>
      <c r="KG15" s="180"/>
      <c r="KH15" s="180"/>
      <c r="KI15" s="180"/>
      <c r="KJ15" s="180"/>
      <c r="KK15" s="180"/>
      <c r="KL15" s="180"/>
      <c r="KM15" s="180"/>
      <c r="KN15" s="180"/>
      <c r="KO15" s="180"/>
      <c r="KP15" s="180"/>
      <c r="KQ15" s="180"/>
      <c r="KR15" s="180"/>
      <c r="KS15" s="180"/>
      <c r="KT15" s="180"/>
      <c r="KU15" s="180"/>
      <c r="KV15" s="180"/>
      <c r="KW15" s="180"/>
      <c r="KX15" s="180"/>
      <c r="KY15" s="180"/>
      <c r="KZ15" s="180"/>
      <c r="LA15" s="180"/>
      <c r="LB15" s="180"/>
      <c r="LC15" s="180"/>
      <c r="LD15" s="180"/>
      <c r="LE15" s="180"/>
      <c r="LF15" s="180"/>
      <c r="LG15" s="180"/>
      <c r="LH15" s="180"/>
      <c r="LI15" s="180"/>
      <c r="LJ15" s="180"/>
      <c r="LK15" s="180"/>
      <c r="LL15" s="180"/>
      <c r="LM15" s="180"/>
      <c r="LN15" s="180"/>
      <c r="LO15" s="180"/>
      <c r="LP15" s="180"/>
      <c r="LQ15" s="180"/>
      <c r="LR15" s="180"/>
      <c r="LS15" s="180"/>
      <c r="LT15" s="180"/>
      <c r="LU15" s="180"/>
      <c r="LV15" s="180"/>
      <c r="LW15" s="180"/>
      <c r="LX15" s="180"/>
      <c r="LY15" s="180"/>
      <c r="LZ15" s="180"/>
      <c r="MA15" s="180"/>
      <c r="MB15" s="180"/>
      <c r="MC15" s="180"/>
      <c r="MD15" s="180"/>
      <c r="ME15" s="180"/>
      <c r="MF15" s="180"/>
      <c r="MG15" s="180"/>
      <c r="MH15" s="180"/>
      <c r="MI15" s="180"/>
      <c r="MJ15" s="180"/>
      <c r="MK15" s="180"/>
      <c r="ML15" s="180"/>
      <c r="MM15" s="180"/>
      <c r="MN15" s="180"/>
      <c r="MO15" s="180"/>
      <c r="MP15" s="180"/>
      <c r="MQ15" s="180"/>
      <c r="MR15" s="180"/>
      <c r="MS15" s="180"/>
      <c r="MT15" s="180"/>
      <c r="MU15" s="180"/>
      <c r="MV15" s="180"/>
      <c r="MW15" s="180"/>
      <c r="MX15" s="180"/>
      <c r="MY15" s="180"/>
      <c r="MZ15" s="180"/>
      <c r="NA15" s="180"/>
      <c r="NB15" s="180"/>
      <c r="NC15" s="180"/>
      <c r="ND15" s="180"/>
      <c r="NE15" s="180"/>
      <c r="NF15" s="180"/>
      <c r="NG15" s="180"/>
      <c r="NH15" s="180"/>
      <c r="NI15" s="180"/>
      <c r="NJ15" s="180"/>
      <c r="NK15" s="180"/>
      <c r="NL15" s="180"/>
      <c r="NM15" s="180"/>
      <c r="NN15" s="180"/>
      <c r="NO15" s="180"/>
      <c r="NP15" s="180"/>
      <c r="NQ15" s="180"/>
      <c r="NR15" s="180"/>
      <c r="NS15" s="180"/>
      <c r="NT15" s="180"/>
      <c r="NU15" s="180"/>
      <c r="NV15" s="180"/>
      <c r="NW15" s="180"/>
      <c r="NX15" s="180"/>
      <c r="NY15" s="180"/>
      <c r="NZ15" s="180"/>
      <c r="OA15" s="180"/>
      <c r="OB15" s="180"/>
      <c r="OC15" s="180"/>
      <c r="OD15" s="180"/>
      <c r="OE15" s="180"/>
      <c r="OF15" s="180"/>
      <c r="OG15" s="180"/>
      <c r="OH15" s="180"/>
      <c r="OI15" s="180"/>
      <c r="OJ15" s="180"/>
      <c r="OK15" s="180"/>
      <c r="OL15" s="180"/>
      <c r="OM15" s="180"/>
      <c r="ON15" s="180"/>
      <c r="OO15" s="180"/>
      <c r="OP15" s="180"/>
      <c r="OQ15" s="180"/>
      <c r="OR15" s="180"/>
      <c r="OS15" s="180"/>
      <c r="OT15" s="180"/>
      <c r="OU15" s="180"/>
      <c r="OV15" s="180"/>
      <c r="OW15" s="180"/>
      <c r="OX15" s="180"/>
      <c r="OY15" s="180"/>
      <c r="OZ15" s="180"/>
      <c r="PA15" s="180"/>
      <c r="PB15" s="180"/>
      <c r="PC15" s="180"/>
      <c r="PD15" s="180"/>
      <c r="PE15" s="180"/>
      <c r="PF15" s="180"/>
      <c r="PG15" s="180"/>
      <c r="PH15" s="180"/>
      <c r="PI15" s="180"/>
      <c r="PJ15" s="180"/>
      <c r="PK15" s="180"/>
      <c r="PL15" s="180"/>
      <c r="PM15" s="180"/>
      <c r="PN15" s="180"/>
      <c r="PO15" s="180"/>
      <c r="PP15" s="180"/>
      <c r="PQ15" s="180"/>
      <c r="PR15" s="180"/>
      <c r="PS15" s="180"/>
      <c r="PT15" s="180"/>
      <c r="PU15" s="180"/>
      <c r="PV15" s="180"/>
      <c r="PW15" s="180"/>
      <c r="PX15" s="180"/>
      <c r="PY15" s="180"/>
      <c r="PZ15" s="180"/>
      <c r="QA15" s="180"/>
      <c r="QB15" s="180"/>
      <c r="QC15" s="180"/>
      <c r="QD15" s="180"/>
      <c r="QE15" s="180"/>
      <c r="QF15" s="180"/>
      <c r="QG15" s="180"/>
      <c r="QH15" s="180"/>
      <c r="QI15" s="180"/>
      <c r="QJ15" s="180"/>
      <c r="QK15" s="180"/>
      <c r="QL15" s="180"/>
      <c r="QM15" s="180"/>
      <c r="QN15" s="180"/>
      <c r="QO15" s="180"/>
      <c r="QP15" s="180"/>
      <c r="QQ15" s="180"/>
      <c r="QR15" s="180"/>
      <c r="QS15" s="180"/>
      <c r="QT15" s="180"/>
      <c r="QU15" s="180"/>
      <c r="QV15" s="180"/>
      <c r="QW15" s="180"/>
      <c r="QX15" s="180"/>
      <c r="QY15" s="180"/>
      <c r="QZ15" s="180"/>
      <c r="RA15" s="180"/>
      <c r="RB15" s="180"/>
      <c r="RC15" s="180"/>
      <c r="RD15" s="180"/>
      <c r="RE15" s="180"/>
      <c r="RF15" s="180"/>
      <c r="RG15" s="180"/>
      <c r="RH15" s="180"/>
      <c r="RI15" s="180"/>
      <c r="RJ15" s="180"/>
      <c r="RK15" s="180"/>
      <c r="RL15" s="180"/>
      <c r="RM15" s="180"/>
      <c r="RN15" s="180"/>
      <c r="RO15" s="180"/>
      <c r="RP15" s="180"/>
      <c r="RQ15" s="180"/>
      <c r="RR15" s="180"/>
      <c r="RS15" s="180"/>
      <c r="RT15" s="180"/>
      <c r="RU15" s="180"/>
      <c r="RV15" s="180"/>
      <c r="RW15" s="180"/>
      <c r="RX15" s="180"/>
      <c r="RY15" s="180"/>
      <c r="RZ15" s="180"/>
      <c r="SA15" s="180"/>
      <c r="SB15" s="180"/>
      <c r="SC15" s="180"/>
      <c r="SD15" s="180"/>
      <c r="SE15" s="180"/>
      <c r="SF15" s="180"/>
      <c r="SG15" s="180"/>
      <c r="SH15" s="180"/>
      <c r="SI15" s="180"/>
      <c r="SJ15" s="180"/>
      <c r="SK15" s="180"/>
      <c r="SL15" s="180"/>
      <c r="SM15" s="180"/>
      <c r="SN15" s="180"/>
      <c r="SO15" s="180"/>
      <c r="SP15" s="180"/>
      <c r="SQ15" s="180"/>
      <c r="SR15" s="180"/>
      <c r="SS15" s="180"/>
      <c r="ST15" s="180"/>
      <c r="SU15" s="180"/>
      <c r="SV15" s="180"/>
      <c r="SW15" s="180"/>
      <c r="SX15" s="180"/>
      <c r="SY15" s="180"/>
      <c r="SZ15" s="180"/>
      <c r="TA15" s="180"/>
      <c r="TB15" s="180"/>
      <c r="TC15" s="180"/>
      <c r="TD15" s="180"/>
      <c r="TE15" s="180"/>
      <c r="TF15" s="180"/>
      <c r="TG15" s="180"/>
      <c r="TH15" s="180"/>
      <c r="TI15" s="180"/>
      <c r="TJ15" s="180"/>
      <c r="TK15" s="180"/>
      <c r="TL15" s="180"/>
      <c r="TM15" s="180"/>
      <c r="TN15" s="180"/>
      <c r="TO15" s="180"/>
      <c r="TP15" s="180"/>
      <c r="TQ15" s="180"/>
      <c r="TR15" s="180"/>
      <c r="TS15" s="180"/>
      <c r="TT15" s="180"/>
      <c r="TU15" s="180"/>
      <c r="TV15" s="180"/>
      <c r="TW15" s="180"/>
      <c r="TX15" s="180"/>
      <c r="TY15" s="180"/>
      <c r="TZ15" s="180"/>
      <c r="UA15" s="180"/>
      <c r="UB15" s="180"/>
      <c r="UC15" s="180"/>
      <c r="UD15" s="180"/>
      <c r="UE15" s="180"/>
      <c r="UF15" s="180"/>
      <c r="UG15" s="180"/>
      <c r="UH15" s="180"/>
      <c r="UI15" s="180"/>
      <c r="UJ15" s="180"/>
      <c r="UK15" s="180"/>
      <c r="UL15" s="180"/>
      <c r="UM15" s="180"/>
      <c r="UN15" s="180"/>
      <c r="UO15" s="180"/>
      <c r="UP15" s="180"/>
      <c r="UQ15" s="180"/>
      <c r="UR15" s="180"/>
      <c r="US15" s="180"/>
      <c r="UT15" s="180"/>
      <c r="UU15" s="180"/>
      <c r="UV15" s="180"/>
      <c r="UW15" s="180"/>
      <c r="UX15" s="180"/>
      <c r="UY15" s="180"/>
      <c r="UZ15" s="180"/>
      <c r="VA15" s="180"/>
      <c r="VB15" s="180"/>
      <c r="VC15" s="180"/>
      <c r="VD15" s="180"/>
      <c r="VE15" s="180"/>
      <c r="VF15" s="180"/>
      <c r="VG15" s="180"/>
      <c r="VH15" s="180"/>
      <c r="VI15" s="180"/>
      <c r="VJ15" s="180"/>
      <c r="VK15" s="180"/>
      <c r="VL15" s="180"/>
      <c r="VM15" s="180"/>
      <c r="VN15" s="180"/>
      <c r="VO15" s="180"/>
      <c r="VP15" s="180"/>
      <c r="VQ15" s="180"/>
      <c r="VR15" s="180"/>
      <c r="VS15" s="180"/>
      <c r="VT15" s="180"/>
      <c r="VU15" s="180"/>
      <c r="VV15" s="180"/>
      <c r="VW15" s="180"/>
      <c r="VX15" s="180"/>
      <c r="VY15" s="180"/>
      <c r="VZ15" s="180"/>
      <c r="WA15" s="180"/>
      <c r="WB15" s="180"/>
      <c r="WC15" s="180"/>
      <c r="WD15" s="180"/>
      <c r="WE15" s="180"/>
      <c r="WF15" s="180"/>
      <c r="WG15" s="180"/>
      <c r="WH15" s="180"/>
      <c r="WI15" s="180"/>
      <c r="WJ15" s="180"/>
      <c r="WK15" s="180"/>
      <c r="WL15" s="180"/>
      <c r="WM15" s="180"/>
      <c r="WN15" s="180"/>
      <c r="WO15" s="180"/>
      <c r="WP15" s="180"/>
      <c r="WQ15" s="180"/>
      <c r="WR15" s="180"/>
      <c r="WS15" s="180"/>
      <c r="WT15" s="180"/>
      <c r="WU15" s="180"/>
      <c r="WV15" s="180"/>
      <c r="WW15" s="180"/>
      <c r="WX15" s="180"/>
      <c r="WY15" s="180"/>
      <c r="WZ15" s="180"/>
      <c r="XA15" s="180"/>
      <c r="XB15" s="180"/>
      <c r="XC15" s="180"/>
      <c r="XD15" s="180"/>
      <c r="XE15" s="180"/>
      <c r="XF15" s="180"/>
      <c r="XG15" s="180"/>
      <c r="XH15" s="180"/>
      <c r="XI15" s="180"/>
      <c r="XJ15" s="180"/>
      <c r="XK15" s="180"/>
      <c r="XL15" s="180"/>
      <c r="XM15" s="180"/>
      <c r="XN15" s="180"/>
      <c r="XO15" s="180"/>
      <c r="XP15" s="180"/>
      <c r="XQ15" s="180"/>
      <c r="XR15" s="180"/>
      <c r="XS15" s="180"/>
      <c r="XT15" s="180"/>
      <c r="XU15" s="180"/>
      <c r="XV15" s="180"/>
      <c r="XW15" s="180"/>
      <c r="XX15" s="180"/>
      <c r="XY15" s="180"/>
      <c r="XZ15" s="180"/>
      <c r="YA15" s="180"/>
      <c r="YB15" s="180"/>
      <c r="YC15" s="180"/>
      <c r="YD15" s="180"/>
      <c r="YE15" s="180"/>
      <c r="YF15" s="180"/>
      <c r="YG15" s="180"/>
      <c r="YH15" s="180"/>
      <c r="YI15" s="180"/>
      <c r="YJ15" s="180"/>
      <c r="YK15" s="180"/>
      <c r="YL15" s="180"/>
      <c r="YM15" s="180"/>
      <c r="YN15" s="180"/>
      <c r="YO15" s="180"/>
      <c r="YP15" s="180"/>
      <c r="YQ15" s="180"/>
      <c r="YR15" s="180"/>
      <c r="YS15" s="180"/>
      <c r="YT15" s="180"/>
      <c r="YU15" s="180"/>
      <c r="YV15" s="180"/>
      <c r="YW15" s="180"/>
      <c r="YX15" s="180"/>
      <c r="YY15" s="180"/>
      <c r="YZ15" s="180"/>
      <c r="ZA15" s="180"/>
      <c r="ZB15" s="180"/>
      <c r="ZC15" s="180"/>
      <c r="ZD15" s="180"/>
      <c r="ZE15" s="180"/>
      <c r="ZF15" s="180"/>
      <c r="ZG15" s="180"/>
      <c r="ZH15" s="180"/>
      <c r="ZI15" s="180"/>
      <c r="ZJ15" s="180"/>
      <c r="ZK15" s="180"/>
      <c r="ZL15" s="180"/>
      <c r="ZM15" s="180"/>
      <c r="ZN15" s="180"/>
      <c r="ZO15" s="180"/>
      <c r="ZP15" s="180"/>
      <c r="ZQ15" s="180"/>
      <c r="ZR15" s="180"/>
      <c r="ZS15" s="180"/>
      <c r="ZT15" s="180"/>
      <c r="ZU15" s="180"/>
      <c r="ZV15" s="180"/>
      <c r="ZW15" s="180"/>
      <c r="ZX15" s="180"/>
      <c r="ZY15" s="180"/>
      <c r="ZZ15" s="180"/>
      <c r="AAA15" s="180"/>
      <c r="AAB15" s="180"/>
      <c r="AAC15" s="180"/>
      <c r="AAD15" s="180"/>
      <c r="AAE15" s="180"/>
      <c r="AAF15" s="180"/>
      <c r="AAG15" s="180"/>
      <c r="AAH15" s="180"/>
      <c r="AAI15" s="180"/>
      <c r="AAJ15" s="180"/>
      <c r="AAK15" s="180"/>
      <c r="AAL15" s="180"/>
      <c r="AAM15" s="180"/>
      <c r="AAN15" s="180"/>
      <c r="AAO15" s="180"/>
      <c r="AAP15" s="180"/>
      <c r="AAQ15" s="180"/>
      <c r="AAR15" s="180"/>
      <c r="AAS15" s="180"/>
      <c r="AAT15" s="180"/>
      <c r="AAU15" s="180"/>
      <c r="AAV15" s="180"/>
      <c r="AAW15" s="180"/>
      <c r="AAX15" s="180"/>
      <c r="AAY15" s="180"/>
      <c r="AAZ15" s="180"/>
      <c r="ABA15" s="180"/>
      <c r="ABB15" s="180"/>
      <c r="ABC15" s="180"/>
      <c r="ABD15" s="180"/>
      <c r="ABE15" s="180"/>
      <c r="ABF15" s="180"/>
      <c r="ABG15" s="180"/>
      <c r="ABH15" s="180"/>
      <c r="ABI15" s="180"/>
      <c r="ABJ15" s="180"/>
      <c r="ABK15" s="180"/>
      <c r="ABL15" s="180"/>
      <c r="ABM15" s="180"/>
      <c r="ABN15" s="180"/>
      <c r="ABO15" s="180"/>
      <c r="ABP15" s="180"/>
      <c r="ABQ15" s="180"/>
      <c r="ABR15" s="180"/>
      <c r="ABS15" s="180"/>
      <c r="ABT15" s="180"/>
      <c r="ABU15" s="180"/>
      <c r="ABV15" s="180"/>
      <c r="ABW15" s="180"/>
      <c r="ABX15" s="180"/>
      <c r="ABY15" s="180"/>
      <c r="ABZ15" s="180"/>
      <c r="ACA15" s="180"/>
      <c r="ACB15" s="180"/>
      <c r="ACC15" s="180"/>
      <c r="ACD15" s="180"/>
      <c r="ACE15" s="180"/>
      <c r="ACF15" s="180"/>
      <c r="ACG15" s="180"/>
      <c r="ACH15" s="180"/>
      <c r="ACI15" s="180"/>
      <c r="ACJ15" s="180"/>
      <c r="ACK15" s="180"/>
      <c r="ACL15" s="180"/>
      <c r="ACM15" s="180"/>
      <c r="ACN15" s="180"/>
      <c r="ACO15" s="180"/>
      <c r="ACP15" s="180"/>
      <c r="ACQ15" s="180"/>
      <c r="ACR15" s="180"/>
      <c r="ACS15" s="180"/>
      <c r="ACT15" s="180"/>
      <c r="ACU15" s="180"/>
      <c r="ACV15" s="180"/>
      <c r="ACW15" s="180"/>
      <c r="ACX15" s="180"/>
      <c r="ACY15" s="180"/>
      <c r="ACZ15" s="180"/>
      <c r="ADA15" s="180"/>
      <c r="ADB15" s="180"/>
      <c r="ADC15" s="180"/>
      <c r="ADD15" s="180"/>
      <c r="ADE15" s="180"/>
      <c r="ADF15" s="180"/>
      <c r="ADG15" s="180"/>
      <c r="ADH15" s="180"/>
      <c r="ADI15" s="180"/>
      <c r="ADJ15" s="180"/>
      <c r="ADK15" s="180"/>
      <c r="ADL15" s="180"/>
      <c r="ADM15" s="180"/>
      <c r="ADN15" s="180"/>
      <c r="ADO15" s="180"/>
      <c r="ADP15" s="180"/>
      <c r="ADQ15" s="180"/>
      <c r="ADR15" s="180"/>
      <c r="ADS15" s="180"/>
      <c r="ADT15" s="180"/>
      <c r="ADU15" s="180"/>
      <c r="ADV15" s="180"/>
      <c r="ADW15" s="180"/>
      <c r="ADX15" s="180"/>
      <c r="ADY15" s="180"/>
      <c r="ADZ15" s="180"/>
      <c r="AEA15" s="180"/>
      <c r="AEB15" s="180"/>
      <c r="AEC15" s="180"/>
      <c r="AED15" s="180"/>
      <c r="AEE15" s="180"/>
      <c r="AEF15" s="180"/>
      <c r="AEG15" s="180"/>
      <c r="AEH15" s="180"/>
      <c r="AEI15" s="180"/>
      <c r="AEJ15" s="180"/>
      <c r="AEK15" s="180"/>
      <c r="AEL15" s="180"/>
      <c r="AEM15" s="180"/>
      <c r="AEN15" s="180"/>
      <c r="AEO15" s="180"/>
      <c r="AEP15" s="180"/>
      <c r="AEQ15" s="180"/>
      <c r="AER15" s="180"/>
      <c r="AES15" s="180"/>
      <c r="AET15" s="180"/>
      <c r="AEU15" s="180"/>
      <c r="AEV15" s="180"/>
      <c r="AEW15" s="180"/>
      <c r="AEX15" s="180"/>
      <c r="AEY15" s="180"/>
      <c r="AEZ15" s="180"/>
      <c r="AFA15" s="180"/>
      <c r="AFB15" s="180"/>
      <c r="AFC15" s="180"/>
      <c r="AFD15" s="180"/>
      <c r="AFE15" s="180"/>
      <c r="AFF15" s="180"/>
      <c r="AFG15" s="180"/>
      <c r="AFH15" s="180"/>
      <c r="AFI15" s="180"/>
      <c r="AFJ15" s="180"/>
      <c r="AFK15" s="180"/>
      <c r="AFL15" s="180"/>
      <c r="AFM15" s="180"/>
      <c r="AFN15" s="180"/>
      <c r="AFO15" s="180"/>
      <c r="AFP15" s="180"/>
      <c r="AFQ15" s="180"/>
      <c r="AFR15" s="180"/>
      <c r="AFS15" s="180"/>
      <c r="AFT15" s="180"/>
      <c r="AFU15" s="180"/>
      <c r="AFV15" s="180"/>
      <c r="AFW15" s="180"/>
      <c r="AFX15" s="180"/>
      <c r="AFY15" s="180"/>
      <c r="AFZ15" s="180"/>
      <c r="AGA15" s="180"/>
      <c r="AGB15" s="180"/>
      <c r="AGC15" s="180"/>
      <c r="AGD15" s="180"/>
      <c r="AGE15" s="180"/>
      <c r="AGF15" s="180"/>
      <c r="AGG15" s="180"/>
      <c r="AGH15" s="180"/>
      <c r="AGI15" s="180"/>
      <c r="AGJ15" s="180"/>
      <c r="AGK15" s="180"/>
      <c r="AGL15" s="180"/>
      <c r="AGM15" s="180"/>
      <c r="AGN15" s="180"/>
      <c r="AGO15" s="180"/>
      <c r="AGP15" s="180"/>
      <c r="AGQ15" s="180"/>
      <c r="AGR15" s="180"/>
      <c r="AGS15" s="180"/>
      <c r="AGT15" s="180"/>
      <c r="AGU15" s="180"/>
      <c r="AGV15" s="180"/>
      <c r="AGW15" s="180"/>
      <c r="AGX15" s="180"/>
      <c r="AGY15" s="180"/>
      <c r="AGZ15" s="180"/>
      <c r="AHA15" s="180"/>
      <c r="AHB15" s="180"/>
      <c r="AHC15" s="180"/>
      <c r="AHD15" s="180"/>
      <c r="AHE15" s="180"/>
      <c r="AHF15" s="180"/>
      <c r="AHG15" s="180"/>
      <c r="AHH15" s="180"/>
      <c r="AHI15" s="180"/>
      <c r="AHJ15" s="180"/>
      <c r="AHK15" s="180"/>
      <c r="AHL15" s="180"/>
      <c r="AHM15" s="180"/>
      <c r="AHN15" s="180"/>
      <c r="AHO15" s="180"/>
      <c r="AHP15" s="180"/>
      <c r="AHQ15" s="180"/>
      <c r="AHR15" s="180"/>
      <c r="AHS15" s="180"/>
      <c r="AHT15" s="180"/>
      <c r="AHU15" s="180"/>
      <c r="AHV15" s="180"/>
      <c r="AHW15" s="180"/>
      <c r="AHX15" s="180"/>
      <c r="AHY15" s="180"/>
      <c r="AHZ15" s="180"/>
      <c r="AIA15" s="180"/>
      <c r="AIB15" s="180"/>
      <c r="AIC15" s="180"/>
      <c r="AID15" s="180"/>
      <c r="AIE15" s="180"/>
      <c r="AIF15" s="180"/>
      <c r="AIG15" s="180"/>
      <c r="AIH15" s="180"/>
      <c r="AII15" s="180"/>
      <c r="AIJ15" s="180"/>
      <c r="AIK15" s="180"/>
      <c r="AIL15" s="180"/>
      <c r="AIM15" s="180"/>
      <c r="AIN15" s="180"/>
      <c r="AIO15" s="180"/>
      <c r="AIP15" s="180"/>
      <c r="AIQ15" s="180"/>
      <c r="AIR15" s="180"/>
      <c r="AIS15" s="180"/>
      <c r="AIT15" s="180"/>
      <c r="AIU15" s="180"/>
      <c r="AIV15" s="180"/>
      <c r="AIW15" s="180"/>
      <c r="AIX15" s="180"/>
      <c r="AIY15" s="180"/>
      <c r="AIZ15" s="180"/>
      <c r="AJA15" s="180"/>
      <c r="AJB15" s="180"/>
      <c r="AJC15" s="180"/>
      <c r="AJD15" s="180"/>
      <c r="AJE15" s="180"/>
      <c r="AJF15" s="180"/>
      <c r="AJG15" s="180"/>
      <c r="AJH15" s="180"/>
      <c r="AJI15" s="180"/>
      <c r="AJJ15" s="180"/>
      <c r="AJK15" s="180"/>
      <c r="AJL15" s="180"/>
      <c r="AJM15" s="180"/>
      <c r="AJN15" s="180"/>
      <c r="AJO15" s="180"/>
      <c r="AJP15" s="180"/>
      <c r="AJQ15" s="180"/>
      <c r="AJR15" s="180"/>
      <c r="AJS15" s="180"/>
      <c r="AJT15" s="180"/>
      <c r="AJU15" s="180"/>
      <c r="AJV15" s="180"/>
      <c r="AJW15" s="180"/>
      <c r="AJX15" s="180"/>
      <c r="AJY15" s="180"/>
      <c r="AJZ15" s="180"/>
      <c r="AKA15" s="180"/>
      <c r="AKB15" s="180"/>
      <c r="AKC15" s="180"/>
      <c r="AKD15" s="180"/>
      <c r="AKE15" s="180"/>
      <c r="AKF15" s="180"/>
      <c r="AKG15" s="180"/>
      <c r="AKH15" s="180"/>
      <c r="AKI15" s="180"/>
      <c r="AKJ15" s="180"/>
      <c r="AKK15" s="180"/>
      <c r="AKL15" s="180"/>
      <c r="AKM15" s="180"/>
      <c r="AKN15" s="180"/>
      <c r="AKO15" s="180"/>
      <c r="AKP15" s="180"/>
      <c r="AKQ15" s="180"/>
      <c r="AKR15" s="180"/>
      <c r="AKS15" s="180"/>
      <c r="AKT15" s="180"/>
      <c r="AKU15" s="180"/>
      <c r="AKV15" s="180"/>
      <c r="AKW15" s="180"/>
      <c r="AKX15" s="180"/>
      <c r="AKY15" s="180"/>
      <c r="AKZ15" s="180"/>
      <c r="ALA15" s="180"/>
      <c r="ALB15" s="180"/>
      <c r="ALC15" s="180"/>
      <c r="ALD15" s="180"/>
      <c r="ALE15" s="180"/>
      <c r="ALF15" s="180"/>
      <c r="ALG15" s="180"/>
      <c r="ALH15" s="180"/>
      <c r="ALI15" s="180"/>
      <c r="ALJ15" s="180"/>
      <c r="ALK15" s="180"/>
      <c r="ALL15" s="180"/>
      <c r="ALM15" s="180"/>
      <c r="ALN15" s="180"/>
      <c r="ALO15" s="180"/>
      <c r="ALP15" s="180"/>
      <c r="ALQ15" s="180"/>
      <c r="ALR15" s="180"/>
      <c r="ALS15" s="180"/>
      <c r="ALT15" s="180"/>
      <c r="ALU15" s="180"/>
      <c r="ALV15" s="180"/>
      <c r="ALW15" s="180"/>
      <c r="ALX15" s="180"/>
      <c r="ALY15" s="180"/>
      <c r="ALZ15" s="180"/>
      <c r="AMA15" s="180"/>
      <c r="AMB15" s="180"/>
      <c r="AMC15" s="180"/>
      <c r="AMD15" s="180"/>
      <c r="AME15" s="180"/>
      <c r="AMF15" s="180"/>
      <c r="AMG15" s="180"/>
      <c r="AMH15" s="180"/>
      <c r="AMI15" s="180"/>
      <c r="AMJ15" s="180"/>
      <c r="AMK15" s="180"/>
      <c r="AML15" s="180"/>
      <c r="AMM15" s="180"/>
      <c r="AMN15" s="180"/>
      <c r="AMO15" s="180"/>
      <c r="AMP15" s="180"/>
      <c r="AMQ15" s="180"/>
      <c r="AMR15" s="180"/>
      <c r="AMS15" s="180"/>
      <c r="AMT15" s="180"/>
      <c r="AMU15" s="180"/>
      <c r="AMV15" s="180"/>
      <c r="AMW15" s="180"/>
      <c r="AMX15" s="180"/>
      <c r="AMY15" s="180"/>
      <c r="AMZ15" s="180"/>
      <c r="ANA15" s="180"/>
      <c r="ANB15" s="180"/>
      <c r="ANC15" s="180"/>
      <c r="AND15" s="180"/>
      <c r="ANE15" s="180"/>
      <c r="ANF15" s="180"/>
      <c r="ANG15" s="180"/>
      <c r="ANH15" s="180"/>
      <c r="ANI15" s="180"/>
      <c r="ANJ15" s="180"/>
      <c r="ANK15" s="180"/>
      <c r="ANL15" s="180"/>
      <c r="ANM15" s="180"/>
      <c r="ANN15" s="180"/>
      <c r="ANO15" s="180"/>
      <c r="ANP15" s="180"/>
      <c r="ANQ15" s="180"/>
      <c r="ANR15" s="180"/>
      <c r="ANS15" s="180"/>
      <c r="ANT15" s="180"/>
      <c r="ANU15" s="180"/>
      <c r="ANV15" s="180"/>
      <c r="ANW15" s="180"/>
      <c r="ANX15" s="180"/>
      <c r="ANY15" s="180"/>
      <c r="ANZ15" s="180"/>
      <c r="AOA15" s="180"/>
      <c r="AOB15" s="180"/>
      <c r="AOC15" s="180"/>
      <c r="AOD15" s="180"/>
      <c r="AOE15" s="180"/>
      <c r="AOF15" s="180"/>
      <c r="AOG15" s="180"/>
      <c r="AOH15" s="180"/>
      <c r="AOI15" s="180"/>
      <c r="AOJ15" s="180"/>
      <c r="AOK15" s="180"/>
      <c r="AOL15" s="180"/>
      <c r="AOM15" s="180"/>
      <c r="AON15" s="180"/>
      <c r="AOO15" s="180"/>
      <c r="AOP15" s="180"/>
      <c r="AOQ15" s="180"/>
      <c r="AOR15" s="180"/>
      <c r="AOS15" s="180"/>
      <c r="AOT15" s="180"/>
      <c r="AOU15" s="180"/>
      <c r="AOV15" s="180"/>
      <c r="AOW15" s="180"/>
      <c r="AOX15" s="180"/>
      <c r="AOY15" s="180"/>
      <c r="AOZ15" s="180"/>
      <c r="APA15" s="180"/>
      <c r="APB15" s="180"/>
      <c r="APC15" s="180"/>
      <c r="APD15" s="180"/>
      <c r="APE15" s="180"/>
      <c r="APF15" s="180"/>
      <c r="APG15" s="180"/>
      <c r="APH15" s="180"/>
      <c r="API15" s="180"/>
      <c r="APJ15" s="180"/>
      <c r="APK15" s="180"/>
      <c r="APL15" s="180"/>
      <c r="APM15" s="180"/>
      <c r="APN15" s="180"/>
      <c r="APO15" s="180"/>
      <c r="APP15" s="180"/>
      <c r="APQ15" s="180"/>
      <c r="APR15" s="180"/>
      <c r="APS15" s="180"/>
      <c r="APT15" s="180"/>
      <c r="APU15" s="180"/>
      <c r="APV15" s="180"/>
      <c r="APW15" s="180"/>
      <c r="APX15" s="180"/>
      <c r="APY15" s="180"/>
      <c r="APZ15" s="180"/>
      <c r="AQA15" s="180"/>
      <c r="AQB15" s="180"/>
      <c r="AQC15" s="180"/>
      <c r="AQD15" s="180"/>
      <c r="AQE15" s="180"/>
      <c r="AQF15" s="180"/>
      <c r="AQG15" s="180"/>
      <c r="AQH15" s="180"/>
      <c r="AQI15" s="180"/>
      <c r="AQJ15" s="180"/>
      <c r="AQK15" s="180"/>
      <c r="AQL15" s="180"/>
      <c r="AQM15" s="180"/>
      <c r="AQN15" s="180"/>
      <c r="AQO15" s="180"/>
      <c r="AQP15" s="180"/>
      <c r="AQQ15" s="180"/>
      <c r="AQR15" s="180"/>
      <c r="AQS15" s="180"/>
      <c r="AQT15" s="180"/>
      <c r="AQU15" s="180"/>
      <c r="AQV15" s="180"/>
      <c r="AQW15" s="180"/>
      <c r="AQX15" s="180"/>
      <c r="AQY15" s="180"/>
      <c r="AQZ15" s="180"/>
      <c r="ARA15" s="180"/>
      <c r="ARB15" s="180"/>
      <c r="ARC15" s="180"/>
      <c r="ARD15" s="180"/>
      <c r="ARE15" s="180"/>
      <c r="ARF15" s="180"/>
      <c r="ARG15" s="180"/>
      <c r="ARH15" s="180"/>
      <c r="ARI15" s="180"/>
      <c r="ARJ15" s="180"/>
      <c r="ARK15" s="180"/>
      <c r="ARL15" s="180"/>
      <c r="ARM15" s="180"/>
      <c r="ARN15" s="180"/>
      <c r="ARO15" s="180"/>
      <c r="ARP15" s="180"/>
      <c r="ARQ15" s="180"/>
      <c r="ARR15" s="180"/>
      <c r="ARS15" s="180"/>
      <c r="ART15" s="180"/>
      <c r="ARU15" s="180"/>
      <c r="ARV15" s="180"/>
      <c r="ARW15" s="180"/>
      <c r="ARX15" s="180"/>
      <c r="ARY15" s="180"/>
      <c r="ARZ15" s="180"/>
      <c r="ASA15" s="180"/>
      <c r="ASB15" s="180"/>
      <c r="ASC15" s="180"/>
      <c r="ASD15" s="180"/>
      <c r="ASE15" s="180"/>
      <c r="ASF15" s="180"/>
      <c r="ASG15" s="180"/>
      <c r="ASH15" s="180"/>
      <c r="ASI15" s="180"/>
      <c r="ASJ15" s="180"/>
      <c r="ASK15" s="180"/>
      <c r="ASL15" s="180"/>
      <c r="ASM15" s="180"/>
      <c r="ASN15" s="180"/>
      <c r="ASO15" s="180"/>
      <c r="ASP15" s="180"/>
      <c r="ASQ15" s="180"/>
      <c r="ASR15" s="180"/>
      <c r="ASS15" s="180"/>
      <c r="AST15" s="180"/>
      <c r="ASU15" s="180"/>
      <c r="ASV15" s="180"/>
      <c r="ASW15" s="180"/>
      <c r="ASX15" s="180"/>
      <c r="ASY15" s="180"/>
      <c r="ASZ15" s="180"/>
      <c r="ATA15" s="180"/>
      <c r="ATB15" s="180"/>
      <c r="ATC15" s="180"/>
      <c r="ATD15" s="180"/>
      <c r="ATE15" s="180"/>
      <c r="ATF15" s="180"/>
      <c r="ATG15" s="180"/>
      <c r="ATH15" s="180"/>
      <c r="ATI15" s="180"/>
      <c r="ATJ15" s="180"/>
      <c r="ATK15" s="180"/>
      <c r="ATL15" s="180"/>
      <c r="ATM15" s="180"/>
      <c r="ATN15" s="180"/>
      <c r="ATO15" s="180"/>
      <c r="ATP15" s="180"/>
      <c r="ATQ15" s="180"/>
      <c r="ATR15" s="180"/>
      <c r="ATS15" s="180"/>
      <c r="ATT15" s="180"/>
      <c r="ATU15" s="180"/>
      <c r="ATV15" s="180"/>
      <c r="ATW15" s="180"/>
      <c r="ATX15" s="180"/>
      <c r="ATY15" s="180"/>
      <c r="ATZ15" s="180"/>
      <c r="AUA15" s="180"/>
      <c r="AUB15" s="180"/>
      <c r="AUC15" s="180"/>
      <c r="AUD15" s="180"/>
      <c r="AUE15" s="180"/>
      <c r="AUF15" s="180"/>
      <c r="AUG15" s="180"/>
      <c r="AUH15" s="180"/>
      <c r="AUI15" s="180"/>
      <c r="AUJ15" s="180"/>
      <c r="AUK15" s="180"/>
      <c r="AUL15" s="180"/>
      <c r="AUM15" s="180"/>
      <c r="AUN15" s="180"/>
      <c r="AUO15" s="180"/>
      <c r="AUP15" s="180"/>
      <c r="AUQ15" s="180"/>
      <c r="AUR15" s="180"/>
      <c r="AUS15" s="180"/>
      <c r="AUT15" s="180"/>
      <c r="AUU15" s="180"/>
      <c r="AUV15" s="180"/>
      <c r="AUW15" s="180"/>
      <c r="AUX15" s="180"/>
      <c r="AUY15" s="180"/>
      <c r="AUZ15" s="180"/>
      <c r="AVA15" s="180"/>
      <c r="AVB15" s="180"/>
      <c r="AVC15" s="180"/>
      <c r="AVD15" s="180"/>
      <c r="AVE15" s="180"/>
      <c r="AVF15" s="180"/>
      <c r="AVG15" s="180"/>
      <c r="AVH15" s="180"/>
      <c r="AVI15" s="180"/>
      <c r="AVJ15" s="180"/>
      <c r="AVK15" s="180"/>
      <c r="AVL15" s="180"/>
      <c r="AVM15" s="180"/>
      <c r="AVN15" s="180"/>
      <c r="AVO15" s="180"/>
      <c r="AVP15" s="180"/>
      <c r="AVQ15" s="180"/>
      <c r="AVR15" s="180"/>
      <c r="AVS15" s="180"/>
      <c r="AVT15" s="180"/>
      <c r="AVU15" s="180"/>
      <c r="AVV15" s="180"/>
      <c r="AVW15" s="180"/>
      <c r="AVX15" s="180"/>
      <c r="AVY15" s="180"/>
      <c r="AVZ15" s="180"/>
      <c r="AWA15" s="180"/>
      <c r="AWB15" s="180"/>
      <c r="AWC15" s="180"/>
      <c r="AWD15" s="180"/>
      <c r="AWE15" s="180"/>
      <c r="AWF15" s="180"/>
      <c r="AWG15" s="180"/>
      <c r="AWH15" s="180"/>
      <c r="AWI15" s="180"/>
      <c r="AWJ15" s="180"/>
      <c r="AWK15" s="180"/>
      <c r="AWL15" s="180"/>
      <c r="AWM15" s="180"/>
      <c r="AWN15" s="180"/>
      <c r="AWO15" s="180"/>
      <c r="AWP15" s="180"/>
      <c r="AWQ15" s="180"/>
      <c r="AWR15" s="180"/>
      <c r="AWS15" s="180"/>
      <c r="AWT15" s="180"/>
      <c r="AWU15" s="180"/>
      <c r="AWV15" s="180"/>
      <c r="AWW15" s="180"/>
      <c r="AWX15" s="180"/>
      <c r="AWY15" s="180"/>
      <c r="AWZ15" s="180"/>
      <c r="AXA15" s="180"/>
      <c r="AXB15" s="180"/>
      <c r="AXC15" s="180"/>
      <c r="AXD15" s="180"/>
      <c r="AXE15" s="180"/>
      <c r="AXF15" s="180"/>
      <c r="AXG15" s="180"/>
      <c r="AXH15" s="180"/>
      <c r="AXI15" s="180"/>
      <c r="AXJ15" s="180"/>
      <c r="AXK15" s="180"/>
      <c r="AXL15" s="180"/>
      <c r="AXM15" s="180"/>
      <c r="AXN15" s="180"/>
      <c r="AXO15" s="180"/>
      <c r="AXP15" s="180"/>
      <c r="AXQ15" s="180"/>
      <c r="AXR15" s="180"/>
      <c r="AXS15" s="180"/>
      <c r="AXT15" s="180"/>
      <c r="AXU15" s="180"/>
      <c r="AXV15" s="180"/>
      <c r="AXW15" s="180"/>
      <c r="AXX15" s="180"/>
      <c r="AXY15" s="180"/>
      <c r="AXZ15" s="180"/>
      <c r="AYA15" s="180"/>
      <c r="AYB15" s="180"/>
      <c r="AYC15" s="180"/>
      <c r="AYD15" s="180"/>
      <c r="AYE15" s="180"/>
      <c r="AYF15" s="180"/>
      <c r="AYG15" s="180"/>
      <c r="AYH15" s="180"/>
      <c r="AYI15" s="180"/>
      <c r="AYJ15" s="180"/>
      <c r="AYK15" s="180"/>
      <c r="AYL15" s="180"/>
      <c r="AYM15" s="180"/>
      <c r="AYN15" s="180"/>
      <c r="AYO15" s="180"/>
      <c r="AYP15" s="180"/>
      <c r="AYQ15" s="180"/>
      <c r="AYR15" s="180"/>
      <c r="AYS15" s="180"/>
      <c r="AYT15" s="180"/>
      <c r="AYU15" s="180"/>
      <c r="AYV15" s="180"/>
      <c r="AYW15" s="180"/>
      <c r="AYX15" s="180"/>
      <c r="AYY15" s="180"/>
      <c r="AYZ15" s="180"/>
      <c r="AZA15" s="180"/>
      <c r="AZB15" s="180"/>
      <c r="AZC15" s="180"/>
      <c r="AZD15" s="180"/>
      <c r="AZE15" s="180"/>
      <c r="AZF15" s="180"/>
      <c r="AZG15" s="180"/>
      <c r="AZH15" s="180"/>
      <c r="AZI15" s="180"/>
      <c r="AZJ15" s="180"/>
      <c r="AZK15" s="180"/>
      <c r="AZL15" s="180"/>
      <c r="AZM15" s="180"/>
      <c r="AZN15" s="180"/>
      <c r="AZO15" s="180"/>
      <c r="AZP15" s="180"/>
      <c r="AZQ15" s="180"/>
      <c r="AZR15" s="180"/>
      <c r="AZS15" s="180"/>
      <c r="AZT15" s="180"/>
      <c r="AZU15" s="180"/>
      <c r="AZV15" s="180"/>
      <c r="AZW15" s="180"/>
      <c r="AZX15" s="180"/>
      <c r="AZY15" s="180"/>
      <c r="AZZ15" s="180"/>
      <c r="BAA15" s="180"/>
      <c r="BAB15" s="180"/>
      <c r="BAC15" s="180"/>
      <c r="BAD15" s="180"/>
      <c r="BAE15" s="180"/>
      <c r="BAF15" s="180"/>
      <c r="BAG15" s="180"/>
      <c r="BAH15" s="180"/>
      <c r="BAI15" s="180"/>
      <c r="BAJ15" s="180"/>
      <c r="BAK15" s="180"/>
      <c r="BAL15" s="180"/>
      <c r="BAM15" s="180"/>
      <c r="BAN15" s="180"/>
      <c r="BAO15" s="180"/>
      <c r="BAP15" s="180"/>
      <c r="BAQ15" s="180"/>
      <c r="BAR15" s="180"/>
      <c r="BAS15" s="180"/>
      <c r="BAT15" s="180"/>
      <c r="BAU15" s="180"/>
      <c r="BAV15" s="180"/>
      <c r="BAW15" s="180"/>
      <c r="BAX15" s="180"/>
      <c r="BAY15" s="180"/>
      <c r="BAZ15" s="180"/>
      <c r="BBA15" s="180"/>
      <c r="BBB15" s="180"/>
      <c r="BBC15" s="180"/>
      <c r="BBD15" s="180"/>
      <c r="BBE15" s="180"/>
      <c r="BBF15" s="180"/>
      <c r="BBG15" s="180"/>
      <c r="BBH15" s="180"/>
      <c r="BBI15" s="180"/>
      <c r="BBJ15" s="180"/>
      <c r="BBK15" s="180"/>
      <c r="BBL15" s="180"/>
      <c r="BBM15" s="180"/>
      <c r="BBN15" s="180"/>
      <c r="BBO15" s="180"/>
      <c r="BBP15" s="180"/>
      <c r="BBQ15" s="180"/>
      <c r="BBR15" s="180"/>
      <c r="BBS15" s="180"/>
      <c r="BBT15" s="180"/>
      <c r="BBU15" s="180"/>
      <c r="BBV15" s="180"/>
      <c r="BBW15" s="180"/>
      <c r="BBX15" s="180"/>
      <c r="BBY15" s="180"/>
      <c r="BBZ15" s="180"/>
      <c r="BCA15" s="180"/>
      <c r="BCB15" s="180"/>
      <c r="BCC15" s="180"/>
      <c r="BCD15" s="180"/>
      <c r="BCE15" s="180"/>
      <c r="BCF15" s="180"/>
      <c r="BCG15" s="180"/>
      <c r="BCH15" s="180"/>
      <c r="BCI15" s="180"/>
      <c r="BCJ15" s="180"/>
      <c r="BCK15" s="180"/>
      <c r="BCL15" s="180"/>
      <c r="BCM15" s="180"/>
      <c r="BCN15" s="180"/>
      <c r="BCO15" s="180"/>
      <c r="BCP15" s="180"/>
      <c r="BCQ15" s="180"/>
      <c r="BCR15" s="180"/>
      <c r="BCS15" s="180"/>
      <c r="BCT15" s="180"/>
      <c r="BCU15" s="180"/>
      <c r="BCV15" s="180"/>
      <c r="BCW15" s="180"/>
      <c r="BCX15" s="180"/>
      <c r="BCY15" s="180"/>
      <c r="BCZ15" s="180"/>
      <c r="BDA15" s="180"/>
      <c r="BDB15" s="180"/>
      <c r="BDC15" s="180"/>
      <c r="BDD15" s="180"/>
      <c r="BDE15" s="180"/>
      <c r="BDF15" s="180"/>
      <c r="BDG15" s="180"/>
      <c r="BDH15" s="180"/>
      <c r="BDI15" s="180"/>
      <c r="BDJ15" s="180"/>
      <c r="BDK15" s="180"/>
      <c r="BDL15" s="180"/>
      <c r="BDM15" s="180"/>
      <c r="BDN15" s="180"/>
      <c r="BDO15" s="180"/>
      <c r="BDP15" s="180"/>
      <c r="BDQ15" s="180"/>
      <c r="BDR15" s="180"/>
      <c r="BDS15" s="180"/>
      <c r="BDT15" s="180"/>
      <c r="BDU15" s="180"/>
      <c r="BDV15" s="180"/>
      <c r="BDW15" s="180"/>
      <c r="BDX15" s="180"/>
      <c r="BDY15" s="180"/>
      <c r="BDZ15" s="180"/>
      <c r="BEA15" s="180"/>
      <c r="BEB15" s="180"/>
      <c r="BEC15" s="180"/>
      <c r="BED15" s="180"/>
      <c r="BEE15" s="180"/>
      <c r="BEF15" s="180"/>
      <c r="BEG15" s="180"/>
      <c r="BEH15" s="180"/>
      <c r="BEI15" s="180"/>
      <c r="BEJ15" s="180"/>
      <c r="BEK15" s="180"/>
      <c r="BEL15" s="180"/>
      <c r="BEM15" s="180"/>
      <c r="BEN15" s="180"/>
      <c r="BEO15" s="180"/>
      <c r="BEP15" s="180"/>
      <c r="BEQ15" s="180"/>
      <c r="BER15" s="180"/>
      <c r="BES15" s="180"/>
      <c r="BET15" s="180"/>
      <c r="BEU15" s="180"/>
      <c r="BEV15" s="180"/>
      <c r="BEW15" s="180"/>
      <c r="BEX15" s="180"/>
      <c r="BEY15" s="180"/>
      <c r="BEZ15" s="180"/>
      <c r="BFA15" s="180"/>
      <c r="BFB15" s="180"/>
      <c r="BFC15" s="180"/>
      <c r="BFD15" s="180"/>
      <c r="BFE15" s="180"/>
      <c r="BFF15" s="180"/>
      <c r="BFG15" s="180"/>
      <c r="BFH15" s="180"/>
      <c r="BFI15" s="180"/>
      <c r="BFJ15" s="180"/>
      <c r="BFK15" s="180"/>
      <c r="BFL15" s="180"/>
      <c r="BFM15" s="180"/>
      <c r="BFN15" s="180"/>
      <c r="BFO15" s="180"/>
      <c r="BFP15" s="180"/>
      <c r="BFQ15" s="180"/>
      <c r="BFR15" s="180"/>
      <c r="BFS15" s="180"/>
      <c r="BFT15" s="180"/>
      <c r="BFU15" s="180"/>
      <c r="BFV15" s="180"/>
      <c r="BFW15" s="180"/>
      <c r="BFX15" s="180"/>
      <c r="BFY15" s="180"/>
      <c r="BFZ15" s="180"/>
      <c r="BGA15" s="180"/>
      <c r="BGB15" s="180"/>
      <c r="BGC15" s="180"/>
      <c r="BGD15" s="180"/>
      <c r="BGE15" s="180"/>
      <c r="BGF15" s="180"/>
      <c r="BGG15" s="180"/>
      <c r="BGH15" s="180"/>
      <c r="BGI15" s="180"/>
      <c r="BGJ15" s="180"/>
      <c r="BGK15" s="180"/>
      <c r="BGL15" s="180"/>
      <c r="BGM15" s="180"/>
      <c r="BGN15" s="180"/>
      <c r="BGO15" s="180"/>
      <c r="BGP15" s="180"/>
      <c r="BGQ15" s="180"/>
      <c r="BGR15" s="180"/>
      <c r="BGS15" s="180"/>
      <c r="BGT15" s="180"/>
      <c r="BGU15" s="180"/>
      <c r="BGV15" s="180"/>
      <c r="BGW15" s="180"/>
      <c r="BGX15" s="180"/>
      <c r="BGY15" s="180"/>
      <c r="BGZ15" s="180"/>
      <c r="BHA15" s="180"/>
      <c r="BHB15" s="180"/>
      <c r="BHC15" s="180"/>
      <c r="BHD15" s="180"/>
      <c r="BHE15" s="180"/>
      <c r="BHF15" s="180"/>
      <c r="BHG15" s="180"/>
      <c r="BHH15" s="180"/>
      <c r="BHI15" s="180"/>
      <c r="BHJ15" s="180"/>
      <c r="BHK15" s="180"/>
      <c r="BHL15" s="180"/>
      <c r="BHM15" s="180"/>
      <c r="BHN15" s="180"/>
      <c r="BHO15" s="180"/>
      <c r="BHP15" s="180"/>
      <c r="BHQ15" s="180"/>
      <c r="BHR15" s="180"/>
      <c r="BHS15" s="180"/>
      <c r="BHT15" s="180"/>
      <c r="BHU15" s="180"/>
      <c r="BHV15" s="180"/>
      <c r="BHW15" s="180"/>
      <c r="BHX15" s="180"/>
      <c r="BHY15" s="180"/>
      <c r="BHZ15" s="180"/>
      <c r="BIA15" s="180"/>
      <c r="BIB15" s="180"/>
      <c r="BIC15" s="180"/>
      <c r="BID15" s="180"/>
      <c r="BIE15" s="180"/>
      <c r="BIF15" s="180"/>
      <c r="BIG15" s="180"/>
      <c r="BIH15" s="180"/>
      <c r="BII15" s="180"/>
      <c r="BIJ15" s="180"/>
      <c r="BIK15" s="180"/>
      <c r="BIL15" s="180"/>
      <c r="BIM15" s="180"/>
      <c r="BIN15" s="180"/>
      <c r="BIO15" s="180"/>
      <c r="BIP15" s="180"/>
      <c r="BIQ15" s="180"/>
      <c r="BIR15" s="180"/>
      <c r="BIS15" s="180"/>
      <c r="BIT15" s="180"/>
      <c r="BIU15" s="180"/>
      <c r="BIV15" s="180"/>
      <c r="BIW15" s="180"/>
      <c r="BIX15" s="180"/>
      <c r="BIY15" s="180"/>
      <c r="BIZ15" s="180"/>
      <c r="BJA15" s="180"/>
      <c r="BJB15" s="180"/>
      <c r="BJC15" s="180"/>
      <c r="BJD15" s="180"/>
      <c r="BJE15" s="180"/>
      <c r="BJF15" s="180"/>
      <c r="BJG15" s="180"/>
      <c r="BJH15" s="180"/>
      <c r="BJI15" s="180"/>
      <c r="BJJ15" s="180"/>
      <c r="BJK15" s="180"/>
      <c r="BJL15" s="180"/>
      <c r="BJM15" s="180"/>
      <c r="BJN15" s="180"/>
      <c r="BJO15" s="180"/>
      <c r="BJP15" s="180"/>
      <c r="BJQ15" s="180"/>
      <c r="BJR15" s="180"/>
      <c r="BJS15" s="180"/>
      <c r="BJT15" s="180"/>
      <c r="BJU15" s="180"/>
      <c r="BJV15" s="180"/>
      <c r="BJW15" s="180"/>
      <c r="BJX15" s="180"/>
      <c r="BJY15" s="180"/>
      <c r="BJZ15" s="180"/>
      <c r="BKA15" s="180"/>
      <c r="BKB15" s="180"/>
      <c r="BKC15" s="180"/>
      <c r="BKD15" s="180"/>
      <c r="BKE15" s="180"/>
      <c r="BKF15" s="180"/>
      <c r="BKG15" s="180"/>
      <c r="BKH15" s="180"/>
      <c r="BKI15" s="180"/>
      <c r="BKJ15" s="180"/>
      <c r="BKK15" s="180"/>
      <c r="BKL15" s="180"/>
      <c r="BKM15" s="180"/>
      <c r="BKN15" s="180"/>
      <c r="BKO15" s="180"/>
      <c r="BKP15" s="180"/>
      <c r="BKQ15" s="180"/>
      <c r="BKR15" s="180"/>
      <c r="BKS15" s="180"/>
      <c r="BKT15" s="180"/>
      <c r="BKU15" s="180"/>
      <c r="BKV15" s="180"/>
      <c r="BKW15" s="180"/>
      <c r="BKX15" s="180"/>
      <c r="BKY15" s="180"/>
      <c r="BKZ15" s="180"/>
      <c r="BLA15" s="180"/>
      <c r="BLB15" s="180"/>
      <c r="BLC15" s="180"/>
      <c r="BLD15" s="180"/>
      <c r="BLE15" s="180"/>
      <c r="BLF15" s="180"/>
      <c r="BLG15" s="180"/>
      <c r="BLH15" s="180"/>
      <c r="BLI15" s="180"/>
      <c r="BLJ15" s="180"/>
      <c r="BLK15" s="180"/>
      <c r="BLL15" s="180"/>
      <c r="BLM15" s="180"/>
      <c r="BLN15" s="180"/>
      <c r="BLO15" s="180"/>
      <c r="BLP15" s="180"/>
      <c r="BLQ15" s="180"/>
      <c r="BLR15" s="180"/>
      <c r="BLS15" s="180"/>
      <c r="BLT15" s="180"/>
      <c r="BLU15" s="180"/>
      <c r="BLV15" s="180"/>
      <c r="BLW15" s="180"/>
      <c r="BLX15" s="180"/>
      <c r="BLY15" s="180"/>
      <c r="BLZ15" s="180"/>
      <c r="BMA15" s="180"/>
      <c r="BMB15" s="180"/>
      <c r="BMC15" s="180"/>
      <c r="BMD15" s="180"/>
      <c r="BME15" s="180"/>
      <c r="BMF15" s="180"/>
      <c r="BMG15" s="180"/>
      <c r="BMH15" s="180"/>
      <c r="BMI15" s="180"/>
      <c r="BMJ15" s="180"/>
      <c r="BMK15" s="180"/>
      <c r="BML15" s="180"/>
      <c r="BMM15" s="180"/>
      <c r="BMN15" s="180"/>
      <c r="BMO15" s="180"/>
      <c r="BMP15" s="180"/>
      <c r="BMQ15" s="180"/>
      <c r="BMR15" s="180"/>
      <c r="BMS15" s="180"/>
      <c r="BMT15" s="180"/>
      <c r="BMU15" s="180"/>
      <c r="BMV15" s="180"/>
      <c r="BMW15" s="180"/>
      <c r="BMX15" s="180"/>
      <c r="BMY15" s="180"/>
      <c r="BMZ15" s="180"/>
      <c r="BNA15" s="180"/>
      <c r="BNB15" s="180"/>
      <c r="BNC15" s="180"/>
      <c r="BND15" s="180"/>
      <c r="BNE15" s="180"/>
      <c r="BNF15" s="180"/>
      <c r="BNG15" s="180"/>
      <c r="BNH15" s="180"/>
      <c r="BNI15" s="180"/>
      <c r="BNJ15" s="180"/>
      <c r="BNK15" s="180"/>
      <c r="BNL15" s="180"/>
      <c r="BNM15" s="180"/>
      <c r="BNN15" s="180"/>
      <c r="BNO15" s="180"/>
      <c r="BNP15" s="180"/>
      <c r="BNQ15" s="180"/>
      <c r="BNR15" s="180"/>
      <c r="BNS15" s="180"/>
      <c r="BNT15" s="180"/>
      <c r="BNU15" s="180"/>
      <c r="BNV15" s="180"/>
      <c r="BNW15" s="180"/>
      <c r="BNX15" s="180"/>
      <c r="BNY15" s="180"/>
      <c r="BNZ15" s="180"/>
      <c r="BOA15" s="180"/>
      <c r="BOB15" s="180"/>
      <c r="BOC15" s="180"/>
      <c r="BOD15" s="180"/>
      <c r="BOE15" s="180"/>
      <c r="BOF15" s="180"/>
      <c r="BOG15" s="180"/>
      <c r="BOH15" s="180"/>
      <c r="BOI15" s="180"/>
      <c r="BOJ15" s="180"/>
      <c r="BOK15" s="180"/>
      <c r="BOL15" s="180"/>
      <c r="BOM15" s="180"/>
      <c r="BON15" s="180"/>
      <c r="BOO15" s="180"/>
      <c r="BOP15" s="180"/>
      <c r="BOQ15" s="180"/>
      <c r="BOR15" s="180"/>
      <c r="BOS15" s="180"/>
      <c r="BOT15" s="180"/>
      <c r="BOU15" s="180"/>
      <c r="BOV15" s="180"/>
      <c r="BOW15" s="180"/>
      <c r="BOX15" s="180"/>
      <c r="BOY15" s="180"/>
      <c r="BOZ15" s="180"/>
      <c r="BPA15" s="180"/>
      <c r="BPB15" s="180"/>
      <c r="BPC15" s="180"/>
      <c r="BPD15" s="180"/>
      <c r="BPE15" s="180"/>
      <c r="BPF15" s="180"/>
      <c r="BPG15" s="180"/>
      <c r="BPH15" s="180"/>
      <c r="BPI15" s="180"/>
      <c r="BPJ15" s="180"/>
      <c r="BPK15" s="180"/>
      <c r="BPL15" s="180"/>
      <c r="BPM15" s="180"/>
      <c r="BPN15" s="180"/>
      <c r="BPO15" s="180"/>
      <c r="BPP15" s="180"/>
      <c r="BPQ15" s="180"/>
      <c r="BPR15" s="180"/>
      <c r="BPS15" s="180"/>
      <c r="BPT15" s="180"/>
      <c r="BPU15" s="180"/>
      <c r="BPV15" s="180"/>
      <c r="BPW15" s="180"/>
      <c r="BPX15" s="180"/>
      <c r="BPY15" s="180"/>
      <c r="BPZ15" s="180"/>
      <c r="BQA15" s="180"/>
      <c r="BQB15" s="180"/>
      <c r="BQC15" s="180"/>
      <c r="BQD15" s="180"/>
      <c r="BQE15" s="180"/>
      <c r="BQF15" s="180"/>
      <c r="BQG15" s="180"/>
      <c r="BQH15" s="180"/>
      <c r="BQI15" s="180"/>
      <c r="BQJ15" s="180"/>
      <c r="BQK15" s="180"/>
      <c r="BQL15" s="180"/>
      <c r="BQM15" s="180"/>
      <c r="BQN15" s="180"/>
      <c r="BQO15" s="180"/>
      <c r="BQP15" s="180"/>
      <c r="BQQ15" s="180"/>
      <c r="BQR15" s="180"/>
      <c r="BQS15" s="180"/>
      <c r="BQT15" s="180"/>
      <c r="BQU15" s="180"/>
      <c r="BQV15" s="180"/>
      <c r="BQW15" s="180"/>
      <c r="BQX15" s="180"/>
      <c r="BQY15" s="180"/>
      <c r="BQZ15" s="180"/>
      <c r="BRA15" s="180"/>
      <c r="BRB15" s="180"/>
      <c r="BRC15" s="180"/>
      <c r="BRD15" s="180"/>
      <c r="BRE15" s="180"/>
      <c r="BRF15" s="180"/>
      <c r="BRG15" s="180"/>
      <c r="BRH15" s="180"/>
      <c r="BRI15" s="180"/>
      <c r="BRJ15" s="180"/>
      <c r="BRK15" s="180"/>
      <c r="BRL15" s="180"/>
      <c r="BRM15" s="180"/>
      <c r="BRN15" s="180"/>
      <c r="BRO15" s="180"/>
      <c r="BRP15" s="180"/>
      <c r="BRQ15" s="180"/>
      <c r="BRR15" s="180"/>
      <c r="BRS15" s="180"/>
      <c r="BRT15" s="180"/>
      <c r="BRU15" s="180"/>
      <c r="BRV15" s="180"/>
      <c r="BRW15" s="180"/>
      <c r="BRX15" s="180"/>
      <c r="BRY15" s="180"/>
      <c r="BRZ15" s="180"/>
      <c r="BSA15" s="180"/>
      <c r="BSB15" s="180"/>
      <c r="BSC15" s="180"/>
      <c r="BSD15" s="180"/>
      <c r="BSE15" s="180"/>
      <c r="BSF15" s="180"/>
      <c r="BSG15" s="180"/>
      <c r="BSH15" s="180"/>
      <c r="BSI15" s="180"/>
      <c r="BSJ15" s="180"/>
      <c r="BSK15" s="180"/>
      <c r="BSL15" s="180"/>
      <c r="BSM15" s="180"/>
      <c r="BSN15" s="180"/>
      <c r="BSO15" s="180"/>
      <c r="BSP15" s="180"/>
      <c r="BSQ15" s="180"/>
      <c r="BSR15" s="180"/>
      <c r="BSS15" s="180"/>
      <c r="BST15" s="180"/>
      <c r="BSU15" s="180"/>
      <c r="BSV15" s="180"/>
      <c r="BSW15" s="180"/>
      <c r="BSX15" s="180"/>
      <c r="BSY15" s="180"/>
      <c r="BSZ15" s="180"/>
      <c r="BTA15" s="180"/>
      <c r="BTB15" s="180"/>
      <c r="BTC15" s="180"/>
      <c r="BTD15" s="180"/>
      <c r="BTE15" s="180"/>
      <c r="BTF15" s="180"/>
      <c r="BTG15" s="180"/>
      <c r="BTH15" s="180"/>
      <c r="BTI15" s="180"/>
      <c r="BTJ15" s="180"/>
      <c r="BTK15" s="180"/>
      <c r="BTL15" s="180"/>
      <c r="BTM15" s="180"/>
      <c r="BTN15" s="180"/>
      <c r="BTO15" s="180"/>
      <c r="BTP15" s="180"/>
      <c r="BTQ15" s="180"/>
      <c r="BTR15" s="180"/>
      <c r="BTS15" s="180"/>
      <c r="BTT15" s="180"/>
      <c r="BTU15" s="180"/>
      <c r="BTV15" s="180"/>
      <c r="BTW15" s="180"/>
      <c r="BTX15" s="180"/>
      <c r="BTY15" s="180"/>
      <c r="BTZ15" s="180"/>
      <c r="BUA15" s="180"/>
      <c r="BUB15" s="180"/>
      <c r="BUC15" s="180"/>
      <c r="BUD15" s="180"/>
      <c r="BUE15" s="180"/>
      <c r="BUF15" s="180"/>
      <c r="BUG15" s="180"/>
      <c r="BUH15" s="180"/>
      <c r="BUI15" s="180"/>
      <c r="BUJ15" s="180"/>
      <c r="BUK15" s="180"/>
      <c r="BUL15" s="180"/>
      <c r="BUM15" s="180"/>
      <c r="BUN15" s="180"/>
      <c r="BUO15" s="180"/>
      <c r="BUP15" s="180"/>
      <c r="BUQ15" s="180"/>
      <c r="BUR15" s="180"/>
      <c r="BUS15" s="180"/>
      <c r="BUT15" s="180"/>
      <c r="BUU15" s="180"/>
      <c r="BUV15" s="180"/>
      <c r="BUW15" s="180"/>
      <c r="BUX15" s="180"/>
      <c r="BUY15" s="180"/>
      <c r="BUZ15" s="180"/>
      <c r="BVA15" s="180"/>
      <c r="BVB15" s="180"/>
      <c r="BVC15" s="180"/>
      <c r="BVD15" s="180"/>
      <c r="BVE15" s="180"/>
      <c r="BVF15" s="180"/>
      <c r="BVG15" s="180"/>
      <c r="BVH15" s="180"/>
      <c r="BVI15" s="180"/>
      <c r="BVJ15" s="180"/>
      <c r="BVK15" s="180"/>
      <c r="BVL15" s="180"/>
      <c r="BVM15" s="180"/>
      <c r="BVN15" s="180"/>
      <c r="BVO15" s="180"/>
      <c r="BVP15" s="180"/>
      <c r="BVQ15" s="180"/>
      <c r="BVR15" s="180"/>
      <c r="BVS15" s="180"/>
      <c r="BVT15" s="180"/>
      <c r="BVU15" s="180"/>
      <c r="BVV15" s="180"/>
      <c r="BVW15" s="180"/>
      <c r="BVX15" s="180"/>
      <c r="BVY15" s="180"/>
      <c r="BVZ15" s="180"/>
      <c r="BWA15" s="180"/>
      <c r="BWB15" s="180"/>
      <c r="BWC15" s="180"/>
      <c r="BWD15" s="180"/>
      <c r="BWE15" s="180"/>
      <c r="BWF15" s="180"/>
      <c r="BWG15" s="180"/>
      <c r="BWH15" s="180"/>
      <c r="BWI15" s="180"/>
      <c r="BWJ15" s="180"/>
      <c r="BWK15" s="180"/>
      <c r="BWL15" s="180"/>
      <c r="BWM15" s="180"/>
      <c r="BWN15" s="180"/>
      <c r="BWO15" s="180"/>
      <c r="BWP15" s="180"/>
      <c r="BWQ15" s="180"/>
      <c r="BWR15" s="180"/>
      <c r="BWS15" s="180"/>
      <c r="BWT15" s="180"/>
      <c r="BWU15" s="180"/>
      <c r="BWV15" s="180"/>
      <c r="BWW15" s="180"/>
      <c r="BWX15" s="180"/>
      <c r="BWY15" s="180"/>
      <c r="BWZ15" s="180"/>
      <c r="BXA15" s="180"/>
      <c r="BXB15" s="180"/>
      <c r="BXC15" s="180"/>
      <c r="BXD15" s="180"/>
      <c r="BXE15" s="180"/>
      <c r="BXF15" s="180"/>
      <c r="BXG15" s="180"/>
      <c r="BXH15" s="180"/>
      <c r="BXI15" s="180"/>
      <c r="BXJ15" s="180"/>
      <c r="BXK15" s="180"/>
      <c r="BXL15" s="180"/>
      <c r="BXM15" s="180"/>
      <c r="BXN15" s="180"/>
      <c r="BXO15" s="180"/>
      <c r="BXP15" s="180"/>
      <c r="BXQ15" s="180"/>
      <c r="BXR15" s="180"/>
      <c r="BXS15" s="180"/>
      <c r="BXT15" s="180"/>
      <c r="BXU15" s="180"/>
      <c r="BXV15" s="180"/>
      <c r="BXW15" s="180"/>
      <c r="BXX15" s="180"/>
      <c r="BXY15" s="180"/>
      <c r="BXZ15" s="180"/>
      <c r="BYA15" s="180"/>
      <c r="BYB15" s="180"/>
      <c r="BYC15" s="180"/>
    </row>
    <row r="16" spans="1:2005" ht="30">
      <c r="A16" s="1885" t="s">
        <v>506</v>
      </c>
      <c r="B16" s="659" t="s">
        <v>67</v>
      </c>
      <c r="C16" s="355">
        <f>water!H24</f>
        <v>185.443268580048</v>
      </c>
      <c r="D16" s="355">
        <f>water!H25</f>
        <v>38.734080659026631</v>
      </c>
      <c r="E16" s="357">
        <f>water!H38</f>
        <v>164.41604725280973</v>
      </c>
      <c r="F16" s="356">
        <f>water!H39</f>
        <v>37.156294997171763</v>
      </c>
      <c r="G16" s="355">
        <f>water!H53</f>
        <v>358.44437887209295</v>
      </c>
      <c r="H16" s="355">
        <f>water!H54</f>
        <v>91.331996318193205</v>
      </c>
      <c r="I16" s="357">
        <f>water!H68</f>
        <v>90.441301067437777</v>
      </c>
      <c r="J16" s="356">
        <f>water!H69</f>
        <v>20.990173064443077</v>
      </c>
      <c r="K16" s="412"/>
      <c r="L16" s="751"/>
      <c r="M16" s="362">
        <f>water!H103</f>
        <v>76.101197500644716</v>
      </c>
      <c r="N16" s="362">
        <f>water!H104</f>
        <v>11.338107467412089</v>
      </c>
      <c r="O16" s="357">
        <f>water!H87</f>
        <v>108.7793113269224</v>
      </c>
      <c r="P16" s="664">
        <f>water!H88</f>
        <v>16.359796288364233</v>
      </c>
      <c r="Q16" s="636"/>
      <c r="R16" s="757"/>
      <c r="S16" s="355">
        <f>water!H118</f>
        <v>587.73295095459889</v>
      </c>
      <c r="T16" s="409"/>
      <c r="U16" s="522">
        <f>S16</f>
        <v>587.73295095459889</v>
      </c>
      <c r="V16" s="181"/>
      <c r="W16" s="520">
        <f>water!H147</f>
        <v>399.77785343073782</v>
      </c>
      <c r="X16" s="771">
        <f>water!H148</f>
        <v>59.115908728358875</v>
      </c>
      <c r="Y16" s="645"/>
      <c r="Z16" s="794">
        <f>SQRT(T17^2+V17^2+X17^2)</f>
        <v>5157.0489424078978</v>
      </c>
      <c r="AA16" s="1184">
        <f>water!H153</f>
        <v>9.606443412187744</v>
      </c>
      <c r="AB16" s="1184">
        <f>water!H154</f>
        <v>1.6638848069944505</v>
      </c>
      <c r="AC16" s="645"/>
      <c r="AD16" s="180"/>
      <c r="AE16" s="1600"/>
      <c r="AF16" s="1203"/>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180"/>
      <c r="BD16" s="180"/>
      <c r="BE16" s="180"/>
      <c r="BF16" s="180"/>
      <c r="BG16" s="180"/>
      <c r="BH16" s="180"/>
      <c r="BI16" s="180"/>
      <c r="BJ16" s="180"/>
      <c r="BK16" s="180"/>
      <c r="BL16" s="180"/>
      <c r="BM16" s="180"/>
      <c r="BN16" s="180"/>
      <c r="BO16" s="180"/>
      <c r="BP16" s="180"/>
      <c r="BQ16" s="180"/>
      <c r="BR16" s="180"/>
      <c r="BS16" s="180"/>
      <c r="BT16" s="180"/>
      <c r="BU16" s="180"/>
      <c r="BV16" s="180"/>
      <c r="BW16" s="180"/>
      <c r="BX16" s="180"/>
      <c r="BY16" s="180"/>
      <c r="BZ16" s="180"/>
      <c r="CA16" s="180"/>
      <c r="CB16" s="180"/>
      <c r="CC16" s="180"/>
      <c r="CD16" s="180"/>
      <c r="CE16" s="180"/>
      <c r="CF16" s="180"/>
      <c r="CG16" s="180"/>
      <c r="CH16" s="180"/>
      <c r="CI16" s="180"/>
      <c r="CJ16" s="180"/>
      <c r="CK16" s="180"/>
      <c r="CL16" s="180"/>
      <c r="CM16" s="180"/>
      <c r="CN16" s="180"/>
      <c r="CO16" s="180"/>
      <c r="CP16" s="180"/>
      <c r="CQ16" s="180"/>
      <c r="CR16" s="180"/>
      <c r="CS16" s="180"/>
      <c r="CT16" s="180"/>
      <c r="CU16" s="180"/>
      <c r="CV16" s="180"/>
      <c r="CW16" s="180"/>
      <c r="CX16" s="180"/>
      <c r="CY16" s="180"/>
      <c r="CZ16" s="180"/>
      <c r="DA16" s="180"/>
      <c r="DB16" s="180"/>
      <c r="DC16" s="180"/>
      <c r="DD16" s="180"/>
      <c r="DE16" s="180"/>
      <c r="DF16" s="180"/>
      <c r="DG16" s="180"/>
      <c r="DH16" s="180"/>
      <c r="DI16" s="180"/>
      <c r="DJ16" s="180"/>
      <c r="DK16" s="180"/>
      <c r="DL16" s="180"/>
      <c r="DM16" s="180"/>
      <c r="DN16" s="180"/>
      <c r="DO16" s="180"/>
      <c r="DP16" s="180"/>
      <c r="DQ16" s="180"/>
      <c r="DR16" s="180"/>
      <c r="DS16" s="180"/>
      <c r="DT16" s="180"/>
      <c r="DU16" s="180"/>
      <c r="DV16" s="180"/>
      <c r="DW16" s="180"/>
      <c r="DX16" s="180"/>
      <c r="DY16" s="180"/>
      <c r="DZ16" s="180"/>
      <c r="EA16" s="180"/>
      <c r="EB16" s="180"/>
      <c r="EC16" s="180"/>
      <c r="ED16" s="180"/>
      <c r="EE16" s="180"/>
      <c r="EF16" s="180"/>
      <c r="EG16" s="180"/>
      <c r="EH16" s="180"/>
      <c r="EI16" s="180"/>
      <c r="EJ16" s="180"/>
      <c r="EK16" s="180"/>
      <c r="EL16" s="180"/>
      <c r="EM16" s="180"/>
      <c r="EN16" s="180"/>
      <c r="EO16" s="180"/>
      <c r="EP16" s="180"/>
      <c r="EQ16" s="180"/>
      <c r="ER16" s="180"/>
      <c r="ES16" s="180"/>
      <c r="ET16" s="180"/>
      <c r="EU16" s="180"/>
      <c r="EV16" s="180"/>
      <c r="EW16" s="180"/>
      <c r="EX16" s="180"/>
      <c r="EY16" s="180"/>
      <c r="EZ16" s="180"/>
      <c r="FA16" s="180"/>
      <c r="FB16" s="180"/>
      <c r="FC16" s="180"/>
      <c r="FD16" s="180"/>
      <c r="FE16" s="180"/>
      <c r="FF16" s="180"/>
      <c r="FG16" s="180"/>
      <c r="FH16" s="180"/>
      <c r="FI16" s="180"/>
      <c r="FJ16" s="180"/>
      <c r="FK16" s="180"/>
      <c r="FL16" s="180"/>
      <c r="FM16" s="180"/>
      <c r="FN16" s="180"/>
      <c r="FO16" s="180"/>
      <c r="FP16" s="180"/>
      <c r="FQ16" s="180"/>
      <c r="FR16" s="180"/>
      <c r="FS16" s="180"/>
      <c r="FT16" s="180"/>
      <c r="FU16" s="180"/>
      <c r="FV16" s="180"/>
      <c r="FW16" s="180"/>
      <c r="FX16" s="180"/>
      <c r="FY16" s="180"/>
      <c r="FZ16" s="180"/>
      <c r="GA16" s="180"/>
      <c r="GB16" s="180"/>
      <c r="GC16" s="180"/>
      <c r="GD16" s="180"/>
      <c r="GE16" s="180"/>
      <c r="GF16" s="180"/>
      <c r="GG16" s="180"/>
      <c r="GH16" s="180"/>
      <c r="GI16" s="180"/>
      <c r="GJ16" s="180"/>
      <c r="GK16" s="180"/>
      <c r="GL16" s="180"/>
      <c r="GM16" s="180"/>
      <c r="GN16" s="180"/>
      <c r="GO16" s="180"/>
      <c r="GP16" s="180"/>
      <c r="GQ16" s="180"/>
      <c r="GR16" s="180"/>
      <c r="GS16" s="180"/>
      <c r="GT16" s="180"/>
      <c r="GU16" s="180"/>
      <c r="GV16" s="180"/>
      <c r="GW16" s="180"/>
      <c r="GX16" s="180"/>
      <c r="GY16" s="180"/>
      <c r="GZ16" s="180"/>
      <c r="HA16" s="180"/>
      <c r="HB16" s="180"/>
      <c r="HC16" s="180"/>
      <c r="HD16" s="180"/>
      <c r="HE16" s="180"/>
      <c r="HF16" s="180"/>
      <c r="HG16" s="180"/>
      <c r="HH16" s="180"/>
      <c r="HI16" s="180"/>
      <c r="HJ16" s="180"/>
      <c r="HK16" s="180"/>
      <c r="HL16" s="180"/>
      <c r="HM16" s="180"/>
      <c r="HN16" s="180"/>
      <c r="HO16" s="180"/>
      <c r="HP16" s="180"/>
      <c r="HQ16" s="180"/>
      <c r="HR16" s="180"/>
      <c r="HS16" s="180"/>
      <c r="HT16" s="180"/>
      <c r="HU16" s="180"/>
      <c r="HV16" s="180"/>
      <c r="HW16" s="180"/>
      <c r="HX16" s="180"/>
      <c r="HY16" s="180"/>
      <c r="HZ16" s="180"/>
      <c r="IA16" s="180"/>
      <c r="IB16" s="180"/>
      <c r="IC16" s="180"/>
      <c r="ID16" s="180"/>
      <c r="IE16" s="180"/>
      <c r="IF16" s="180"/>
      <c r="IG16" s="180"/>
      <c r="IH16" s="180"/>
      <c r="II16" s="180"/>
      <c r="IJ16" s="180"/>
      <c r="IK16" s="180"/>
      <c r="IL16" s="180"/>
      <c r="IM16" s="180"/>
      <c r="IN16" s="180"/>
      <c r="IO16" s="180"/>
      <c r="IP16" s="180"/>
      <c r="IQ16" s="180"/>
      <c r="IR16" s="180"/>
      <c r="IS16" s="180"/>
      <c r="IT16" s="180"/>
      <c r="IU16" s="180"/>
      <c r="IV16" s="180"/>
      <c r="IW16" s="180"/>
      <c r="IX16" s="180"/>
      <c r="IY16" s="180"/>
      <c r="IZ16" s="180"/>
      <c r="JA16" s="180"/>
      <c r="JB16" s="180"/>
      <c r="JC16" s="180"/>
      <c r="JD16" s="180"/>
      <c r="JE16" s="180"/>
      <c r="JF16" s="180"/>
      <c r="JG16" s="180"/>
      <c r="JH16" s="180"/>
      <c r="JI16" s="180"/>
      <c r="JJ16" s="180"/>
      <c r="JK16" s="180"/>
      <c r="JL16" s="180"/>
      <c r="JM16" s="180"/>
      <c r="JN16" s="180"/>
      <c r="JO16" s="180"/>
      <c r="JP16" s="180"/>
      <c r="JQ16" s="180"/>
      <c r="JR16" s="180"/>
      <c r="JS16" s="180"/>
      <c r="JT16" s="180"/>
      <c r="JU16" s="180"/>
      <c r="JV16" s="180"/>
      <c r="JW16" s="180"/>
      <c r="JX16" s="180"/>
      <c r="JY16" s="180"/>
      <c r="JZ16" s="180"/>
      <c r="KA16" s="180"/>
      <c r="KB16" s="180"/>
      <c r="KC16" s="180"/>
      <c r="KD16" s="180"/>
      <c r="KE16" s="180"/>
      <c r="KF16" s="180"/>
      <c r="KG16" s="180"/>
      <c r="KH16" s="180"/>
      <c r="KI16" s="180"/>
      <c r="KJ16" s="180"/>
      <c r="KK16" s="180"/>
      <c r="KL16" s="180"/>
      <c r="KM16" s="180"/>
      <c r="KN16" s="180"/>
      <c r="KO16" s="180"/>
      <c r="KP16" s="180"/>
      <c r="KQ16" s="180"/>
      <c r="KR16" s="180"/>
      <c r="KS16" s="180"/>
      <c r="KT16" s="180"/>
      <c r="KU16" s="180"/>
      <c r="KV16" s="180"/>
      <c r="KW16" s="180"/>
      <c r="KX16" s="180"/>
      <c r="KY16" s="180"/>
      <c r="KZ16" s="180"/>
      <c r="LA16" s="180"/>
      <c r="LB16" s="180"/>
      <c r="LC16" s="180"/>
      <c r="LD16" s="180"/>
      <c r="LE16" s="180"/>
      <c r="LF16" s="180"/>
      <c r="LG16" s="180"/>
      <c r="LH16" s="180"/>
      <c r="LI16" s="180"/>
      <c r="LJ16" s="180"/>
      <c r="LK16" s="180"/>
      <c r="LL16" s="180"/>
      <c r="LM16" s="180"/>
      <c r="LN16" s="180"/>
      <c r="LO16" s="180"/>
      <c r="LP16" s="180"/>
      <c r="LQ16" s="180"/>
      <c r="LR16" s="180"/>
      <c r="LS16" s="180"/>
      <c r="LT16" s="180"/>
      <c r="LU16" s="180"/>
      <c r="LV16" s="180"/>
      <c r="LW16" s="180"/>
      <c r="LX16" s="180"/>
      <c r="LY16" s="180"/>
      <c r="LZ16" s="180"/>
      <c r="MA16" s="180"/>
      <c r="MB16" s="180"/>
      <c r="MC16" s="180"/>
      <c r="MD16" s="180"/>
      <c r="ME16" s="180"/>
      <c r="MF16" s="180"/>
      <c r="MG16" s="180"/>
      <c r="MH16" s="180"/>
      <c r="MI16" s="180"/>
      <c r="MJ16" s="180"/>
      <c r="MK16" s="180"/>
      <c r="ML16" s="180"/>
      <c r="MM16" s="180"/>
      <c r="MN16" s="180"/>
      <c r="MO16" s="180"/>
      <c r="MP16" s="180"/>
      <c r="MQ16" s="180"/>
      <c r="MR16" s="180"/>
      <c r="MS16" s="180"/>
      <c r="MT16" s="180"/>
      <c r="MU16" s="180"/>
      <c r="MV16" s="180"/>
      <c r="MW16" s="180"/>
      <c r="MX16" s="180"/>
      <c r="MY16" s="180"/>
      <c r="MZ16" s="180"/>
      <c r="NA16" s="180"/>
      <c r="NB16" s="180"/>
      <c r="NC16" s="180"/>
      <c r="ND16" s="180"/>
      <c r="NE16" s="180"/>
      <c r="NF16" s="180"/>
      <c r="NG16" s="180"/>
      <c r="NH16" s="180"/>
      <c r="NI16" s="180"/>
      <c r="NJ16" s="180"/>
      <c r="NK16" s="180"/>
      <c r="NL16" s="180"/>
      <c r="NM16" s="180"/>
      <c r="NN16" s="180"/>
      <c r="NO16" s="180"/>
      <c r="NP16" s="180"/>
      <c r="NQ16" s="180"/>
      <c r="NR16" s="180"/>
      <c r="NS16" s="180"/>
      <c r="NT16" s="180"/>
      <c r="NU16" s="180"/>
      <c r="NV16" s="180"/>
      <c r="NW16" s="180"/>
      <c r="NX16" s="180"/>
      <c r="NY16" s="180"/>
      <c r="NZ16" s="180"/>
      <c r="OA16" s="180"/>
      <c r="OB16" s="180"/>
      <c r="OC16" s="180"/>
      <c r="OD16" s="180"/>
      <c r="OE16" s="180"/>
      <c r="OF16" s="180"/>
      <c r="OG16" s="180"/>
      <c r="OH16" s="180"/>
      <c r="OI16" s="180"/>
      <c r="OJ16" s="180"/>
      <c r="OK16" s="180"/>
      <c r="OL16" s="180"/>
      <c r="OM16" s="180"/>
      <c r="ON16" s="180"/>
      <c r="OO16" s="180"/>
      <c r="OP16" s="180"/>
      <c r="OQ16" s="180"/>
      <c r="OR16" s="180"/>
      <c r="OS16" s="180"/>
      <c r="OT16" s="180"/>
      <c r="OU16" s="180"/>
      <c r="OV16" s="180"/>
      <c r="OW16" s="180"/>
      <c r="OX16" s="180"/>
      <c r="OY16" s="180"/>
      <c r="OZ16" s="180"/>
      <c r="PA16" s="180"/>
      <c r="PB16" s="180"/>
      <c r="PC16" s="180"/>
      <c r="PD16" s="180"/>
      <c r="PE16" s="180"/>
      <c r="PF16" s="180"/>
      <c r="PG16" s="180"/>
      <c r="PH16" s="180"/>
      <c r="PI16" s="180"/>
      <c r="PJ16" s="180"/>
      <c r="PK16" s="180"/>
      <c r="PL16" s="180"/>
      <c r="PM16" s="180"/>
      <c r="PN16" s="180"/>
      <c r="PO16" s="180"/>
      <c r="PP16" s="180"/>
      <c r="PQ16" s="180"/>
      <c r="PR16" s="180"/>
      <c r="PS16" s="180"/>
      <c r="PT16" s="180"/>
      <c r="PU16" s="180"/>
      <c r="PV16" s="180"/>
      <c r="PW16" s="180"/>
      <c r="PX16" s="180"/>
      <c r="PY16" s="180"/>
      <c r="PZ16" s="180"/>
      <c r="QA16" s="180"/>
      <c r="QB16" s="180"/>
      <c r="QC16" s="180"/>
      <c r="QD16" s="180"/>
      <c r="QE16" s="180"/>
      <c r="QF16" s="180"/>
      <c r="QG16" s="180"/>
      <c r="QH16" s="180"/>
      <c r="QI16" s="180"/>
      <c r="QJ16" s="180"/>
      <c r="QK16" s="180"/>
      <c r="QL16" s="180"/>
      <c r="QM16" s="180"/>
      <c r="QN16" s="180"/>
      <c r="QO16" s="180"/>
      <c r="QP16" s="180"/>
      <c r="QQ16" s="180"/>
      <c r="QR16" s="180"/>
      <c r="QS16" s="180"/>
      <c r="QT16" s="180"/>
      <c r="QU16" s="180"/>
      <c r="QV16" s="180"/>
      <c r="QW16" s="180"/>
      <c r="QX16" s="180"/>
      <c r="QY16" s="180"/>
      <c r="QZ16" s="180"/>
      <c r="RA16" s="180"/>
      <c r="RB16" s="180"/>
      <c r="RC16" s="180"/>
      <c r="RD16" s="180"/>
      <c r="RE16" s="180"/>
      <c r="RF16" s="180"/>
      <c r="RG16" s="180"/>
      <c r="RH16" s="180"/>
      <c r="RI16" s="180"/>
      <c r="RJ16" s="180"/>
      <c r="RK16" s="180"/>
      <c r="RL16" s="180"/>
      <c r="RM16" s="180"/>
      <c r="RN16" s="180"/>
      <c r="RO16" s="180"/>
      <c r="RP16" s="180"/>
      <c r="RQ16" s="180"/>
      <c r="RR16" s="180"/>
      <c r="RS16" s="180"/>
      <c r="RT16" s="180"/>
      <c r="RU16" s="180"/>
      <c r="RV16" s="180"/>
      <c r="RW16" s="180"/>
      <c r="RX16" s="180"/>
      <c r="RY16" s="180"/>
      <c r="RZ16" s="180"/>
      <c r="SA16" s="180"/>
      <c r="SB16" s="180"/>
      <c r="SC16" s="180"/>
      <c r="SD16" s="180"/>
      <c r="SE16" s="180"/>
      <c r="SF16" s="180"/>
      <c r="SG16" s="180"/>
      <c r="SH16" s="180"/>
      <c r="SI16" s="180"/>
      <c r="SJ16" s="180"/>
      <c r="SK16" s="180"/>
      <c r="SL16" s="180"/>
      <c r="SM16" s="180"/>
      <c r="SN16" s="180"/>
      <c r="SO16" s="180"/>
      <c r="SP16" s="180"/>
      <c r="SQ16" s="180"/>
      <c r="SR16" s="180"/>
      <c r="SS16" s="180"/>
      <c r="ST16" s="180"/>
      <c r="SU16" s="180"/>
      <c r="SV16" s="180"/>
      <c r="SW16" s="180"/>
      <c r="SX16" s="180"/>
      <c r="SY16" s="180"/>
      <c r="SZ16" s="180"/>
      <c r="TA16" s="180"/>
      <c r="TB16" s="180"/>
      <c r="TC16" s="180"/>
      <c r="TD16" s="180"/>
      <c r="TE16" s="180"/>
      <c r="TF16" s="180"/>
      <c r="TG16" s="180"/>
      <c r="TH16" s="180"/>
      <c r="TI16" s="180"/>
      <c r="TJ16" s="180"/>
      <c r="TK16" s="180"/>
      <c r="TL16" s="180"/>
      <c r="TM16" s="180"/>
      <c r="TN16" s="180"/>
      <c r="TO16" s="180"/>
      <c r="TP16" s="180"/>
      <c r="TQ16" s="180"/>
      <c r="TR16" s="180"/>
      <c r="TS16" s="180"/>
      <c r="TT16" s="180"/>
      <c r="TU16" s="180"/>
      <c r="TV16" s="180"/>
      <c r="TW16" s="180"/>
      <c r="TX16" s="180"/>
      <c r="TY16" s="180"/>
      <c r="TZ16" s="180"/>
      <c r="UA16" s="180"/>
      <c r="UB16" s="180"/>
      <c r="UC16" s="180"/>
      <c r="UD16" s="180"/>
      <c r="UE16" s="180"/>
      <c r="UF16" s="180"/>
      <c r="UG16" s="180"/>
      <c r="UH16" s="180"/>
      <c r="UI16" s="180"/>
      <c r="UJ16" s="180"/>
      <c r="UK16" s="180"/>
      <c r="UL16" s="180"/>
      <c r="UM16" s="180"/>
      <c r="UN16" s="180"/>
      <c r="UO16" s="180"/>
      <c r="UP16" s="180"/>
      <c r="UQ16" s="180"/>
      <c r="UR16" s="180"/>
      <c r="US16" s="180"/>
      <c r="UT16" s="180"/>
      <c r="UU16" s="180"/>
      <c r="UV16" s="180"/>
      <c r="UW16" s="180"/>
      <c r="UX16" s="180"/>
      <c r="UY16" s="180"/>
      <c r="UZ16" s="180"/>
      <c r="VA16" s="180"/>
      <c r="VB16" s="180"/>
      <c r="VC16" s="180"/>
      <c r="VD16" s="180"/>
      <c r="VE16" s="180"/>
      <c r="VF16" s="180"/>
      <c r="VG16" s="180"/>
      <c r="VH16" s="180"/>
      <c r="VI16" s="180"/>
      <c r="VJ16" s="180"/>
      <c r="VK16" s="180"/>
      <c r="VL16" s="180"/>
      <c r="VM16" s="180"/>
      <c r="VN16" s="180"/>
      <c r="VO16" s="180"/>
      <c r="VP16" s="180"/>
      <c r="VQ16" s="180"/>
      <c r="VR16" s="180"/>
      <c r="VS16" s="180"/>
      <c r="VT16" s="180"/>
      <c r="VU16" s="180"/>
      <c r="VV16" s="180"/>
      <c r="VW16" s="180"/>
      <c r="VX16" s="180"/>
      <c r="VY16" s="180"/>
      <c r="VZ16" s="180"/>
      <c r="WA16" s="180"/>
      <c r="WB16" s="180"/>
      <c r="WC16" s="180"/>
      <c r="WD16" s="180"/>
      <c r="WE16" s="180"/>
      <c r="WF16" s="180"/>
      <c r="WG16" s="180"/>
      <c r="WH16" s="180"/>
      <c r="WI16" s="180"/>
      <c r="WJ16" s="180"/>
      <c r="WK16" s="180"/>
      <c r="WL16" s="180"/>
      <c r="WM16" s="180"/>
      <c r="WN16" s="180"/>
      <c r="WO16" s="180"/>
      <c r="WP16" s="180"/>
      <c r="WQ16" s="180"/>
      <c r="WR16" s="180"/>
      <c r="WS16" s="180"/>
      <c r="WT16" s="180"/>
      <c r="WU16" s="180"/>
      <c r="WV16" s="180"/>
      <c r="WW16" s="180"/>
      <c r="WX16" s="180"/>
      <c r="WY16" s="180"/>
      <c r="WZ16" s="180"/>
      <c r="XA16" s="180"/>
      <c r="XB16" s="180"/>
      <c r="XC16" s="180"/>
      <c r="XD16" s="180"/>
      <c r="XE16" s="180"/>
      <c r="XF16" s="180"/>
      <c r="XG16" s="180"/>
      <c r="XH16" s="180"/>
      <c r="XI16" s="180"/>
      <c r="XJ16" s="180"/>
      <c r="XK16" s="180"/>
      <c r="XL16" s="180"/>
      <c r="XM16" s="180"/>
      <c r="XN16" s="180"/>
      <c r="XO16" s="180"/>
      <c r="XP16" s="180"/>
      <c r="XQ16" s="180"/>
      <c r="XR16" s="180"/>
      <c r="XS16" s="180"/>
      <c r="XT16" s="180"/>
      <c r="XU16" s="180"/>
      <c r="XV16" s="180"/>
      <c r="XW16" s="180"/>
      <c r="XX16" s="180"/>
      <c r="XY16" s="180"/>
      <c r="XZ16" s="180"/>
      <c r="YA16" s="180"/>
      <c r="YB16" s="180"/>
      <c r="YC16" s="180"/>
      <c r="YD16" s="180"/>
      <c r="YE16" s="180"/>
      <c r="YF16" s="180"/>
      <c r="YG16" s="180"/>
      <c r="YH16" s="180"/>
      <c r="YI16" s="180"/>
      <c r="YJ16" s="180"/>
      <c r="YK16" s="180"/>
      <c r="YL16" s="180"/>
      <c r="YM16" s="180"/>
      <c r="YN16" s="180"/>
      <c r="YO16" s="180"/>
      <c r="YP16" s="180"/>
      <c r="YQ16" s="180"/>
      <c r="YR16" s="180"/>
      <c r="YS16" s="180"/>
      <c r="YT16" s="180"/>
      <c r="YU16" s="180"/>
      <c r="YV16" s="180"/>
      <c r="YW16" s="180"/>
      <c r="YX16" s="180"/>
      <c r="YY16" s="180"/>
      <c r="YZ16" s="180"/>
      <c r="ZA16" s="180"/>
      <c r="ZB16" s="180"/>
      <c r="ZC16" s="180"/>
      <c r="ZD16" s="180"/>
      <c r="ZE16" s="180"/>
      <c r="ZF16" s="180"/>
      <c r="ZG16" s="180"/>
      <c r="ZH16" s="180"/>
      <c r="ZI16" s="180"/>
      <c r="ZJ16" s="180"/>
      <c r="ZK16" s="180"/>
      <c r="ZL16" s="180"/>
      <c r="ZM16" s="180"/>
      <c r="ZN16" s="180"/>
      <c r="ZO16" s="180"/>
      <c r="ZP16" s="180"/>
      <c r="ZQ16" s="180"/>
      <c r="ZR16" s="180"/>
      <c r="ZS16" s="180"/>
      <c r="ZT16" s="180"/>
      <c r="ZU16" s="180"/>
      <c r="ZV16" s="180"/>
      <c r="ZW16" s="180"/>
      <c r="ZX16" s="180"/>
      <c r="ZY16" s="180"/>
      <c r="ZZ16" s="180"/>
      <c r="AAA16" s="180"/>
      <c r="AAB16" s="180"/>
      <c r="AAC16" s="180"/>
      <c r="AAD16" s="180"/>
      <c r="AAE16" s="180"/>
      <c r="AAF16" s="180"/>
      <c r="AAG16" s="180"/>
      <c r="AAH16" s="180"/>
      <c r="AAI16" s="180"/>
      <c r="AAJ16" s="180"/>
      <c r="AAK16" s="180"/>
      <c r="AAL16" s="180"/>
      <c r="AAM16" s="180"/>
      <c r="AAN16" s="180"/>
      <c r="AAO16" s="180"/>
      <c r="AAP16" s="180"/>
      <c r="AAQ16" s="180"/>
      <c r="AAR16" s="180"/>
      <c r="AAS16" s="180"/>
      <c r="AAT16" s="180"/>
      <c r="AAU16" s="180"/>
      <c r="AAV16" s="180"/>
      <c r="AAW16" s="180"/>
      <c r="AAX16" s="180"/>
      <c r="AAY16" s="180"/>
      <c r="AAZ16" s="180"/>
      <c r="ABA16" s="180"/>
      <c r="ABB16" s="180"/>
      <c r="ABC16" s="180"/>
      <c r="ABD16" s="180"/>
      <c r="ABE16" s="180"/>
      <c r="ABF16" s="180"/>
      <c r="ABG16" s="180"/>
      <c r="ABH16" s="180"/>
      <c r="ABI16" s="180"/>
      <c r="ABJ16" s="180"/>
      <c r="ABK16" s="180"/>
      <c r="ABL16" s="180"/>
      <c r="ABM16" s="180"/>
      <c r="ABN16" s="180"/>
      <c r="ABO16" s="180"/>
      <c r="ABP16" s="180"/>
      <c r="ABQ16" s="180"/>
      <c r="ABR16" s="180"/>
      <c r="ABS16" s="180"/>
      <c r="ABT16" s="180"/>
      <c r="ABU16" s="180"/>
      <c r="ABV16" s="180"/>
      <c r="ABW16" s="180"/>
      <c r="ABX16" s="180"/>
      <c r="ABY16" s="180"/>
      <c r="ABZ16" s="180"/>
      <c r="ACA16" s="180"/>
      <c r="ACB16" s="180"/>
      <c r="ACC16" s="180"/>
      <c r="ACD16" s="180"/>
      <c r="ACE16" s="180"/>
      <c r="ACF16" s="180"/>
      <c r="ACG16" s="180"/>
      <c r="ACH16" s="180"/>
      <c r="ACI16" s="180"/>
      <c r="ACJ16" s="180"/>
      <c r="ACK16" s="180"/>
      <c r="ACL16" s="180"/>
      <c r="ACM16" s="180"/>
      <c r="ACN16" s="180"/>
      <c r="ACO16" s="180"/>
      <c r="ACP16" s="180"/>
      <c r="ACQ16" s="180"/>
      <c r="ACR16" s="180"/>
      <c r="ACS16" s="180"/>
      <c r="ACT16" s="180"/>
      <c r="ACU16" s="180"/>
      <c r="ACV16" s="180"/>
      <c r="ACW16" s="180"/>
      <c r="ACX16" s="180"/>
      <c r="ACY16" s="180"/>
      <c r="ACZ16" s="180"/>
      <c r="ADA16" s="180"/>
      <c r="ADB16" s="180"/>
      <c r="ADC16" s="180"/>
      <c r="ADD16" s="180"/>
      <c r="ADE16" s="180"/>
      <c r="ADF16" s="180"/>
      <c r="ADG16" s="180"/>
      <c r="ADH16" s="180"/>
      <c r="ADI16" s="180"/>
      <c r="ADJ16" s="180"/>
      <c r="ADK16" s="180"/>
      <c r="ADL16" s="180"/>
      <c r="ADM16" s="180"/>
      <c r="ADN16" s="180"/>
      <c r="ADO16" s="180"/>
      <c r="ADP16" s="180"/>
      <c r="ADQ16" s="180"/>
      <c r="ADR16" s="180"/>
      <c r="ADS16" s="180"/>
      <c r="ADT16" s="180"/>
      <c r="ADU16" s="180"/>
      <c r="ADV16" s="180"/>
      <c r="ADW16" s="180"/>
      <c r="ADX16" s="180"/>
      <c r="ADY16" s="180"/>
      <c r="ADZ16" s="180"/>
      <c r="AEA16" s="180"/>
      <c r="AEB16" s="180"/>
      <c r="AEC16" s="180"/>
      <c r="AED16" s="180"/>
      <c r="AEE16" s="180"/>
      <c r="AEF16" s="180"/>
      <c r="AEG16" s="180"/>
      <c r="AEH16" s="180"/>
      <c r="AEI16" s="180"/>
      <c r="AEJ16" s="180"/>
      <c r="AEK16" s="180"/>
      <c r="AEL16" s="180"/>
      <c r="AEM16" s="180"/>
      <c r="AEN16" s="180"/>
      <c r="AEO16" s="180"/>
      <c r="AEP16" s="180"/>
      <c r="AEQ16" s="180"/>
      <c r="AER16" s="180"/>
      <c r="AES16" s="180"/>
      <c r="AET16" s="180"/>
      <c r="AEU16" s="180"/>
      <c r="AEV16" s="180"/>
      <c r="AEW16" s="180"/>
      <c r="AEX16" s="180"/>
      <c r="AEY16" s="180"/>
      <c r="AEZ16" s="180"/>
      <c r="AFA16" s="180"/>
      <c r="AFB16" s="180"/>
      <c r="AFC16" s="180"/>
      <c r="AFD16" s="180"/>
      <c r="AFE16" s="180"/>
      <c r="AFF16" s="180"/>
      <c r="AFG16" s="180"/>
      <c r="AFH16" s="180"/>
      <c r="AFI16" s="180"/>
      <c r="AFJ16" s="180"/>
      <c r="AFK16" s="180"/>
      <c r="AFL16" s="180"/>
      <c r="AFM16" s="180"/>
      <c r="AFN16" s="180"/>
      <c r="AFO16" s="180"/>
      <c r="AFP16" s="180"/>
      <c r="AFQ16" s="180"/>
      <c r="AFR16" s="180"/>
      <c r="AFS16" s="180"/>
      <c r="AFT16" s="180"/>
      <c r="AFU16" s="180"/>
      <c r="AFV16" s="180"/>
      <c r="AFW16" s="180"/>
      <c r="AFX16" s="180"/>
      <c r="AFY16" s="180"/>
      <c r="AFZ16" s="180"/>
      <c r="AGA16" s="180"/>
      <c r="AGB16" s="180"/>
      <c r="AGC16" s="180"/>
      <c r="AGD16" s="180"/>
      <c r="AGE16" s="180"/>
      <c r="AGF16" s="180"/>
      <c r="AGG16" s="180"/>
      <c r="AGH16" s="180"/>
      <c r="AGI16" s="180"/>
      <c r="AGJ16" s="180"/>
      <c r="AGK16" s="180"/>
      <c r="AGL16" s="180"/>
      <c r="AGM16" s="180"/>
      <c r="AGN16" s="180"/>
      <c r="AGO16" s="180"/>
      <c r="AGP16" s="180"/>
      <c r="AGQ16" s="180"/>
      <c r="AGR16" s="180"/>
      <c r="AGS16" s="180"/>
      <c r="AGT16" s="180"/>
      <c r="AGU16" s="180"/>
      <c r="AGV16" s="180"/>
      <c r="AGW16" s="180"/>
      <c r="AGX16" s="180"/>
      <c r="AGY16" s="180"/>
      <c r="AGZ16" s="180"/>
      <c r="AHA16" s="180"/>
      <c r="AHB16" s="180"/>
      <c r="AHC16" s="180"/>
      <c r="AHD16" s="180"/>
      <c r="AHE16" s="180"/>
      <c r="AHF16" s="180"/>
      <c r="AHG16" s="180"/>
      <c r="AHH16" s="180"/>
      <c r="AHI16" s="180"/>
      <c r="AHJ16" s="180"/>
      <c r="AHK16" s="180"/>
      <c r="AHL16" s="180"/>
      <c r="AHM16" s="180"/>
      <c r="AHN16" s="180"/>
      <c r="AHO16" s="180"/>
      <c r="AHP16" s="180"/>
      <c r="AHQ16" s="180"/>
      <c r="AHR16" s="180"/>
      <c r="AHS16" s="180"/>
      <c r="AHT16" s="180"/>
      <c r="AHU16" s="180"/>
      <c r="AHV16" s="180"/>
      <c r="AHW16" s="180"/>
      <c r="AHX16" s="180"/>
      <c r="AHY16" s="180"/>
      <c r="AHZ16" s="180"/>
      <c r="AIA16" s="180"/>
      <c r="AIB16" s="180"/>
      <c r="AIC16" s="180"/>
      <c r="AID16" s="180"/>
      <c r="AIE16" s="180"/>
      <c r="AIF16" s="180"/>
      <c r="AIG16" s="180"/>
      <c r="AIH16" s="180"/>
      <c r="AII16" s="180"/>
      <c r="AIJ16" s="180"/>
      <c r="AIK16" s="180"/>
      <c r="AIL16" s="180"/>
      <c r="AIM16" s="180"/>
      <c r="AIN16" s="180"/>
      <c r="AIO16" s="180"/>
      <c r="AIP16" s="180"/>
      <c r="AIQ16" s="180"/>
      <c r="AIR16" s="180"/>
      <c r="AIS16" s="180"/>
      <c r="AIT16" s="180"/>
      <c r="AIU16" s="180"/>
      <c r="AIV16" s="180"/>
      <c r="AIW16" s="180"/>
      <c r="AIX16" s="180"/>
      <c r="AIY16" s="180"/>
      <c r="AIZ16" s="180"/>
      <c r="AJA16" s="180"/>
      <c r="AJB16" s="180"/>
      <c r="AJC16" s="180"/>
      <c r="AJD16" s="180"/>
      <c r="AJE16" s="180"/>
      <c r="AJF16" s="180"/>
      <c r="AJG16" s="180"/>
      <c r="AJH16" s="180"/>
      <c r="AJI16" s="180"/>
      <c r="AJJ16" s="180"/>
      <c r="AJK16" s="180"/>
      <c r="AJL16" s="180"/>
      <c r="AJM16" s="180"/>
      <c r="AJN16" s="180"/>
      <c r="AJO16" s="180"/>
      <c r="AJP16" s="180"/>
      <c r="AJQ16" s="180"/>
      <c r="AJR16" s="180"/>
      <c r="AJS16" s="180"/>
      <c r="AJT16" s="180"/>
      <c r="AJU16" s="180"/>
      <c r="AJV16" s="180"/>
      <c r="AJW16" s="180"/>
      <c r="AJX16" s="180"/>
      <c r="AJY16" s="180"/>
      <c r="AJZ16" s="180"/>
      <c r="AKA16" s="180"/>
      <c r="AKB16" s="180"/>
      <c r="AKC16" s="180"/>
      <c r="AKD16" s="180"/>
      <c r="AKE16" s="180"/>
      <c r="AKF16" s="180"/>
      <c r="AKG16" s="180"/>
      <c r="AKH16" s="180"/>
      <c r="AKI16" s="180"/>
      <c r="AKJ16" s="180"/>
      <c r="AKK16" s="180"/>
      <c r="AKL16" s="180"/>
      <c r="AKM16" s="180"/>
      <c r="AKN16" s="180"/>
      <c r="AKO16" s="180"/>
      <c r="AKP16" s="180"/>
      <c r="AKQ16" s="180"/>
      <c r="AKR16" s="180"/>
      <c r="AKS16" s="180"/>
      <c r="AKT16" s="180"/>
      <c r="AKU16" s="180"/>
      <c r="AKV16" s="180"/>
      <c r="AKW16" s="180"/>
      <c r="AKX16" s="180"/>
      <c r="AKY16" s="180"/>
      <c r="AKZ16" s="180"/>
      <c r="ALA16" s="180"/>
      <c r="ALB16" s="180"/>
      <c r="ALC16" s="180"/>
      <c r="ALD16" s="180"/>
      <c r="ALE16" s="180"/>
      <c r="ALF16" s="180"/>
      <c r="ALG16" s="180"/>
      <c r="ALH16" s="180"/>
      <c r="ALI16" s="180"/>
      <c r="ALJ16" s="180"/>
      <c r="ALK16" s="180"/>
      <c r="ALL16" s="180"/>
      <c r="ALM16" s="180"/>
      <c r="ALN16" s="180"/>
      <c r="ALO16" s="180"/>
      <c r="ALP16" s="180"/>
      <c r="ALQ16" s="180"/>
      <c r="ALR16" s="180"/>
      <c r="ALS16" s="180"/>
      <c r="ALT16" s="180"/>
      <c r="ALU16" s="180"/>
      <c r="ALV16" s="180"/>
      <c r="ALW16" s="180"/>
      <c r="ALX16" s="180"/>
      <c r="ALY16" s="180"/>
      <c r="ALZ16" s="180"/>
      <c r="AMA16" s="180"/>
      <c r="AMB16" s="180"/>
      <c r="AMC16" s="180"/>
      <c r="AMD16" s="180"/>
      <c r="AME16" s="180"/>
      <c r="AMF16" s="180"/>
      <c r="AMG16" s="180"/>
      <c r="AMH16" s="180"/>
      <c r="AMI16" s="180"/>
      <c r="AMJ16" s="180"/>
      <c r="AMK16" s="180"/>
      <c r="AML16" s="180"/>
      <c r="AMM16" s="180"/>
      <c r="AMN16" s="180"/>
      <c r="AMO16" s="180"/>
      <c r="AMP16" s="180"/>
      <c r="AMQ16" s="180"/>
      <c r="AMR16" s="180"/>
      <c r="AMS16" s="180"/>
      <c r="AMT16" s="180"/>
      <c r="AMU16" s="180"/>
      <c r="AMV16" s="180"/>
      <c r="AMW16" s="180"/>
      <c r="AMX16" s="180"/>
      <c r="AMY16" s="180"/>
      <c r="AMZ16" s="180"/>
      <c r="ANA16" s="180"/>
      <c r="ANB16" s="180"/>
      <c r="ANC16" s="180"/>
      <c r="AND16" s="180"/>
      <c r="ANE16" s="180"/>
      <c r="ANF16" s="180"/>
      <c r="ANG16" s="180"/>
      <c r="ANH16" s="180"/>
      <c r="ANI16" s="180"/>
      <c r="ANJ16" s="180"/>
      <c r="ANK16" s="180"/>
      <c r="ANL16" s="180"/>
      <c r="ANM16" s="180"/>
      <c r="ANN16" s="180"/>
      <c r="ANO16" s="180"/>
      <c r="ANP16" s="180"/>
      <c r="ANQ16" s="180"/>
      <c r="ANR16" s="180"/>
      <c r="ANS16" s="180"/>
      <c r="ANT16" s="180"/>
      <c r="ANU16" s="180"/>
      <c r="ANV16" s="180"/>
      <c r="ANW16" s="180"/>
      <c r="ANX16" s="180"/>
      <c r="ANY16" s="180"/>
      <c r="ANZ16" s="180"/>
      <c r="AOA16" s="180"/>
      <c r="AOB16" s="180"/>
      <c r="AOC16" s="180"/>
      <c r="AOD16" s="180"/>
      <c r="AOE16" s="180"/>
      <c r="AOF16" s="180"/>
      <c r="AOG16" s="180"/>
      <c r="AOH16" s="180"/>
      <c r="AOI16" s="180"/>
      <c r="AOJ16" s="180"/>
      <c r="AOK16" s="180"/>
      <c r="AOL16" s="180"/>
      <c r="AOM16" s="180"/>
      <c r="AON16" s="180"/>
      <c r="AOO16" s="180"/>
      <c r="AOP16" s="180"/>
      <c r="AOQ16" s="180"/>
      <c r="AOR16" s="180"/>
      <c r="AOS16" s="180"/>
      <c r="AOT16" s="180"/>
      <c r="AOU16" s="180"/>
      <c r="AOV16" s="180"/>
      <c r="AOW16" s="180"/>
      <c r="AOX16" s="180"/>
      <c r="AOY16" s="180"/>
      <c r="AOZ16" s="180"/>
      <c r="APA16" s="180"/>
      <c r="APB16" s="180"/>
      <c r="APC16" s="180"/>
      <c r="APD16" s="180"/>
      <c r="APE16" s="180"/>
      <c r="APF16" s="180"/>
      <c r="APG16" s="180"/>
      <c r="APH16" s="180"/>
      <c r="API16" s="180"/>
      <c r="APJ16" s="180"/>
      <c r="APK16" s="180"/>
      <c r="APL16" s="180"/>
      <c r="APM16" s="180"/>
      <c r="APN16" s="180"/>
      <c r="APO16" s="180"/>
      <c r="APP16" s="180"/>
      <c r="APQ16" s="180"/>
      <c r="APR16" s="180"/>
      <c r="APS16" s="180"/>
      <c r="APT16" s="180"/>
      <c r="APU16" s="180"/>
      <c r="APV16" s="180"/>
      <c r="APW16" s="180"/>
      <c r="APX16" s="180"/>
      <c r="APY16" s="180"/>
      <c r="APZ16" s="180"/>
      <c r="AQA16" s="180"/>
      <c r="AQB16" s="180"/>
      <c r="AQC16" s="180"/>
      <c r="AQD16" s="180"/>
      <c r="AQE16" s="180"/>
      <c r="AQF16" s="180"/>
      <c r="AQG16" s="180"/>
      <c r="AQH16" s="180"/>
      <c r="AQI16" s="180"/>
      <c r="AQJ16" s="180"/>
      <c r="AQK16" s="180"/>
      <c r="AQL16" s="180"/>
      <c r="AQM16" s="180"/>
      <c r="AQN16" s="180"/>
      <c r="AQO16" s="180"/>
      <c r="AQP16" s="180"/>
      <c r="AQQ16" s="180"/>
      <c r="AQR16" s="180"/>
      <c r="AQS16" s="180"/>
      <c r="AQT16" s="180"/>
      <c r="AQU16" s="180"/>
      <c r="AQV16" s="180"/>
      <c r="AQW16" s="180"/>
      <c r="AQX16" s="180"/>
      <c r="AQY16" s="180"/>
      <c r="AQZ16" s="180"/>
      <c r="ARA16" s="180"/>
      <c r="ARB16" s="180"/>
      <c r="ARC16" s="180"/>
      <c r="ARD16" s="180"/>
      <c r="ARE16" s="180"/>
      <c r="ARF16" s="180"/>
      <c r="ARG16" s="180"/>
      <c r="ARH16" s="180"/>
      <c r="ARI16" s="180"/>
      <c r="ARJ16" s="180"/>
      <c r="ARK16" s="180"/>
      <c r="ARL16" s="180"/>
      <c r="ARM16" s="180"/>
      <c r="ARN16" s="180"/>
      <c r="ARO16" s="180"/>
      <c r="ARP16" s="180"/>
      <c r="ARQ16" s="180"/>
      <c r="ARR16" s="180"/>
      <c r="ARS16" s="180"/>
      <c r="ART16" s="180"/>
      <c r="ARU16" s="180"/>
      <c r="ARV16" s="180"/>
      <c r="ARW16" s="180"/>
      <c r="ARX16" s="180"/>
      <c r="ARY16" s="180"/>
      <c r="ARZ16" s="180"/>
      <c r="ASA16" s="180"/>
      <c r="ASB16" s="180"/>
      <c r="ASC16" s="180"/>
      <c r="ASD16" s="180"/>
      <c r="ASE16" s="180"/>
      <c r="ASF16" s="180"/>
      <c r="ASG16" s="180"/>
      <c r="ASH16" s="180"/>
      <c r="ASI16" s="180"/>
      <c r="ASJ16" s="180"/>
      <c r="ASK16" s="180"/>
      <c r="ASL16" s="180"/>
      <c r="ASM16" s="180"/>
      <c r="ASN16" s="180"/>
      <c r="ASO16" s="180"/>
      <c r="ASP16" s="180"/>
      <c r="ASQ16" s="180"/>
      <c r="ASR16" s="180"/>
      <c r="ASS16" s="180"/>
      <c r="AST16" s="180"/>
      <c r="ASU16" s="180"/>
      <c r="ASV16" s="180"/>
      <c r="ASW16" s="180"/>
      <c r="ASX16" s="180"/>
      <c r="ASY16" s="180"/>
      <c r="ASZ16" s="180"/>
      <c r="ATA16" s="180"/>
      <c r="ATB16" s="180"/>
      <c r="ATC16" s="180"/>
      <c r="ATD16" s="180"/>
      <c r="ATE16" s="180"/>
      <c r="ATF16" s="180"/>
      <c r="ATG16" s="180"/>
      <c r="ATH16" s="180"/>
      <c r="ATI16" s="180"/>
      <c r="ATJ16" s="180"/>
      <c r="ATK16" s="180"/>
      <c r="ATL16" s="180"/>
      <c r="ATM16" s="180"/>
      <c r="ATN16" s="180"/>
      <c r="ATO16" s="180"/>
      <c r="ATP16" s="180"/>
      <c r="ATQ16" s="180"/>
      <c r="ATR16" s="180"/>
      <c r="ATS16" s="180"/>
      <c r="ATT16" s="180"/>
      <c r="ATU16" s="180"/>
      <c r="ATV16" s="180"/>
      <c r="ATW16" s="180"/>
      <c r="ATX16" s="180"/>
      <c r="ATY16" s="180"/>
      <c r="ATZ16" s="180"/>
      <c r="AUA16" s="180"/>
      <c r="AUB16" s="180"/>
      <c r="AUC16" s="180"/>
      <c r="AUD16" s="180"/>
      <c r="AUE16" s="180"/>
      <c r="AUF16" s="180"/>
      <c r="AUG16" s="180"/>
      <c r="AUH16" s="180"/>
      <c r="AUI16" s="180"/>
      <c r="AUJ16" s="180"/>
      <c r="AUK16" s="180"/>
      <c r="AUL16" s="180"/>
      <c r="AUM16" s="180"/>
      <c r="AUN16" s="180"/>
      <c r="AUO16" s="180"/>
      <c r="AUP16" s="180"/>
      <c r="AUQ16" s="180"/>
      <c r="AUR16" s="180"/>
      <c r="AUS16" s="180"/>
      <c r="AUT16" s="180"/>
      <c r="AUU16" s="180"/>
      <c r="AUV16" s="180"/>
      <c r="AUW16" s="180"/>
      <c r="AUX16" s="180"/>
      <c r="AUY16" s="180"/>
      <c r="AUZ16" s="180"/>
      <c r="AVA16" s="180"/>
      <c r="AVB16" s="180"/>
      <c r="AVC16" s="180"/>
      <c r="AVD16" s="180"/>
      <c r="AVE16" s="180"/>
      <c r="AVF16" s="180"/>
      <c r="AVG16" s="180"/>
      <c r="AVH16" s="180"/>
      <c r="AVI16" s="180"/>
      <c r="AVJ16" s="180"/>
      <c r="AVK16" s="180"/>
      <c r="AVL16" s="180"/>
      <c r="AVM16" s="180"/>
      <c r="AVN16" s="180"/>
      <c r="AVO16" s="180"/>
      <c r="AVP16" s="180"/>
      <c r="AVQ16" s="180"/>
      <c r="AVR16" s="180"/>
      <c r="AVS16" s="180"/>
      <c r="AVT16" s="180"/>
      <c r="AVU16" s="180"/>
      <c r="AVV16" s="180"/>
      <c r="AVW16" s="180"/>
      <c r="AVX16" s="180"/>
      <c r="AVY16" s="180"/>
      <c r="AVZ16" s="180"/>
      <c r="AWA16" s="180"/>
      <c r="AWB16" s="180"/>
      <c r="AWC16" s="180"/>
      <c r="AWD16" s="180"/>
      <c r="AWE16" s="180"/>
      <c r="AWF16" s="180"/>
      <c r="AWG16" s="180"/>
      <c r="AWH16" s="180"/>
      <c r="AWI16" s="180"/>
      <c r="AWJ16" s="180"/>
      <c r="AWK16" s="180"/>
      <c r="AWL16" s="180"/>
      <c r="AWM16" s="180"/>
      <c r="AWN16" s="180"/>
      <c r="AWO16" s="180"/>
      <c r="AWP16" s="180"/>
      <c r="AWQ16" s="180"/>
      <c r="AWR16" s="180"/>
      <c r="AWS16" s="180"/>
      <c r="AWT16" s="180"/>
      <c r="AWU16" s="180"/>
      <c r="AWV16" s="180"/>
      <c r="AWW16" s="180"/>
      <c r="AWX16" s="180"/>
      <c r="AWY16" s="180"/>
      <c r="AWZ16" s="180"/>
      <c r="AXA16" s="180"/>
      <c r="AXB16" s="180"/>
      <c r="AXC16" s="180"/>
      <c r="AXD16" s="180"/>
      <c r="AXE16" s="180"/>
      <c r="AXF16" s="180"/>
      <c r="AXG16" s="180"/>
      <c r="AXH16" s="180"/>
      <c r="AXI16" s="180"/>
      <c r="AXJ16" s="180"/>
      <c r="AXK16" s="180"/>
      <c r="AXL16" s="180"/>
      <c r="AXM16" s="180"/>
      <c r="AXN16" s="180"/>
      <c r="AXO16" s="180"/>
      <c r="AXP16" s="180"/>
      <c r="AXQ16" s="180"/>
      <c r="AXR16" s="180"/>
      <c r="AXS16" s="180"/>
      <c r="AXT16" s="180"/>
      <c r="AXU16" s="180"/>
      <c r="AXV16" s="180"/>
      <c r="AXW16" s="180"/>
      <c r="AXX16" s="180"/>
      <c r="AXY16" s="180"/>
      <c r="AXZ16" s="180"/>
      <c r="AYA16" s="180"/>
      <c r="AYB16" s="180"/>
      <c r="AYC16" s="180"/>
      <c r="AYD16" s="180"/>
      <c r="AYE16" s="180"/>
      <c r="AYF16" s="180"/>
      <c r="AYG16" s="180"/>
      <c r="AYH16" s="180"/>
      <c r="AYI16" s="180"/>
      <c r="AYJ16" s="180"/>
      <c r="AYK16" s="180"/>
      <c r="AYL16" s="180"/>
      <c r="AYM16" s="180"/>
      <c r="AYN16" s="180"/>
      <c r="AYO16" s="180"/>
      <c r="AYP16" s="180"/>
      <c r="AYQ16" s="180"/>
      <c r="AYR16" s="180"/>
      <c r="AYS16" s="180"/>
      <c r="AYT16" s="180"/>
      <c r="AYU16" s="180"/>
      <c r="AYV16" s="180"/>
      <c r="AYW16" s="180"/>
      <c r="AYX16" s="180"/>
      <c r="AYY16" s="180"/>
      <c r="AYZ16" s="180"/>
      <c r="AZA16" s="180"/>
      <c r="AZB16" s="180"/>
      <c r="AZC16" s="180"/>
      <c r="AZD16" s="180"/>
      <c r="AZE16" s="180"/>
      <c r="AZF16" s="180"/>
      <c r="AZG16" s="180"/>
      <c r="AZH16" s="180"/>
      <c r="AZI16" s="180"/>
      <c r="AZJ16" s="180"/>
      <c r="AZK16" s="180"/>
      <c r="AZL16" s="180"/>
      <c r="AZM16" s="180"/>
      <c r="AZN16" s="180"/>
      <c r="AZO16" s="180"/>
      <c r="AZP16" s="180"/>
      <c r="AZQ16" s="180"/>
      <c r="AZR16" s="180"/>
      <c r="AZS16" s="180"/>
      <c r="AZT16" s="180"/>
      <c r="AZU16" s="180"/>
      <c r="AZV16" s="180"/>
      <c r="AZW16" s="180"/>
      <c r="AZX16" s="180"/>
      <c r="AZY16" s="180"/>
      <c r="AZZ16" s="180"/>
      <c r="BAA16" s="180"/>
      <c r="BAB16" s="180"/>
      <c r="BAC16" s="180"/>
      <c r="BAD16" s="180"/>
      <c r="BAE16" s="180"/>
      <c r="BAF16" s="180"/>
      <c r="BAG16" s="180"/>
      <c r="BAH16" s="180"/>
      <c r="BAI16" s="180"/>
      <c r="BAJ16" s="180"/>
      <c r="BAK16" s="180"/>
      <c r="BAL16" s="180"/>
      <c r="BAM16" s="180"/>
      <c r="BAN16" s="180"/>
      <c r="BAO16" s="180"/>
      <c r="BAP16" s="180"/>
      <c r="BAQ16" s="180"/>
      <c r="BAR16" s="180"/>
      <c r="BAS16" s="180"/>
      <c r="BAT16" s="180"/>
      <c r="BAU16" s="180"/>
      <c r="BAV16" s="180"/>
      <c r="BAW16" s="180"/>
      <c r="BAX16" s="180"/>
      <c r="BAY16" s="180"/>
      <c r="BAZ16" s="180"/>
      <c r="BBA16" s="180"/>
      <c r="BBB16" s="180"/>
      <c r="BBC16" s="180"/>
      <c r="BBD16" s="180"/>
      <c r="BBE16" s="180"/>
      <c r="BBF16" s="180"/>
      <c r="BBG16" s="180"/>
      <c r="BBH16" s="180"/>
      <c r="BBI16" s="180"/>
      <c r="BBJ16" s="180"/>
      <c r="BBK16" s="180"/>
      <c r="BBL16" s="180"/>
      <c r="BBM16" s="180"/>
      <c r="BBN16" s="180"/>
      <c r="BBO16" s="180"/>
      <c r="BBP16" s="180"/>
      <c r="BBQ16" s="180"/>
      <c r="BBR16" s="180"/>
      <c r="BBS16" s="180"/>
      <c r="BBT16" s="180"/>
      <c r="BBU16" s="180"/>
      <c r="BBV16" s="180"/>
      <c r="BBW16" s="180"/>
      <c r="BBX16" s="180"/>
      <c r="BBY16" s="180"/>
      <c r="BBZ16" s="180"/>
      <c r="BCA16" s="180"/>
      <c r="BCB16" s="180"/>
      <c r="BCC16" s="180"/>
      <c r="BCD16" s="180"/>
      <c r="BCE16" s="180"/>
      <c r="BCF16" s="180"/>
      <c r="BCG16" s="180"/>
      <c r="BCH16" s="180"/>
      <c r="BCI16" s="180"/>
      <c r="BCJ16" s="180"/>
      <c r="BCK16" s="180"/>
      <c r="BCL16" s="180"/>
      <c r="BCM16" s="180"/>
      <c r="BCN16" s="180"/>
      <c r="BCO16" s="180"/>
      <c r="BCP16" s="180"/>
      <c r="BCQ16" s="180"/>
      <c r="BCR16" s="180"/>
      <c r="BCS16" s="180"/>
      <c r="BCT16" s="180"/>
      <c r="BCU16" s="180"/>
      <c r="BCV16" s="180"/>
      <c r="BCW16" s="180"/>
      <c r="BCX16" s="180"/>
      <c r="BCY16" s="180"/>
      <c r="BCZ16" s="180"/>
      <c r="BDA16" s="180"/>
      <c r="BDB16" s="180"/>
      <c r="BDC16" s="180"/>
      <c r="BDD16" s="180"/>
      <c r="BDE16" s="180"/>
      <c r="BDF16" s="180"/>
      <c r="BDG16" s="180"/>
      <c r="BDH16" s="180"/>
      <c r="BDI16" s="180"/>
      <c r="BDJ16" s="180"/>
      <c r="BDK16" s="180"/>
      <c r="BDL16" s="180"/>
      <c r="BDM16" s="180"/>
      <c r="BDN16" s="180"/>
      <c r="BDO16" s="180"/>
      <c r="BDP16" s="180"/>
      <c r="BDQ16" s="180"/>
      <c r="BDR16" s="180"/>
      <c r="BDS16" s="180"/>
      <c r="BDT16" s="180"/>
      <c r="BDU16" s="180"/>
      <c r="BDV16" s="180"/>
      <c r="BDW16" s="180"/>
      <c r="BDX16" s="180"/>
      <c r="BDY16" s="180"/>
      <c r="BDZ16" s="180"/>
      <c r="BEA16" s="180"/>
      <c r="BEB16" s="180"/>
      <c r="BEC16" s="180"/>
      <c r="BED16" s="180"/>
      <c r="BEE16" s="180"/>
      <c r="BEF16" s="180"/>
      <c r="BEG16" s="180"/>
      <c r="BEH16" s="180"/>
      <c r="BEI16" s="180"/>
      <c r="BEJ16" s="180"/>
      <c r="BEK16" s="180"/>
      <c r="BEL16" s="180"/>
      <c r="BEM16" s="180"/>
      <c r="BEN16" s="180"/>
      <c r="BEO16" s="180"/>
      <c r="BEP16" s="180"/>
      <c r="BEQ16" s="180"/>
      <c r="BER16" s="180"/>
      <c r="BES16" s="180"/>
      <c r="BET16" s="180"/>
      <c r="BEU16" s="180"/>
      <c r="BEV16" s="180"/>
      <c r="BEW16" s="180"/>
      <c r="BEX16" s="180"/>
      <c r="BEY16" s="180"/>
      <c r="BEZ16" s="180"/>
      <c r="BFA16" s="180"/>
      <c r="BFB16" s="180"/>
      <c r="BFC16" s="180"/>
      <c r="BFD16" s="180"/>
      <c r="BFE16" s="180"/>
      <c r="BFF16" s="180"/>
      <c r="BFG16" s="180"/>
      <c r="BFH16" s="180"/>
      <c r="BFI16" s="180"/>
      <c r="BFJ16" s="180"/>
      <c r="BFK16" s="180"/>
      <c r="BFL16" s="180"/>
      <c r="BFM16" s="180"/>
      <c r="BFN16" s="180"/>
      <c r="BFO16" s="180"/>
      <c r="BFP16" s="180"/>
      <c r="BFQ16" s="180"/>
      <c r="BFR16" s="180"/>
      <c r="BFS16" s="180"/>
      <c r="BFT16" s="180"/>
      <c r="BFU16" s="180"/>
      <c r="BFV16" s="180"/>
      <c r="BFW16" s="180"/>
      <c r="BFX16" s="180"/>
      <c r="BFY16" s="180"/>
      <c r="BFZ16" s="180"/>
      <c r="BGA16" s="180"/>
      <c r="BGB16" s="180"/>
      <c r="BGC16" s="180"/>
      <c r="BGD16" s="180"/>
      <c r="BGE16" s="180"/>
      <c r="BGF16" s="180"/>
      <c r="BGG16" s="180"/>
      <c r="BGH16" s="180"/>
      <c r="BGI16" s="180"/>
      <c r="BGJ16" s="180"/>
      <c r="BGK16" s="180"/>
      <c r="BGL16" s="180"/>
      <c r="BGM16" s="180"/>
      <c r="BGN16" s="180"/>
      <c r="BGO16" s="180"/>
      <c r="BGP16" s="180"/>
      <c r="BGQ16" s="180"/>
      <c r="BGR16" s="180"/>
      <c r="BGS16" s="180"/>
      <c r="BGT16" s="180"/>
      <c r="BGU16" s="180"/>
      <c r="BGV16" s="180"/>
      <c r="BGW16" s="180"/>
      <c r="BGX16" s="180"/>
      <c r="BGY16" s="180"/>
      <c r="BGZ16" s="180"/>
      <c r="BHA16" s="180"/>
      <c r="BHB16" s="180"/>
      <c r="BHC16" s="180"/>
      <c r="BHD16" s="180"/>
      <c r="BHE16" s="180"/>
      <c r="BHF16" s="180"/>
      <c r="BHG16" s="180"/>
      <c r="BHH16" s="180"/>
      <c r="BHI16" s="180"/>
      <c r="BHJ16" s="180"/>
      <c r="BHK16" s="180"/>
      <c r="BHL16" s="180"/>
      <c r="BHM16" s="180"/>
      <c r="BHN16" s="180"/>
      <c r="BHO16" s="180"/>
      <c r="BHP16" s="180"/>
      <c r="BHQ16" s="180"/>
      <c r="BHR16" s="180"/>
      <c r="BHS16" s="180"/>
      <c r="BHT16" s="180"/>
      <c r="BHU16" s="180"/>
      <c r="BHV16" s="180"/>
      <c r="BHW16" s="180"/>
      <c r="BHX16" s="180"/>
      <c r="BHY16" s="180"/>
      <c r="BHZ16" s="180"/>
      <c r="BIA16" s="180"/>
      <c r="BIB16" s="180"/>
      <c r="BIC16" s="180"/>
      <c r="BID16" s="180"/>
      <c r="BIE16" s="180"/>
      <c r="BIF16" s="180"/>
      <c r="BIG16" s="180"/>
      <c r="BIH16" s="180"/>
      <c r="BII16" s="180"/>
      <c r="BIJ16" s="180"/>
      <c r="BIK16" s="180"/>
      <c r="BIL16" s="180"/>
      <c r="BIM16" s="180"/>
      <c r="BIN16" s="180"/>
      <c r="BIO16" s="180"/>
      <c r="BIP16" s="180"/>
      <c r="BIQ16" s="180"/>
      <c r="BIR16" s="180"/>
      <c r="BIS16" s="180"/>
      <c r="BIT16" s="180"/>
      <c r="BIU16" s="180"/>
      <c r="BIV16" s="180"/>
      <c r="BIW16" s="180"/>
      <c r="BIX16" s="180"/>
      <c r="BIY16" s="180"/>
      <c r="BIZ16" s="180"/>
      <c r="BJA16" s="180"/>
      <c r="BJB16" s="180"/>
      <c r="BJC16" s="180"/>
      <c r="BJD16" s="180"/>
      <c r="BJE16" s="180"/>
      <c r="BJF16" s="180"/>
      <c r="BJG16" s="180"/>
      <c r="BJH16" s="180"/>
      <c r="BJI16" s="180"/>
      <c r="BJJ16" s="180"/>
      <c r="BJK16" s="180"/>
      <c r="BJL16" s="180"/>
      <c r="BJM16" s="180"/>
      <c r="BJN16" s="180"/>
      <c r="BJO16" s="180"/>
      <c r="BJP16" s="180"/>
      <c r="BJQ16" s="180"/>
      <c r="BJR16" s="180"/>
      <c r="BJS16" s="180"/>
      <c r="BJT16" s="180"/>
      <c r="BJU16" s="180"/>
      <c r="BJV16" s="180"/>
      <c r="BJW16" s="180"/>
      <c r="BJX16" s="180"/>
      <c r="BJY16" s="180"/>
      <c r="BJZ16" s="180"/>
      <c r="BKA16" s="180"/>
      <c r="BKB16" s="180"/>
      <c r="BKC16" s="180"/>
      <c r="BKD16" s="180"/>
      <c r="BKE16" s="180"/>
      <c r="BKF16" s="180"/>
      <c r="BKG16" s="180"/>
      <c r="BKH16" s="180"/>
      <c r="BKI16" s="180"/>
      <c r="BKJ16" s="180"/>
      <c r="BKK16" s="180"/>
      <c r="BKL16" s="180"/>
      <c r="BKM16" s="180"/>
      <c r="BKN16" s="180"/>
      <c r="BKO16" s="180"/>
      <c r="BKP16" s="180"/>
      <c r="BKQ16" s="180"/>
      <c r="BKR16" s="180"/>
      <c r="BKS16" s="180"/>
      <c r="BKT16" s="180"/>
      <c r="BKU16" s="180"/>
      <c r="BKV16" s="180"/>
      <c r="BKW16" s="180"/>
      <c r="BKX16" s="180"/>
      <c r="BKY16" s="180"/>
      <c r="BKZ16" s="180"/>
      <c r="BLA16" s="180"/>
      <c r="BLB16" s="180"/>
      <c r="BLC16" s="180"/>
      <c r="BLD16" s="180"/>
      <c r="BLE16" s="180"/>
      <c r="BLF16" s="180"/>
      <c r="BLG16" s="180"/>
      <c r="BLH16" s="180"/>
      <c r="BLI16" s="180"/>
      <c r="BLJ16" s="180"/>
      <c r="BLK16" s="180"/>
      <c r="BLL16" s="180"/>
      <c r="BLM16" s="180"/>
      <c r="BLN16" s="180"/>
      <c r="BLO16" s="180"/>
      <c r="BLP16" s="180"/>
      <c r="BLQ16" s="180"/>
      <c r="BLR16" s="180"/>
      <c r="BLS16" s="180"/>
      <c r="BLT16" s="180"/>
      <c r="BLU16" s="180"/>
      <c r="BLV16" s="180"/>
      <c r="BLW16" s="180"/>
      <c r="BLX16" s="180"/>
      <c r="BLY16" s="180"/>
      <c r="BLZ16" s="180"/>
      <c r="BMA16" s="180"/>
      <c r="BMB16" s="180"/>
      <c r="BMC16" s="180"/>
      <c r="BMD16" s="180"/>
      <c r="BME16" s="180"/>
      <c r="BMF16" s="180"/>
      <c r="BMG16" s="180"/>
      <c r="BMH16" s="180"/>
      <c r="BMI16" s="180"/>
      <c r="BMJ16" s="180"/>
      <c r="BMK16" s="180"/>
      <c r="BML16" s="180"/>
      <c r="BMM16" s="180"/>
      <c r="BMN16" s="180"/>
      <c r="BMO16" s="180"/>
      <c r="BMP16" s="180"/>
      <c r="BMQ16" s="180"/>
      <c r="BMR16" s="180"/>
      <c r="BMS16" s="180"/>
      <c r="BMT16" s="180"/>
      <c r="BMU16" s="180"/>
      <c r="BMV16" s="180"/>
      <c r="BMW16" s="180"/>
      <c r="BMX16" s="180"/>
      <c r="BMY16" s="180"/>
      <c r="BMZ16" s="180"/>
      <c r="BNA16" s="180"/>
      <c r="BNB16" s="180"/>
      <c r="BNC16" s="180"/>
      <c r="BND16" s="180"/>
      <c r="BNE16" s="180"/>
      <c r="BNF16" s="180"/>
      <c r="BNG16" s="180"/>
      <c r="BNH16" s="180"/>
      <c r="BNI16" s="180"/>
      <c r="BNJ16" s="180"/>
      <c r="BNK16" s="180"/>
      <c r="BNL16" s="180"/>
      <c r="BNM16" s="180"/>
      <c r="BNN16" s="180"/>
      <c r="BNO16" s="180"/>
      <c r="BNP16" s="180"/>
      <c r="BNQ16" s="180"/>
      <c r="BNR16" s="180"/>
      <c r="BNS16" s="180"/>
      <c r="BNT16" s="180"/>
      <c r="BNU16" s="180"/>
      <c r="BNV16" s="180"/>
      <c r="BNW16" s="180"/>
      <c r="BNX16" s="180"/>
      <c r="BNY16" s="180"/>
      <c r="BNZ16" s="180"/>
      <c r="BOA16" s="180"/>
      <c r="BOB16" s="180"/>
      <c r="BOC16" s="180"/>
      <c r="BOD16" s="180"/>
      <c r="BOE16" s="180"/>
      <c r="BOF16" s="180"/>
      <c r="BOG16" s="180"/>
      <c r="BOH16" s="180"/>
      <c r="BOI16" s="180"/>
      <c r="BOJ16" s="180"/>
      <c r="BOK16" s="180"/>
      <c r="BOL16" s="180"/>
      <c r="BOM16" s="180"/>
      <c r="BON16" s="180"/>
      <c r="BOO16" s="180"/>
      <c r="BOP16" s="180"/>
      <c r="BOQ16" s="180"/>
      <c r="BOR16" s="180"/>
      <c r="BOS16" s="180"/>
      <c r="BOT16" s="180"/>
      <c r="BOU16" s="180"/>
      <c r="BOV16" s="180"/>
      <c r="BOW16" s="180"/>
      <c r="BOX16" s="180"/>
      <c r="BOY16" s="180"/>
      <c r="BOZ16" s="180"/>
      <c r="BPA16" s="180"/>
      <c r="BPB16" s="180"/>
      <c r="BPC16" s="180"/>
      <c r="BPD16" s="180"/>
      <c r="BPE16" s="180"/>
      <c r="BPF16" s="180"/>
      <c r="BPG16" s="180"/>
      <c r="BPH16" s="180"/>
      <c r="BPI16" s="180"/>
      <c r="BPJ16" s="180"/>
      <c r="BPK16" s="180"/>
      <c r="BPL16" s="180"/>
      <c r="BPM16" s="180"/>
      <c r="BPN16" s="180"/>
      <c r="BPO16" s="180"/>
      <c r="BPP16" s="180"/>
      <c r="BPQ16" s="180"/>
      <c r="BPR16" s="180"/>
      <c r="BPS16" s="180"/>
      <c r="BPT16" s="180"/>
      <c r="BPU16" s="180"/>
      <c r="BPV16" s="180"/>
      <c r="BPW16" s="180"/>
      <c r="BPX16" s="180"/>
      <c r="BPY16" s="180"/>
      <c r="BPZ16" s="180"/>
      <c r="BQA16" s="180"/>
      <c r="BQB16" s="180"/>
      <c r="BQC16" s="180"/>
      <c r="BQD16" s="180"/>
      <c r="BQE16" s="180"/>
      <c r="BQF16" s="180"/>
      <c r="BQG16" s="180"/>
      <c r="BQH16" s="180"/>
      <c r="BQI16" s="180"/>
      <c r="BQJ16" s="180"/>
      <c r="BQK16" s="180"/>
      <c r="BQL16" s="180"/>
      <c r="BQM16" s="180"/>
      <c r="BQN16" s="180"/>
      <c r="BQO16" s="180"/>
      <c r="BQP16" s="180"/>
      <c r="BQQ16" s="180"/>
      <c r="BQR16" s="180"/>
      <c r="BQS16" s="180"/>
      <c r="BQT16" s="180"/>
      <c r="BQU16" s="180"/>
      <c r="BQV16" s="180"/>
      <c r="BQW16" s="180"/>
      <c r="BQX16" s="180"/>
      <c r="BQY16" s="180"/>
      <c r="BQZ16" s="180"/>
      <c r="BRA16" s="180"/>
      <c r="BRB16" s="180"/>
      <c r="BRC16" s="180"/>
      <c r="BRD16" s="180"/>
      <c r="BRE16" s="180"/>
      <c r="BRF16" s="180"/>
      <c r="BRG16" s="180"/>
      <c r="BRH16" s="180"/>
      <c r="BRI16" s="180"/>
      <c r="BRJ16" s="180"/>
      <c r="BRK16" s="180"/>
      <c r="BRL16" s="180"/>
      <c r="BRM16" s="180"/>
      <c r="BRN16" s="180"/>
      <c r="BRO16" s="180"/>
      <c r="BRP16" s="180"/>
      <c r="BRQ16" s="180"/>
      <c r="BRR16" s="180"/>
      <c r="BRS16" s="180"/>
      <c r="BRT16" s="180"/>
      <c r="BRU16" s="180"/>
      <c r="BRV16" s="180"/>
      <c r="BRW16" s="180"/>
      <c r="BRX16" s="180"/>
      <c r="BRY16" s="180"/>
      <c r="BRZ16" s="180"/>
      <c r="BSA16" s="180"/>
      <c r="BSB16" s="180"/>
      <c r="BSC16" s="180"/>
      <c r="BSD16" s="180"/>
      <c r="BSE16" s="180"/>
      <c r="BSF16" s="180"/>
      <c r="BSG16" s="180"/>
      <c r="BSH16" s="180"/>
      <c r="BSI16" s="180"/>
      <c r="BSJ16" s="180"/>
      <c r="BSK16" s="180"/>
      <c r="BSL16" s="180"/>
      <c r="BSM16" s="180"/>
      <c r="BSN16" s="180"/>
      <c r="BSO16" s="180"/>
      <c r="BSP16" s="180"/>
      <c r="BSQ16" s="180"/>
      <c r="BSR16" s="180"/>
      <c r="BSS16" s="180"/>
      <c r="BST16" s="180"/>
      <c r="BSU16" s="180"/>
      <c r="BSV16" s="180"/>
      <c r="BSW16" s="180"/>
      <c r="BSX16" s="180"/>
      <c r="BSY16" s="180"/>
      <c r="BSZ16" s="180"/>
      <c r="BTA16" s="180"/>
      <c r="BTB16" s="180"/>
      <c r="BTC16" s="180"/>
      <c r="BTD16" s="180"/>
      <c r="BTE16" s="180"/>
      <c r="BTF16" s="180"/>
      <c r="BTG16" s="180"/>
      <c r="BTH16" s="180"/>
      <c r="BTI16" s="180"/>
      <c r="BTJ16" s="180"/>
      <c r="BTK16" s="180"/>
      <c r="BTL16" s="180"/>
      <c r="BTM16" s="180"/>
      <c r="BTN16" s="180"/>
      <c r="BTO16" s="180"/>
      <c r="BTP16" s="180"/>
      <c r="BTQ16" s="180"/>
      <c r="BTR16" s="180"/>
      <c r="BTS16" s="180"/>
      <c r="BTT16" s="180"/>
      <c r="BTU16" s="180"/>
      <c r="BTV16" s="180"/>
      <c r="BTW16" s="180"/>
      <c r="BTX16" s="180"/>
      <c r="BTY16" s="180"/>
      <c r="BTZ16" s="180"/>
      <c r="BUA16" s="180"/>
      <c r="BUB16" s="180"/>
      <c r="BUC16" s="180"/>
      <c r="BUD16" s="180"/>
      <c r="BUE16" s="180"/>
      <c r="BUF16" s="180"/>
      <c r="BUG16" s="180"/>
      <c r="BUH16" s="180"/>
      <c r="BUI16" s="180"/>
      <c r="BUJ16" s="180"/>
      <c r="BUK16" s="180"/>
      <c r="BUL16" s="180"/>
      <c r="BUM16" s="180"/>
      <c r="BUN16" s="180"/>
      <c r="BUO16" s="180"/>
      <c r="BUP16" s="180"/>
      <c r="BUQ16" s="180"/>
      <c r="BUR16" s="180"/>
      <c r="BUS16" s="180"/>
      <c r="BUT16" s="180"/>
      <c r="BUU16" s="180"/>
      <c r="BUV16" s="180"/>
      <c r="BUW16" s="180"/>
      <c r="BUX16" s="180"/>
      <c r="BUY16" s="180"/>
      <c r="BUZ16" s="180"/>
      <c r="BVA16" s="180"/>
      <c r="BVB16" s="180"/>
      <c r="BVC16" s="180"/>
      <c r="BVD16" s="180"/>
      <c r="BVE16" s="180"/>
      <c r="BVF16" s="180"/>
      <c r="BVG16" s="180"/>
      <c r="BVH16" s="180"/>
      <c r="BVI16" s="180"/>
      <c r="BVJ16" s="180"/>
      <c r="BVK16" s="180"/>
      <c r="BVL16" s="180"/>
      <c r="BVM16" s="180"/>
      <c r="BVN16" s="180"/>
      <c r="BVO16" s="180"/>
      <c r="BVP16" s="180"/>
      <c r="BVQ16" s="180"/>
      <c r="BVR16" s="180"/>
      <c r="BVS16" s="180"/>
      <c r="BVT16" s="180"/>
      <c r="BVU16" s="180"/>
      <c r="BVV16" s="180"/>
      <c r="BVW16" s="180"/>
      <c r="BVX16" s="180"/>
      <c r="BVY16" s="180"/>
      <c r="BVZ16" s="180"/>
      <c r="BWA16" s="180"/>
      <c r="BWB16" s="180"/>
      <c r="BWC16" s="180"/>
      <c r="BWD16" s="180"/>
      <c r="BWE16" s="180"/>
      <c r="BWF16" s="180"/>
      <c r="BWG16" s="180"/>
      <c r="BWH16" s="180"/>
      <c r="BWI16" s="180"/>
      <c r="BWJ16" s="180"/>
      <c r="BWK16" s="180"/>
      <c r="BWL16" s="180"/>
      <c r="BWM16" s="180"/>
      <c r="BWN16" s="180"/>
      <c r="BWO16" s="180"/>
      <c r="BWP16" s="180"/>
      <c r="BWQ16" s="180"/>
      <c r="BWR16" s="180"/>
      <c r="BWS16" s="180"/>
      <c r="BWT16" s="180"/>
      <c r="BWU16" s="180"/>
      <c r="BWV16" s="180"/>
      <c r="BWW16" s="180"/>
      <c r="BWX16" s="180"/>
      <c r="BWY16" s="180"/>
      <c r="BWZ16" s="180"/>
      <c r="BXA16" s="180"/>
      <c r="BXB16" s="180"/>
      <c r="BXC16" s="180"/>
      <c r="BXD16" s="180"/>
      <c r="BXE16" s="180"/>
      <c r="BXF16" s="180"/>
      <c r="BXG16" s="180"/>
      <c r="BXH16" s="180"/>
      <c r="BXI16" s="180"/>
      <c r="BXJ16" s="180"/>
      <c r="BXK16" s="180"/>
      <c r="BXL16" s="180"/>
      <c r="BXM16" s="180"/>
      <c r="BXN16" s="180"/>
      <c r="BXO16" s="180"/>
      <c r="BXP16" s="180"/>
      <c r="BXQ16" s="180"/>
      <c r="BXR16" s="180"/>
      <c r="BXS16" s="180"/>
      <c r="BXT16" s="180"/>
      <c r="BXU16" s="180"/>
      <c r="BXV16" s="180"/>
      <c r="BXW16" s="180"/>
      <c r="BXX16" s="180"/>
      <c r="BXY16" s="180"/>
      <c r="BXZ16" s="180"/>
      <c r="BYA16" s="180"/>
      <c r="BYB16" s="180"/>
      <c r="BYC16" s="180"/>
    </row>
    <row r="17" spans="1:2005" s="182" customFormat="1" ht="32">
      <c r="A17" s="1886"/>
      <c r="B17" s="659" t="s">
        <v>161</v>
      </c>
      <c r="C17" s="343">
        <f>C16*C12</f>
        <v>7021.8760816152662</v>
      </c>
      <c r="D17" s="687">
        <f>C17*SQRT(D4^2/C4^2+'crop yields'!J21^2/'crop yields'!J20^2+water!F25^2/water!F24^2+water!D25^2/water!D24^2)</f>
        <v>1769.3367899187649</v>
      </c>
      <c r="E17" s="344">
        <f>E16*E12</f>
        <v>460.25378488671043</v>
      </c>
      <c r="F17" s="661">
        <f>E17*SQRT(F4^2/E4^2+'crop yields'!J36^2/'crop yields'!J35^2+water!F39^2/water!F38^2+water!D39^2/water!D38^2)</f>
        <v>166.17040705273132</v>
      </c>
      <c r="G17" s="343">
        <f>G16*G12</f>
        <v>446.89571971038185</v>
      </c>
      <c r="H17" s="343">
        <f>G17*SQRT(H4^2/G4^2+'crop yields'!D51^2/'crop yields'!D50^2+water!D54^2/water!D53^2+water!F54^2/water!F53^2)</f>
        <v>248.20148472903844</v>
      </c>
      <c r="I17" s="344">
        <f>I16*I12</f>
        <v>448.04300023176552</v>
      </c>
      <c r="J17" s="661">
        <f>I17*SQRT(J4^2/I4^2+'crop yields'!D66^2/'crop yields'!D65^2+water!D69^2/water!D68^2+water!F69^2/water!F68^2)</f>
        <v>162.0949077692851</v>
      </c>
      <c r="K17" s="413">
        <f>C17+E17+G17+I17</f>
        <v>8377.0685864441239</v>
      </c>
      <c r="L17" s="752">
        <f>SQRT(J17^2+H17^2+F17^2+D17^2)</f>
        <v>1801.6781112303447</v>
      </c>
      <c r="M17" s="687">
        <f>M16*M12</f>
        <v>2196.1684656842231</v>
      </c>
      <c r="N17" s="747">
        <f>M17*SQRT(N4^2/M4^2+'soy table2'!F20^2/'soy table2'!F19^2+water!F104^2/water!F103^2+water!D104^2/water!D103^2)</f>
        <v>394.22709061860132</v>
      </c>
      <c r="O17" s="344">
        <f>O16*O12</f>
        <v>549.27977990064062</v>
      </c>
      <c r="P17" s="756">
        <f>O17*SQRT(P4^2/O4^2+wheat!E20^2/wheat!E19^2+water!F88^2/water!F87^2+water!D88^2/water!D87^2)</f>
        <v>209.02453567181954</v>
      </c>
      <c r="Q17" s="637">
        <f>O17+M17+K17</f>
        <v>11122.516832028989</v>
      </c>
      <c r="R17" s="638">
        <f>SQRT(P17^2+N17^2+L17^2)</f>
        <v>1856.1116000868508</v>
      </c>
      <c r="S17" s="343">
        <f>S16*S12</f>
        <v>3650.2871367848306</v>
      </c>
      <c r="T17" s="662">
        <f>S17*SQRT(water!F119^2/water!F118^2+water!D119^2/water!D118^2)</f>
        <v>516.22855753971612</v>
      </c>
      <c r="U17" s="663">
        <f>U16*U12</f>
        <v>216.8109536065565</v>
      </c>
      <c r="V17" s="761">
        <f>U17*SQRT('crop yields'!C36^2/'crop yields'!C35^2+'crop yields'!M36^2/'crop yields'!M35^2+'crop yields'!G36^2/'crop yields'!G35^2+water!D119^2/water!D118^2+water!F119^2/water!F118^2+'crop yields'!G21^2/'crop yields'!G20^2+'crop yields'!C21^2/'crop yields'!C20^2+'crop yields'!M21^2/'crop yields'!M20^2)</f>
        <v>83.954492812530688</v>
      </c>
      <c r="W17" s="518">
        <f>W16*W12</f>
        <v>25074.080438343615</v>
      </c>
      <c r="X17" s="772">
        <f>W17*SQRT(X16^2/W16^2+X12^2/W12^2)</f>
        <v>5130.45938624481</v>
      </c>
      <c r="Y17" s="648">
        <f>W17+U17+S17</f>
        <v>28941.178528735003</v>
      </c>
      <c r="Z17" s="760">
        <f>X17</f>
        <v>5130.45938624481</v>
      </c>
      <c r="AA17" s="542">
        <f>AA16*AA12</f>
        <v>7368.1420971479993</v>
      </c>
      <c r="AB17" s="772">
        <f>AA17*SQRT(AB16^2/AA16^2+AB12^2/AA12^2)</f>
        <v>1406.5465303084077</v>
      </c>
      <c r="AC17" s="648">
        <f>AA17+Y17</f>
        <v>36309.320625883003</v>
      </c>
      <c r="AD17" s="772">
        <f>SQRT(AB17^2+Z17^2)</f>
        <v>5319.7731771035214</v>
      </c>
      <c r="AE17" s="1329">
        <f>AA17+Y17+Q17</f>
        <v>47431.837457911992</v>
      </c>
      <c r="AF17" s="1203"/>
      <c r="AG17" s="180"/>
      <c r="AH17" s="180"/>
      <c r="AI17" s="180"/>
      <c r="AJ17" s="180"/>
      <c r="AK17" s="1371"/>
      <c r="AL17" s="1371"/>
      <c r="AM17" s="180"/>
      <c r="AN17" s="180"/>
      <c r="AO17" s="180"/>
      <c r="AP17" s="180"/>
      <c r="AQ17" s="180"/>
      <c r="AR17" s="180"/>
      <c r="AS17" s="180"/>
      <c r="AT17" s="180"/>
      <c r="AU17" s="180"/>
      <c r="AV17" s="180"/>
      <c r="AW17" s="180"/>
      <c r="AX17" s="180"/>
      <c r="AY17" s="180"/>
      <c r="AZ17" s="180"/>
      <c r="BA17" s="180"/>
      <c r="BB17" s="180"/>
      <c r="BC17" s="180"/>
      <c r="BD17" s="180"/>
      <c r="BE17" s="180"/>
      <c r="BF17" s="180"/>
      <c r="BG17" s="180"/>
      <c r="BH17" s="180"/>
      <c r="BI17" s="180"/>
      <c r="BJ17" s="180"/>
      <c r="BK17" s="180"/>
      <c r="BL17" s="180"/>
      <c r="BM17" s="180"/>
      <c r="BN17" s="180"/>
      <c r="BO17" s="180"/>
      <c r="BP17" s="180"/>
      <c r="BQ17" s="180"/>
      <c r="BR17" s="180"/>
      <c r="BS17" s="180"/>
      <c r="BT17" s="180"/>
      <c r="BU17" s="180"/>
      <c r="BV17" s="180"/>
      <c r="BW17" s="180"/>
      <c r="BX17" s="180"/>
      <c r="BY17" s="180"/>
      <c r="BZ17" s="180"/>
      <c r="CA17" s="180"/>
      <c r="CB17" s="180"/>
      <c r="CC17" s="180"/>
      <c r="CD17" s="180"/>
      <c r="CE17" s="180"/>
      <c r="CF17" s="180"/>
      <c r="CG17" s="180"/>
      <c r="CH17" s="180"/>
      <c r="CI17" s="180"/>
      <c r="CJ17" s="180"/>
      <c r="CK17" s="180"/>
      <c r="CL17" s="180"/>
      <c r="CM17" s="180"/>
      <c r="CN17" s="180"/>
      <c r="CO17" s="180"/>
      <c r="CP17" s="180"/>
      <c r="CQ17" s="180"/>
      <c r="CR17" s="180"/>
      <c r="CS17" s="180"/>
      <c r="CT17" s="180"/>
      <c r="CU17" s="180"/>
      <c r="CV17" s="180"/>
      <c r="CW17" s="180"/>
      <c r="CX17" s="180"/>
      <c r="CY17" s="180"/>
      <c r="CZ17" s="180"/>
      <c r="DA17" s="180"/>
      <c r="DB17" s="180"/>
      <c r="DC17" s="180"/>
      <c r="DD17" s="180"/>
      <c r="DE17" s="180"/>
      <c r="DF17" s="180"/>
      <c r="DG17" s="180"/>
      <c r="DH17" s="180"/>
      <c r="DI17" s="180"/>
      <c r="DJ17" s="180"/>
      <c r="DK17" s="180"/>
      <c r="DL17" s="180"/>
      <c r="DM17" s="180"/>
      <c r="DN17" s="180"/>
      <c r="DO17" s="180"/>
      <c r="DP17" s="180"/>
      <c r="DQ17" s="180"/>
      <c r="DR17" s="180"/>
      <c r="DS17" s="180"/>
      <c r="DT17" s="180"/>
      <c r="DU17" s="180"/>
      <c r="DV17" s="180"/>
      <c r="DW17" s="180"/>
      <c r="DX17" s="180"/>
      <c r="DY17" s="180"/>
      <c r="DZ17" s="180"/>
      <c r="EA17" s="180"/>
      <c r="EB17" s="180"/>
      <c r="EC17" s="180"/>
      <c r="ED17" s="180"/>
      <c r="EE17" s="180"/>
      <c r="EF17" s="180"/>
      <c r="EG17" s="180"/>
      <c r="EH17" s="180"/>
      <c r="EI17" s="180"/>
      <c r="EJ17" s="180"/>
      <c r="EK17" s="180"/>
      <c r="EL17" s="180"/>
      <c r="EM17" s="180"/>
      <c r="EN17" s="180"/>
      <c r="EO17" s="180"/>
      <c r="EP17" s="180"/>
      <c r="EQ17" s="180"/>
      <c r="ER17" s="180"/>
      <c r="ES17" s="180"/>
      <c r="ET17" s="180"/>
      <c r="EU17" s="180"/>
      <c r="EV17" s="180"/>
      <c r="EW17" s="180"/>
      <c r="EX17" s="180"/>
      <c r="EY17" s="180"/>
      <c r="EZ17" s="180"/>
      <c r="FA17" s="180"/>
      <c r="FB17" s="180"/>
      <c r="FC17" s="180"/>
      <c r="FD17" s="180"/>
      <c r="FE17" s="180"/>
      <c r="FF17" s="180"/>
      <c r="FG17" s="180"/>
      <c r="FH17" s="180"/>
      <c r="FI17" s="180"/>
      <c r="FJ17" s="180"/>
      <c r="FK17" s="180"/>
      <c r="FL17" s="180"/>
      <c r="FM17" s="180"/>
      <c r="FN17" s="180"/>
      <c r="FO17" s="180"/>
      <c r="FP17" s="180"/>
      <c r="FQ17" s="180"/>
      <c r="FR17" s="180"/>
      <c r="FS17" s="180"/>
      <c r="FT17" s="180"/>
      <c r="FU17" s="180"/>
      <c r="FV17" s="180"/>
      <c r="FW17" s="180"/>
      <c r="FX17" s="180"/>
      <c r="FY17" s="180"/>
      <c r="FZ17" s="180"/>
      <c r="GA17" s="180"/>
      <c r="GB17" s="180"/>
      <c r="GC17" s="180"/>
      <c r="GD17" s="180"/>
      <c r="GE17" s="180"/>
      <c r="GF17" s="180"/>
      <c r="GG17" s="180"/>
      <c r="GH17" s="180"/>
      <c r="GI17" s="180"/>
      <c r="GJ17" s="180"/>
      <c r="GK17" s="180"/>
      <c r="GL17" s="180"/>
      <c r="GM17" s="180"/>
      <c r="GN17" s="180"/>
      <c r="GO17" s="180"/>
      <c r="GP17" s="180"/>
      <c r="GQ17" s="180"/>
      <c r="GR17" s="180"/>
      <c r="GS17" s="180"/>
      <c r="GT17" s="180"/>
      <c r="GU17" s="180"/>
      <c r="GV17" s="180"/>
      <c r="GW17" s="180"/>
      <c r="GX17" s="180"/>
      <c r="GY17" s="180"/>
      <c r="GZ17" s="180"/>
      <c r="HA17" s="180"/>
      <c r="HB17" s="180"/>
      <c r="HC17" s="180"/>
      <c r="HD17" s="180"/>
      <c r="HE17" s="180"/>
      <c r="HF17" s="180"/>
      <c r="HG17" s="180"/>
      <c r="HH17" s="180"/>
      <c r="HI17" s="180"/>
      <c r="HJ17" s="180"/>
      <c r="HK17" s="180"/>
      <c r="HL17" s="180"/>
      <c r="HM17" s="180"/>
      <c r="HN17" s="180"/>
      <c r="HO17" s="180"/>
      <c r="HP17" s="180"/>
      <c r="HQ17" s="180"/>
      <c r="HR17" s="180"/>
      <c r="HS17" s="180"/>
      <c r="HT17" s="180"/>
      <c r="HU17" s="180"/>
      <c r="HV17" s="180"/>
      <c r="HW17" s="180"/>
      <c r="HX17" s="180"/>
      <c r="HY17" s="180"/>
      <c r="HZ17" s="180"/>
      <c r="IA17" s="180"/>
      <c r="IB17" s="180"/>
      <c r="IC17" s="180"/>
      <c r="ID17" s="180"/>
      <c r="IE17" s="180"/>
      <c r="IF17" s="180"/>
      <c r="IG17" s="180"/>
      <c r="IH17" s="180"/>
      <c r="II17" s="180"/>
      <c r="IJ17" s="180"/>
      <c r="IK17" s="180"/>
      <c r="IL17" s="180"/>
      <c r="IM17" s="180"/>
      <c r="IN17" s="180"/>
      <c r="IO17" s="180"/>
      <c r="IP17" s="180"/>
      <c r="IQ17" s="180"/>
      <c r="IR17" s="180"/>
      <c r="IS17" s="180"/>
      <c r="IT17" s="180"/>
      <c r="IU17" s="180"/>
      <c r="IV17" s="180"/>
      <c r="IW17" s="180"/>
      <c r="IX17" s="180"/>
      <c r="IY17" s="180"/>
      <c r="IZ17" s="180"/>
      <c r="JA17" s="180"/>
      <c r="JB17" s="180"/>
      <c r="JC17" s="180"/>
      <c r="JD17" s="180"/>
      <c r="JE17" s="180"/>
      <c r="JF17" s="180"/>
      <c r="JG17" s="180"/>
      <c r="JH17" s="180"/>
      <c r="JI17" s="180"/>
      <c r="JJ17" s="180"/>
      <c r="JK17" s="180"/>
      <c r="JL17" s="180"/>
      <c r="JM17" s="180"/>
      <c r="JN17" s="180"/>
      <c r="JO17" s="180"/>
      <c r="JP17" s="180"/>
      <c r="JQ17" s="180"/>
      <c r="JR17" s="180"/>
      <c r="JS17" s="180"/>
      <c r="JT17" s="180"/>
      <c r="JU17" s="180"/>
      <c r="JV17" s="180"/>
      <c r="JW17" s="180"/>
      <c r="JX17" s="180"/>
      <c r="JY17" s="180"/>
      <c r="JZ17" s="180"/>
      <c r="KA17" s="180"/>
      <c r="KB17" s="180"/>
      <c r="KC17" s="180"/>
      <c r="KD17" s="180"/>
      <c r="KE17" s="180"/>
      <c r="KF17" s="180"/>
      <c r="KG17" s="180"/>
      <c r="KH17" s="180"/>
      <c r="KI17" s="180"/>
      <c r="KJ17" s="180"/>
      <c r="KK17" s="180"/>
      <c r="KL17" s="180"/>
      <c r="KM17" s="180"/>
      <c r="KN17" s="180"/>
      <c r="KO17" s="180"/>
      <c r="KP17" s="180"/>
      <c r="KQ17" s="180"/>
      <c r="KR17" s="180"/>
      <c r="KS17" s="180"/>
      <c r="KT17" s="180"/>
      <c r="KU17" s="180"/>
      <c r="KV17" s="180"/>
      <c r="KW17" s="180"/>
      <c r="KX17" s="180"/>
      <c r="KY17" s="180"/>
      <c r="KZ17" s="180"/>
      <c r="LA17" s="180"/>
      <c r="LB17" s="180"/>
      <c r="LC17" s="180"/>
      <c r="LD17" s="180"/>
      <c r="LE17" s="180"/>
      <c r="LF17" s="180"/>
      <c r="LG17" s="180"/>
      <c r="LH17" s="180"/>
      <c r="LI17" s="180"/>
      <c r="LJ17" s="180"/>
      <c r="LK17" s="180"/>
      <c r="LL17" s="180"/>
      <c r="LM17" s="180"/>
      <c r="LN17" s="180"/>
      <c r="LO17" s="180"/>
      <c r="LP17" s="180"/>
      <c r="LQ17" s="180"/>
      <c r="LR17" s="180"/>
      <c r="LS17" s="180"/>
      <c r="LT17" s="180"/>
      <c r="LU17" s="180"/>
      <c r="LV17" s="180"/>
      <c r="LW17" s="180"/>
      <c r="LX17" s="180"/>
      <c r="LY17" s="180"/>
      <c r="LZ17" s="180"/>
      <c r="MA17" s="180"/>
      <c r="MB17" s="180"/>
      <c r="MC17" s="180"/>
      <c r="MD17" s="180"/>
      <c r="ME17" s="180"/>
      <c r="MF17" s="180"/>
      <c r="MG17" s="180"/>
      <c r="MH17" s="180"/>
      <c r="MI17" s="180"/>
      <c r="MJ17" s="180"/>
      <c r="MK17" s="180"/>
      <c r="ML17" s="180"/>
      <c r="MM17" s="180"/>
      <c r="MN17" s="180"/>
      <c r="MO17" s="180"/>
      <c r="MP17" s="180"/>
      <c r="MQ17" s="180"/>
      <c r="MR17" s="180"/>
      <c r="MS17" s="180"/>
      <c r="MT17" s="180"/>
      <c r="MU17" s="180"/>
      <c r="MV17" s="180"/>
      <c r="MW17" s="180"/>
      <c r="MX17" s="180"/>
      <c r="MY17" s="180"/>
      <c r="MZ17" s="180"/>
      <c r="NA17" s="180"/>
      <c r="NB17" s="180"/>
      <c r="NC17" s="180"/>
      <c r="ND17" s="180"/>
      <c r="NE17" s="180"/>
      <c r="NF17" s="180"/>
      <c r="NG17" s="180"/>
      <c r="NH17" s="180"/>
      <c r="NI17" s="180"/>
      <c r="NJ17" s="180"/>
      <c r="NK17" s="180"/>
      <c r="NL17" s="180"/>
      <c r="NM17" s="180"/>
      <c r="NN17" s="180"/>
      <c r="NO17" s="180"/>
      <c r="NP17" s="180"/>
      <c r="NQ17" s="180"/>
      <c r="NR17" s="180"/>
      <c r="NS17" s="180"/>
      <c r="NT17" s="180"/>
      <c r="NU17" s="180"/>
      <c r="NV17" s="180"/>
      <c r="NW17" s="180"/>
      <c r="NX17" s="180"/>
      <c r="NY17" s="180"/>
      <c r="NZ17" s="180"/>
      <c r="OA17" s="180"/>
      <c r="OB17" s="180"/>
      <c r="OC17" s="180"/>
      <c r="OD17" s="180"/>
      <c r="OE17" s="180"/>
      <c r="OF17" s="180"/>
      <c r="OG17" s="180"/>
      <c r="OH17" s="180"/>
      <c r="OI17" s="180"/>
      <c r="OJ17" s="180"/>
      <c r="OK17" s="180"/>
      <c r="OL17" s="180"/>
      <c r="OM17" s="180"/>
      <c r="ON17" s="180"/>
      <c r="OO17" s="180"/>
      <c r="OP17" s="180"/>
      <c r="OQ17" s="180"/>
      <c r="OR17" s="180"/>
      <c r="OS17" s="180"/>
      <c r="OT17" s="180"/>
      <c r="OU17" s="180"/>
      <c r="OV17" s="180"/>
      <c r="OW17" s="180"/>
      <c r="OX17" s="180"/>
      <c r="OY17" s="180"/>
      <c r="OZ17" s="180"/>
      <c r="PA17" s="180"/>
      <c r="PB17" s="180"/>
      <c r="PC17" s="180"/>
      <c r="PD17" s="180"/>
      <c r="PE17" s="180"/>
      <c r="PF17" s="180"/>
      <c r="PG17" s="180"/>
      <c r="PH17" s="180"/>
      <c r="PI17" s="180"/>
      <c r="PJ17" s="180"/>
      <c r="PK17" s="180"/>
      <c r="PL17" s="180"/>
      <c r="PM17" s="180"/>
      <c r="PN17" s="180"/>
      <c r="PO17" s="180"/>
      <c r="PP17" s="180"/>
      <c r="PQ17" s="180"/>
      <c r="PR17" s="180"/>
      <c r="PS17" s="180"/>
      <c r="PT17" s="180"/>
      <c r="PU17" s="180"/>
      <c r="PV17" s="180"/>
      <c r="PW17" s="180"/>
      <c r="PX17" s="180"/>
      <c r="PY17" s="180"/>
      <c r="PZ17" s="180"/>
      <c r="QA17" s="180"/>
      <c r="QB17" s="180"/>
      <c r="QC17" s="180"/>
      <c r="QD17" s="180"/>
      <c r="QE17" s="180"/>
      <c r="QF17" s="180"/>
      <c r="QG17" s="180"/>
      <c r="QH17" s="180"/>
      <c r="QI17" s="180"/>
      <c r="QJ17" s="180"/>
      <c r="QK17" s="180"/>
      <c r="QL17" s="180"/>
      <c r="QM17" s="180"/>
      <c r="QN17" s="180"/>
      <c r="QO17" s="180"/>
      <c r="QP17" s="180"/>
      <c r="QQ17" s="180"/>
      <c r="QR17" s="180"/>
      <c r="QS17" s="180"/>
      <c r="QT17" s="180"/>
      <c r="QU17" s="180"/>
      <c r="QV17" s="180"/>
      <c r="QW17" s="180"/>
      <c r="QX17" s="180"/>
      <c r="QY17" s="180"/>
      <c r="QZ17" s="180"/>
      <c r="RA17" s="180"/>
      <c r="RB17" s="180"/>
      <c r="RC17" s="180"/>
      <c r="RD17" s="180"/>
      <c r="RE17" s="180"/>
      <c r="RF17" s="180"/>
      <c r="RG17" s="180"/>
      <c r="RH17" s="180"/>
      <c r="RI17" s="180"/>
      <c r="RJ17" s="180"/>
      <c r="RK17" s="180"/>
      <c r="RL17" s="180"/>
      <c r="RM17" s="180"/>
      <c r="RN17" s="180"/>
      <c r="RO17" s="180"/>
      <c r="RP17" s="180"/>
      <c r="RQ17" s="180"/>
      <c r="RR17" s="180"/>
      <c r="RS17" s="180"/>
      <c r="RT17" s="180"/>
      <c r="RU17" s="180"/>
      <c r="RV17" s="180"/>
      <c r="RW17" s="180"/>
      <c r="RX17" s="180"/>
      <c r="RY17" s="180"/>
      <c r="RZ17" s="180"/>
      <c r="SA17" s="180"/>
      <c r="SB17" s="180"/>
      <c r="SC17" s="180"/>
      <c r="SD17" s="180"/>
      <c r="SE17" s="180"/>
      <c r="SF17" s="180"/>
      <c r="SG17" s="180"/>
      <c r="SH17" s="180"/>
      <c r="SI17" s="180"/>
      <c r="SJ17" s="180"/>
      <c r="SK17" s="180"/>
      <c r="SL17" s="180"/>
      <c r="SM17" s="180"/>
      <c r="SN17" s="180"/>
      <c r="SO17" s="180"/>
      <c r="SP17" s="180"/>
      <c r="SQ17" s="180"/>
      <c r="SR17" s="180"/>
      <c r="SS17" s="180"/>
      <c r="ST17" s="180"/>
      <c r="SU17" s="180"/>
      <c r="SV17" s="180"/>
      <c r="SW17" s="180"/>
      <c r="SX17" s="180"/>
      <c r="SY17" s="180"/>
      <c r="SZ17" s="180"/>
      <c r="TA17" s="180"/>
      <c r="TB17" s="180"/>
      <c r="TC17" s="180"/>
      <c r="TD17" s="180"/>
      <c r="TE17" s="180"/>
      <c r="TF17" s="180"/>
      <c r="TG17" s="180"/>
      <c r="TH17" s="180"/>
      <c r="TI17" s="180"/>
      <c r="TJ17" s="180"/>
      <c r="TK17" s="180"/>
      <c r="TL17" s="180"/>
      <c r="TM17" s="180"/>
      <c r="TN17" s="180"/>
      <c r="TO17" s="180"/>
      <c r="TP17" s="180"/>
      <c r="TQ17" s="180"/>
      <c r="TR17" s="180"/>
      <c r="TS17" s="180"/>
      <c r="TT17" s="180"/>
      <c r="TU17" s="180"/>
      <c r="TV17" s="180"/>
      <c r="TW17" s="180"/>
      <c r="TX17" s="180"/>
      <c r="TY17" s="180"/>
      <c r="TZ17" s="180"/>
      <c r="UA17" s="180"/>
      <c r="UB17" s="180"/>
      <c r="UC17" s="180"/>
      <c r="UD17" s="180"/>
      <c r="UE17" s="180"/>
      <c r="UF17" s="180"/>
      <c r="UG17" s="180"/>
      <c r="UH17" s="180"/>
      <c r="UI17" s="180"/>
      <c r="UJ17" s="180"/>
      <c r="UK17" s="180"/>
      <c r="UL17" s="180"/>
      <c r="UM17" s="180"/>
      <c r="UN17" s="180"/>
      <c r="UO17" s="180"/>
      <c r="UP17" s="180"/>
      <c r="UQ17" s="180"/>
      <c r="UR17" s="180"/>
      <c r="US17" s="180"/>
      <c r="UT17" s="180"/>
      <c r="UU17" s="180"/>
      <c r="UV17" s="180"/>
      <c r="UW17" s="180"/>
      <c r="UX17" s="180"/>
      <c r="UY17" s="180"/>
      <c r="UZ17" s="180"/>
      <c r="VA17" s="180"/>
      <c r="VB17" s="180"/>
      <c r="VC17" s="180"/>
      <c r="VD17" s="180"/>
      <c r="VE17" s="180"/>
      <c r="VF17" s="180"/>
      <c r="VG17" s="180"/>
      <c r="VH17" s="180"/>
      <c r="VI17" s="180"/>
      <c r="VJ17" s="180"/>
      <c r="VK17" s="180"/>
      <c r="VL17" s="180"/>
      <c r="VM17" s="180"/>
      <c r="VN17" s="180"/>
      <c r="VO17" s="180"/>
      <c r="VP17" s="180"/>
      <c r="VQ17" s="180"/>
      <c r="VR17" s="180"/>
      <c r="VS17" s="180"/>
      <c r="VT17" s="180"/>
      <c r="VU17" s="180"/>
      <c r="VV17" s="180"/>
      <c r="VW17" s="180"/>
      <c r="VX17" s="180"/>
      <c r="VY17" s="180"/>
      <c r="VZ17" s="180"/>
      <c r="WA17" s="180"/>
      <c r="WB17" s="180"/>
      <c r="WC17" s="180"/>
      <c r="WD17" s="180"/>
      <c r="WE17" s="180"/>
      <c r="WF17" s="180"/>
      <c r="WG17" s="180"/>
      <c r="WH17" s="180"/>
      <c r="WI17" s="180"/>
      <c r="WJ17" s="180"/>
      <c r="WK17" s="180"/>
      <c r="WL17" s="180"/>
      <c r="WM17" s="180"/>
      <c r="WN17" s="180"/>
      <c r="WO17" s="180"/>
      <c r="WP17" s="180"/>
      <c r="WQ17" s="180"/>
      <c r="WR17" s="180"/>
      <c r="WS17" s="180"/>
      <c r="WT17" s="180"/>
      <c r="WU17" s="180"/>
      <c r="WV17" s="180"/>
      <c r="WW17" s="180"/>
      <c r="WX17" s="180"/>
      <c r="WY17" s="180"/>
      <c r="WZ17" s="180"/>
      <c r="XA17" s="180"/>
      <c r="XB17" s="180"/>
      <c r="XC17" s="180"/>
      <c r="XD17" s="180"/>
      <c r="XE17" s="180"/>
      <c r="XF17" s="180"/>
      <c r="XG17" s="180"/>
      <c r="XH17" s="180"/>
      <c r="XI17" s="180"/>
      <c r="XJ17" s="180"/>
      <c r="XK17" s="180"/>
      <c r="XL17" s="180"/>
      <c r="XM17" s="180"/>
      <c r="XN17" s="180"/>
      <c r="XO17" s="180"/>
      <c r="XP17" s="180"/>
      <c r="XQ17" s="180"/>
      <c r="XR17" s="180"/>
      <c r="XS17" s="180"/>
      <c r="XT17" s="180"/>
      <c r="XU17" s="180"/>
      <c r="XV17" s="180"/>
      <c r="XW17" s="180"/>
      <c r="XX17" s="180"/>
      <c r="XY17" s="180"/>
      <c r="XZ17" s="180"/>
      <c r="YA17" s="180"/>
      <c r="YB17" s="180"/>
      <c r="YC17" s="180"/>
      <c r="YD17" s="180"/>
      <c r="YE17" s="180"/>
      <c r="YF17" s="180"/>
      <c r="YG17" s="180"/>
      <c r="YH17" s="180"/>
      <c r="YI17" s="180"/>
      <c r="YJ17" s="180"/>
      <c r="YK17" s="180"/>
      <c r="YL17" s="180"/>
      <c r="YM17" s="180"/>
      <c r="YN17" s="180"/>
      <c r="YO17" s="180"/>
      <c r="YP17" s="180"/>
      <c r="YQ17" s="180"/>
      <c r="YR17" s="180"/>
      <c r="YS17" s="180"/>
      <c r="YT17" s="180"/>
      <c r="YU17" s="180"/>
      <c r="YV17" s="180"/>
      <c r="YW17" s="180"/>
      <c r="YX17" s="180"/>
      <c r="YY17" s="180"/>
      <c r="YZ17" s="180"/>
      <c r="ZA17" s="180"/>
      <c r="ZB17" s="180"/>
      <c r="ZC17" s="180"/>
      <c r="ZD17" s="180"/>
      <c r="ZE17" s="180"/>
      <c r="ZF17" s="180"/>
      <c r="ZG17" s="180"/>
      <c r="ZH17" s="180"/>
      <c r="ZI17" s="180"/>
      <c r="ZJ17" s="180"/>
      <c r="ZK17" s="180"/>
      <c r="ZL17" s="180"/>
      <c r="ZM17" s="180"/>
      <c r="ZN17" s="180"/>
      <c r="ZO17" s="180"/>
      <c r="ZP17" s="180"/>
      <c r="ZQ17" s="180"/>
      <c r="ZR17" s="180"/>
      <c r="ZS17" s="180"/>
      <c r="ZT17" s="180"/>
      <c r="ZU17" s="180"/>
      <c r="ZV17" s="180"/>
      <c r="ZW17" s="180"/>
      <c r="ZX17" s="180"/>
      <c r="ZY17" s="180"/>
      <c r="ZZ17" s="180"/>
      <c r="AAA17" s="180"/>
      <c r="AAB17" s="180"/>
      <c r="AAC17" s="180"/>
      <c r="AAD17" s="180"/>
      <c r="AAE17" s="180"/>
      <c r="AAF17" s="180"/>
      <c r="AAG17" s="180"/>
      <c r="AAH17" s="180"/>
      <c r="AAI17" s="180"/>
      <c r="AAJ17" s="180"/>
      <c r="AAK17" s="180"/>
      <c r="AAL17" s="180"/>
      <c r="AAM17" s="180"/>
      <c r="AAN17" s="180"/>
      <c r="AAO17" s="180"/>
      <c r="AAP17" s="180"/>
      <c r="AAQ17" s="180"/>
      <c r="AAR17" s="180"/>
      <c r="AAS17" s="180"/>
      <c r="AAT17" s="180"/>
      <c r="AAU17" s="180"/>
      <c r="AAV17" s="180"/>
      <c r="AAW17" s="180"/>
      <c r="AAX17" s="180"/>
      <c r="AAY17" s="180"/>
      <c r="AAZ17" s="180"/>
      <c r="ABA17" s="180"/>
      <c r="ABB17" s="180"/>
      <c r="ABC17" s="180"/>
      <c r="ABD17" s="180"/>
      <c r="ABE17" s="180"/>
      <c r="ABF17" s="180"/>
      <c r="ABG17" s="180"/>
      <c r="ABH17" s="180"/>
      <c r="ABI17" s="180"/>
      <c r="ABJ17" s="180"/>
      <c r="ABK17" s="180"/>
      <c r="ABL17" s="180"/>
      <c r="ABM17" s="180"/>
      <c r="ABN17" s="180"/>
      <c r="ABO17" s="180"/>
      <c r="ABP17" s="180"/>
      <c r="ABQ17" s="180"/>
      <c r="ABR17" s="180"/>
      <c r="ABS17" s="180"/>
      <c r="ABT17" s="180"/>
      <c r="ABU17" s="180"/>
      <c r="ABV17" s="180"/>
      <c r="ABW17" s="180"/>
      <c r="ABX17" s="180"/>
      <c r="ABY17" s="180"/>
      <c r="ABZ17" s="180"/>
      <c r="ACA17" s="180"/>
      <c r="ACB17" s="180"/>
      <c r="ACC17" s="180"/>
      <c r="ACD17" s="180"/>
      <c r="ACE17" s="180"/>
      <c r="ACF17" s="180"/>
      <c r="ACG17" s="180"/>
      <c r="ACH17" s="180"/>
      <c r="ACI17" s="180"/>
      <c r="ACJ17" s="180"/>
      <c r="ACK17" s="180"/>
      <c r="ACL17" s="180"/>
      <c r="ACM17" s="180"/>
      <c r="ACN17" s="180"/>
      <c r="ACO17" s="180"/>
      <c r="ACP17" s="180"/>
      <c r="ACQ17" s="180"/>
      <c r="ACR17" s="180"/>
      <c r="ACS17" s="180"/>
      <c r="ACT17" s="180"/>
      <c r="ACU17" s="180"/>
      <c r="ACV17" s="180"/>
      <c r="ACW17" s="180"/>
      <c r="ACX17" s="180"/>
      <c r="ACY17" s="180"/>
      <c r="ACZ17" s="180"/>
      <c r="ADA17" s="180"/>
      <c r="ADB17" s="180"/>
      <c r="ADC17" s="180"/>
      <c r="ADD17" s="180"/>
      <c r="ADE17" s="180"/>
      <c r="ADF17" s="180"/>
      <c r="ADG17" s="180"/>
      <c r="ADH17" s="180"/>
      <c r="ADI17" s="180"/>
      <c r="ADJ17" s="180"/>
      <c r="ADK17" s="180"/>
      <c r="ADL17" s="180"/>
      <c r="ADM17" s="180"/>
      <c r="ADN17" s="180"/>
      <c r="ADO17" s="180"/>
      <c r="ADP17" s="180"/>
      <c r="ADQ17" s="180"/>
      <c r="ADR17" s="180"/>
      <c r="ADS17" s="180"/>
      <c r="ADT17" s="180"/>
      <c r="ADU17" s="180"/>
      <c r="ADV17" s="180"/>
      <c r="ADW17" s="180"/>
      <c r="ADX17" s="180"/>
      <c r="ADY17" s="180"/>
      <c r="ADZ17" s="180"/>
      <c r="AEA17" s="180"/>
      <c r="AEB17" s="180"/>
      <c r="AEC17" s="180"/>
      <c r="AED17" s="180"/>
      <c r="AEE17" s="180"/>
      <c r="AEF17" s="180"/>
      <c r="AEG17" s="180"/>
      <c r="AEH17" s="180"/>
      <c r="AEI17" s="180"/>
      <c r="AEJ17" s="180"/>
      <c r="AEK17" s="180"/>
      <c r="AEL17" s="180"/>
      <c r="AEM17" s="180"/>
      <c r="AEN17" s="180"/>
      <c r="AEO17" s="180"/>
      <c r="AEP17" s="180"/>
      <c r="AEQ17" s="180"/>
      <c r="AER17" s="180"/>
      <c r="AES17" s="180"/>
      <c r="AET17" s="180"/>
      <c r="AEU17" s="180"/>
      <c r="AEV17" s="180"/>
      <c r="AEW17" s="180"/>
      <c r="AEX17" s="180"/>
      <c r="AEY17" s="180"/>
      <c r="AEZ17" s="180"/>
      <c r="AFA17" s="180"/>
      <c r="AFB17" s="180"/>
      <c r="AFC17" s="180"/>
      <c r="AFD17" s="180"/>
      <c r="AFE17" s="180"/>
      <c r="AFF17" s="180"/>
      <c r="AFG17" s="180"/>
      <c r="AFH17" s="180"/>
      <c r="AFI17" s="180"/>
      <c r="AFJ17" s="180"/>
      <c r="AFK17" s="180"/>
      <c r="AFL17" s="180"/>
      <c r="AFM17" s="180"/>
      <c r="AFN17" s="180"/>
      <c r="AFO17" s="180"/>
      <c r="AFP17" s="180"/>
      <c r="AFQ17" s="180"/>
      <c r="AFR17" s="180"/>
      <c r="AFS17" s="180"/>
      <c r="AFT17" s="180"/>
      <c r="AFU17" s="180"/>
      <c r="AFV17" s="180"/>
      <c r="AFW17" s="180"/>
      <c r="AFX17" s="180"/>
      <c r="AFY17" s="180"/>
      <c r="AFZ17" s="180"/>
      <c r="AGA17" s="180"/>
      <c r="AGB17" s="180"/>
      <c r="AGC17" s="180"/>
      <c r="AGD17" s="180"/>
      <c r="AGE17" s="180"/>
      <c r="AGF17" s="180"/>
      <c r="AGG17" s="180"/>
      <c r="AGH17" s="180"/>
      <c r="AGI17" s="180"/>
      <c r="AGJ17" s="180"/>
      <c r="AGK17" s="180"/>
      <c r="AGL17" s="180"/>
      <c r="AGM17" s="180"/>
      <c r="AGN17" s="180"/>
      <c r="AGO17" s="180"/>
      <c r="AGP17" s="180"/>
      <c r="AGQ17" s="180"/>
      <c r="AGR17" s="180"/>
      <c r="AGS17" s="180"/>
      <c r="AGT17" s="180"/>
      <c r="AGU17" s="180"/>
      <c r="AGV17" s="180"/>
      <c r="AGW17" s="180"/>
      <c r="AGX17" s="180"/>
      <c r="AGY17" s="180"/>
      <c r="AGZ17" s="180"/>
      <c r="AHA17" s="180"/>
      <c r="AHB17" s="180"/>
      <c r="AHC17" s="180"/>
      <c r="AHD17" s="180"/>
      <c r="AHE17" s="180"/>
      <c r="AHF17" s="180"/>
      <c r="AHG17" s="180"/>
      <c r="AHH17" s="180"/>
      <c r="AHI17" s="180"/>
      <c r="AHJ17" s="180"/>
      <c r="AHK17" s="180"/>
      <c r="AHL17" s="180"/>
      <c r="AHM17" s="180"/>
      <c r="AHN17" s="180"/>
      <c r="AHO17" s="180"/>
      <c r="AHP17" s="180"/>
      <c r="AHQ17" s="180"/>
      <c r="AHR17" s="180"/>
      <c r="AHS17" s="180"/>
      <c r="AHT17" s="180"/>
      <c r="AHU17" s="180"/>
      <c r="AHV17" s="180"/>
      <c r="AHW17" s="180"/>
      <c r="AHX17" s="180"/>
      <c r="AHY17" s="180"/>
      <c r="AHZ17" s="180"/>
      <c r="AIA17" s="180"/>
      <c r="AIB17" s="180"/>
      <c r="AIC17" s="180"/>
      <c r="AID17" s="180"/>
      <c r="AIE17" s="180"/>
      <c r="AIF17" s="180"/>
      <c r="AIG17" s="180"/>
      <c r="AIH17" s="180"/>
      <c r="AII17" s="180"/>
      <c r="AIJ17" s="180"/>
      <c r="AIK17" s="180"/>
      <c r="AIL17" s="180"/>
      <c r="AIM17" s="180"/>
      <c r="AIN17" s="180"/>
      <c r="AIO17" s="180"/>
      <c r="AIP17" s="180"/>
      <c r="AIQ17" s="180"/>
      <c r="AIR17" s="180"/>
      <c r="AIS17" s="180"/>
      <c r="AIT17" s="180"/>
      <c r="AIU17" s="180"/>
      <c r="AIV17" s="180"/>
      <c r="AIW17" s="180"/>
      <c r="AIX17" s="180"/>
      <c r="AIY17" s="180"/>
      <c r="AIZ17" s="180"/>
      <c r="AJA17" s="180"/>
      <c r="AJB17" s="180"/>
      <c r="AJC17" s="180"/>
      <c r="AJD17" s="180"/>
      <c r="AJE17" s="180"/>
      <c r="AJF17" s="180"/>
      <c r="AJG17" s="180"/>
      <c r="AJH17" s="180"/>
      <c r="AJI17" s="180"/>
      <c r="AJJ17" s="180"/>
      <c r="AJK17" s="180"/>
      <c r="AJL17" s="180"/>
      <c r="AJM17" s="180"/>
      <c r="AJN17" s="180"/>
      <c r="AJO17" s="180"/>
      <c r="AJP17" s="180"/>
      <c r="AJQ17" s="180"/>
      <c r="AJR17" s="180"/>
      <c r="AJS17" s="180"/>
      <c r="AJT17" s="180"/>
      <c r="AJU17" s="180"/>
      <c r="AJV17" s="180"/>
      <c r="AJW17" s="180"/>
      <c r="AJX17" s="180"/>
      <c r="AJY17" s="180"/>
      <c r="AJZ17" s="180"/>
      <c r="AKA17" s="180"/>
      <c r="AKB17" s="180"/>
      <c r="AKC17" s="180"/>
      <c r="AKD17" s="180"/>
      <c r="AKE17" s="180"/>
      <c r="AKF17" s="180"/>
      <c r="AKG17" s="180"/>
      <c r="AKH17" s="180"/>
      <c r="AKI17" s="180"/>
      <c r="AKJ17" s="180"/>
      <c r="AKK17" s="180"/>
      <c r="AKL17" s="180"/>
      <c r="AKM17" s="180"/>
      <c r="AKN17" s="180"/>
      <c r="AKO17" s="180"/>
      <c r="AKP17" s="180"/>
      <c r="AKQ17" s="180"/>
      <c r="AKR17" s="180"/>
      <c r="AKS17" s="180"/>
      <c r="AKT17" s="180"/>
      <c r="AKU17" s="180"/>
      <c r="AKV17" s="180"/>
      <c r="AKW17" s="180"/>
      <c r="AKX17" s="180"/>
      <c r="AKY17" s="180"/>
      <c r="AKZ17" s="180"/>
      <c r="ALA17" s="180"/>
      <c r="ALB17" s="180"/>
      <c r="ALC17" s="180"/>
      <c r="ALD17" s="180"/>
      <c r="ALE17" s="180"/>
      <c r="ALF17" s="180"/>
      <c r="ALG17" s="180"/>
      <c r="ALH17" s="180"/>
      <c r="ALI17" s="180"/>
      <c r="ALJ17" s="180"/>
      <c r="ALK17" s="180"/>
      <c r="ALL17" s="180"/>
      <c r="ALM17" s="180"/>
      <c r="ALN17" s="180"/>
      <c r="ALO17" s="180"/>
      <c r="ALP17" s="180"/>
      <c r="ALQ17" s="180"/>
      <c r="ALR17" s="180"/>
      <c r="ALS17" s="180"/>
      <c r="ALT17" s="180"/>
      <c r="ALU17" s="180"/>
      <c r="ALV17" s="180"/>
      <c r="ALW17" s="180"/>
      <c r="ALX17" s="180"/>
      <c r="ALY17" s="180"/>
      <c r="ALZ17" s="180"/>
      <c r="AMA17" s="180"/>
      <c r="AMB17" s="180"/>
      <c r="AMC17" s="180"/>
      <c r="AMD17" s="180"/>
      <c r="AME17" s="180"/>
      <c r="AMF17" s="180"/>
      <c r="AMG17" s="180"/>
      <c r="AMH17" s="180"/>
      <c r="AMI17" s="180"/>
      <c r="AMJ17" s="180"/>
      <c r="AMK17" s="180"/>
      <c r="AML17" s="180"/>
      <c r="AMM17" s="180"/>
      <c r="AMN17" s="180"/>
      <c r="AMO17" s="180"/>
      <c r="AMP17" s="180"/>
      <c r="AMQ17" s="180"/>
      <c r="AMR17" s="180"/>
      <c r="AMS17" s="180"/>
      <c r="AMT17" s="180"/>
      <c r="AMU17" s="180"/>
      <c r="AMV17" s="180"/>
      <c r="AMW17" s="180"/>
      <c r="AMX17" s="180"/>
      <c r="AMY17" s="180"/>
      <c r="AMZ17" s="180"/>
      <c r="ANA17" s="180"/>
      <c r="ANB17" s="180"/>
      <c r="ANC17" s="180"/>
      <c r="AND17" s="180"/>
      <c r="ANE17" s="180"/>
      <c r="ANF17" s="180"/>
      <c r="ANG17" s="180"/>
      <c r="ANH17" s="180"/>
      <c r="ANI17" s="180"/>
      <c r="ANJ17" s="180"/>
      <c r="ANK17" s="180"/>
      <c r="ANL17" s="180"/>
      <c r="ANM17" s="180"/>
      <c r="ANN17" s="180"/>
      <c r="ANO17" s="180"/>
      <c r="ANP17" s="180"/>
      <c r="ANQ17" s="180"/>
      <c r="ANR17" s="180"/>
      <c r="ANS17" s="180"/>
      <c r="ANT17" s="180"/>
      <c r="ANU17" s="180"/>
      <c r="ANV17" s="180"/>
      <c r="ANW17" s="180"/>
      <c r="ANX17" s="180"/>
      <c r="ANY17" s="180"/>
      <c r="ANZ17" s="180"/>
      <c r="AOA17" s="180"/>
      <c r="AOB17" s="180"/>
      <c r="AOC17" s="180"/>
      <c r="AOD17" s="180"/>
      <c r="AOE17" s="180"/>
      <c r="AOF17" s="180"/>
      <c r="AOG17" s="180"/>
      <c r="AOH17" s="180"/>
      <c r="AOI17" s="180"/>
      <c r="AOJ17" s="180"/>
      <c r="AOK17" s="180"/>
      <c r="AOL17" s="180"/>
      <c r="AOM17" s="180"/>
      <c r="AON17" s="180"/>
      <c r="AOO17" s="180"/>
      <c r="AOP17" s="180"/>
      <c r="AOQ17" s="180"/>
      <c r="AOR17" s="180"/>
      <c r="AOS17" s="180"/>
      <c r="AOT17" s="180"/>
      <c r="AOU17" s="180"/>
      <c r="AOV17" s="180"/>
      <c r="AOW17" s="180"/>
      <c r="AOX17" s="180"/>
      <c r="AOY17" s="180"/>
      <c r="AOZ17" s="180"/>
      <c r="APA17" s="180"/>
      <c r="APB17" s="180"/>
      <c r="APC17" s="180"/>
      <c r="APD17" s="180"/>
      <c r="APE17" s="180"/>
      <c r="APF17" s="180"/>
      <c r="APG17" s="180"/>
      <c r="APH17" s="180"/>
      <c r="API17" s="180"/>
      <c r="APJ17" s="180"/>
      <c r="APK17" s="180"/>
      <c r="APL17" s="180"/>
      <c r="APM17" s="180"/>
      <c r="APN17" s="180"/>
      <c r="APO17" s="180"/>
      <c r="APP17" s="180"/>
      <c r="APQ17" s="180"/>
      <c r="APR17" s="180"/>
      <c r="APS17" s="180"/>
      <c r="APT17" s="180"/>
      <c r="APU17" s="180"/>
      <c r="APV17" s="180"/>
      <c r="APW17" s="180"/>
      <c r="APX17" s="180"/>
      <c r="APY17" s="180"/>
      <c r="APZ17" s="180"/>
      <c r="AQA17" s="180"/>
      <c r="AQB17" s="180"/>
      <c r="AQC17" s="180"/>
      <c r="AQD17" s="180"/>
      <c r="AQE17" s="180"/>
      <c r="AQF17" s="180"/>
      <c r="AQG17" s="180"/>
      <c r="AQH17" s="180"/>
      <c r="AQI17" s="180"/>
      <c r="AQJ17" s="180"/>
      <c r="AQK17" s="180"/>
      <c r="AQL17" s="180"/>
      <c r="AQM17" s="180"/>
      <c r="AQN17" s="180"/>
      <c r="AQO17" s="180"/>
      <c r="AQP17" s="180"/>
      <c r="AQQ17" s="180"/>
      <c r="AQR17" s="180"/>
      <c r="AQS17" s="180"/>
      <c r="AQT17" s="180"/>
      <c r="AQU17" s="180"/>
      <c r="AQV17" s="180"/>
      <c r="AQW17" s="180"/>
      <c r="AQX17" s="180"/>
      <c r="AQY17" s="180"/>
      <c r="AQZ17" s="180"/>
      <c r="ARA17" s="180"/>
      <c r="ARB17" s="180"/>
      <c r="ARC17" s="180"/>
      <c r="ARD17" s="180"/>
      <c r="ARE17" s="180"/>
      <c r="ARF17" s="180"/>
      <c r="ARG17" s="180"/>
      <c r="ARH17" s="180"/>
      <c r="ARI17" s="180"/>
      <c r="ARJ17" s="180"/>
      <c r="ARK17" s="180"/>
      <c r="ARL17" s="180"/>
      <c r="ARM17" s="180"/>
      <c r="ARN17" s="180"/>
      <c r="ARO17" s="180"/>
      <c r="ARP17" s="180"/>
      <c r="ARQ17" s="180"/>
      <c r="ARR17" s="180"/>
      <c r="ARS17" s="180"/>
      <c r="ART17" s="180"/>
      <c r="ARU17" s="180"/>
      <c r="ARV17" s="180"/>
      <c r="ARW17" s="180"/>
      <c r="ARX17" s="180"/>
      <c r="ARY17" s="180"/>
      <c r="ARZ17" s="180"/>
      <c r="ASA17" s="180"/>
      <c r="ASB17" s="180"/>
      <c r="ASC17" s="180"/>
      <c r="ASD17" s="180"/>
      <c r="ASE17" s="180"/>
      <c r="ASF17" s="180"/>
      <c r="ASG17" s="180"/>
      <c r="ASH17" s="180"/>
      <c r="ASI17" s="180"/>
      <c r="ASJ17" s="180"/>
      <c r="ASK17" s="180"/>
      <c r="ASL17" s="180"/>
      <c r="ASM17" s="180"/>
      <c r="ASN17" s="180"/>
      <c r="ASO17" s="180"/>
      <c r="ASP17" s="180"/>
      <c r="ASQ17" s="180"/>
      <c r="ASR17" s="180"/>
      <c r="ASS17" s="180"/>
      <c r="AST17" s="180"/>
      <c r="ASU17" s="180"/>
      <c r="ASV17" s="180"/>
      <c r="ASW17" s="180"/>
      <c r="ASX17" s="180"/>
      <c r="ASY17" s="180"/>
      <c r="ASZ17" s="180"/>
      <c r="ATA17" s="180"/>
      <c r="ATB17" s="180"/>
      <c r="ATC17" s="180"/>
      <c r="ATD17" s="180"/>
      <c r="ATE17" s="180"/>
      <c r="ATF17" s="180"/>
      <c r="ATG17" s="180"/>
      <c r="ATH17" s="180"/>
      <c r="ATI17" s="180"/>
      <c r="ATJ17" s="180"/>
      <c r="ATK17" s="180"/>
      <c r="ATL17" s="180"/>
      <c r="ATM17" s="180"/>
      <c r="ATN17" s="180"/>
      <c r="ATO17" s="180"/>
      <c r="ATP17" s="180"/>
      <c r="ATQ17" s="180"/>
      <c r="ATR17" s="180"/>
      <c r="ATS17" s="180"/>
      <c r="ATT17" s="180"/>
      <c r="ATU17" s="180"/>
      <c r="ATV17" s="180"/>
      <c r="ATW17" s="180"/>
      <c r="ATX17" s="180"/>
      <c r="ATY17" s="180"/>
      <c r="ATZ17" s="180"/>
      <c r="AUA17" s="180"/>
      <c r="AUB17" s="180"/>
      <c r="AUC17" s="180"/>
      <c r="AUD17" s="180"/>
      <c r="AUE17" s="180"/>
      <c r="AUF17" s="180"/>
      <c r="AUG17" s="180"/>
      <c r="AUH17" s="180"/>
      <c r="AUI17" s="180"/>
      <c r="AUJ17" s="180"/>
      <c r="AUK17" s="180"/>
      <c r="AUL17" s="180"/>
      <c r="AUM17" s="180"/>
      <c r="AUN17" s="180"/>
      <c r="AUO17" s="180"/>
      <c r="AUP17" s="180"/>
      <c r="AUQ17" s="180"/>
      <c r="AUR17" s="180"/>
      <c r="AUS17" s="180"/>
      <c r="AUT17" s="180"/>
      <c r="AUU17" s="180"/>
      <c r="AUV17" s="180"/>
      <c r="AUW17" s="180"/>
      <c r="AUX17" s="180"/>
      <c r="AUY17" s="180"/>
      <c r="AUZ17" s="180"/>
      <c r="AVA17" s="180"/>
      <c r="AVB17" s="180"/>
      <c r="AVC17" s="180"/>
      <c r="AVD17" s="180"/>
      <c r="AVE17" s="180"/>
      <c r="AVF17" s="180"/>
      <c r="AVG17" s="180"/>
      <c r="AVH17" s="180"/>
      <c r="AVI17" s="180"/>
      <c r="AVJ17" s="180"/>
      <c r="AVK17" s="180"/>
      <c r="AVL17" s="180"/>
      <c r="AVM17" s="180"/>
      <c r="AVN17" s="180"/>
      <c r="AVO17" s="180"/>
      <c r="AVP17" s="180"/>
      <c r="AVQ17" s="180"/>
      <c r="AVR17" s="180"/>
      <c r="AVS17" s="180"/>
      <c r="AVT17" s="180"/>
      <c r="AVU17" s="180"/>
      <c r="AVV17" s="180"/>
      <c r="AVW17" s="180"/>
      <c r="AVX17" s="180"/>
      <c r="AVY17" s="180"/>
      <c r="AVZ17" s="180"/>
      <c r="AWA17" s="180"/>
      <c r="AWB17" s="180"/>
      <c r="AWC17" s="180"/>
      <c r="AWD17" s="180"/>
      <c r="AWE17" s="180"/>
      <c r="AWF17" s="180"/>
      <c r="AWG17" s="180"/>
      <c r="AWH17" s="180"/>
      <c r="AWI17" s="180"/>
      <c r="AWJ17" s="180"/>
      <c r="AWK17" s="180"/>
      <c r="AWL17" s="180"/>
      <c r="AWM17" s="180"/>
      <c r="AWN17" s="180"/>
      <c r="AWO17" s="180"/>
      <c r="AWP17" s="180"/>
      <c r="AWQ17" s="180"/>
      <c r="AWR17" s="180"/>
      <c r="AWS17" s="180"/>
      <c r="AWT17" s="180"/>
      <c r="AWU17" s="180"/>
      <c r="AWV17" s="180"/>
      <c r="AWW17" s="180"/>
      <c r="AWX17" s="180"/>
      <c r="AWY17" s="180"/>
      <c r="AWZ17" s="180"/>
      <c r="AXA17" s="180"/>
      <c r="AXB17" s="180"/>
      <c r="AXC17" s="180"/>
      <c r="AXD17" s="180"/>
      <c r="AXE17" s="180"/>
      <c r="AXF17" s="180"/>
      <c r="AXG17" s="180"/>
      <c r="AXH17" s="180"/>
      <c r="AXI17" s="180"/>
      <c r="AXJ17" s="180"/>
      <c r="AXK17" s="180"/>
      <c r="AXL17" s="180"/>
      <c r="AXM17" s="180"/>
      <c r="AXN17" s="180"/>
      <c r="AXO17" s="180"/>
      <c r="AXP17" s="180"/>
      <c r="AXQ17" s="180"/>
      <c r="AXR17" s="180"/>
      <c r="AXS17" s="180"/>
      <c r="AXT17" s="180"/>
      <c r="AXU17" s="180"/>
      <c r="AXV17" s="180"/>
      <c r="AXW17" s="180"/>
      <c r="AXX17" s="180"/>
      <c r="AXY17" s="180"/>
      <c r="AXZ17" s="180"/>
      <c r="AYA17" s="180"/>
      <c r="AYB17" s="180"/>
      <c r="AYC17" s="180"/>
      <c r="AYD17" s="180"/>
      <c r="AYE17" s="180"/>
      <c r="AYF17" s="180"/>
      <c r="AYG17" s="180"/>
      <c r="AYH17" s="180"/>
      <c r="AYI17" s="180"/>
      <c r="AYJ17" s="180"/>
      <c r="AYK17" s="180"/>
      <c r="AYL17" s="180"/>
      <c r="AYM17" s="180"/>
      <c r="AYN17" s="180"/>
      <c r="AYO17" s="180"/>
      <c r="AYP17" s="180"/>
      <c r="AYQ17" s="180"/>
      <c r="AYR17" s="180"/>
      <c r="AYS17" s="180"/>
      <c r="AYT17" s="180"/>
      <c r="AYU17" s="180"/>
      <c r="AYV17" s="180"/>
      <c r="AYW17" s="180"/>
      <c r="AYX17" s="180"/>
      <c r="AYY17" s="180"/>
      <c r="AYZ17" s="180"/>
      <c r="AZA17" s="180"/>
      <c r="AZB17" s="180"/>
      <c r="AZC17" s="180"/>
      <c r="AZD17" s="180"/>
      <c r="AZE17" s="180"/>
      <c r="AZF17" s="180"/>
      <c r="AZG17" s="180"/>
      <c r="AZH17" s="180"/>
      <c r="AZI17" s="180"/>
      <c r="AZJ17" s="180"/>
      <c r="AZK17" s="180"/>
      <c r="AZL17" s="180"/>
      <c r="AZM17" s="180"/>
      <c r="AZN17" s="180"/>
      <c r="AZO17" s="180"/>
      <c r="AZP17" s="180"/>
      <c r="AZQ17" s="180"/>
      <c r="AZR17" s="180"/>
      <c r="AZS17" s="180"/>
      <c r="AZT17" s="180"/>
      <c r="AZU17" s="180"/>
      <c r="AZV17" s="180"/>
      <c r="AZW17" s="180"/>
      <c r="AZX17" s="180"/>
      <c r="AZY17" s="180"/>
      <c r="AZZ17" s="180"/>
      <c r="BAA17" s="180"/>
      <c r="BAB17" s="180"/>
      <c r="BAC17" s="180"/>
      <c r="BAD17" s="180"/>
      <c r="BAE17" s="180"/>
      <c r="BAF17" s="180"/>
      <c r="BAG17" s="180"/>
      <c r="BAH17" s="180"/>
      <c r="BAI17" s="180"/>
      <c r="BAJ17" s="180"/>
      <c r="BAK17" s="180"/>
      <c r="BAL17" s="180"/>
      <c r="BAM17" s="180"/>
      <c r="BAN17" s="180"/>
      <c r="BAO17" s="180"/>
      <c r="BAP17" s="180"/>
      <c r="BAQ17" s="180"/>
      <c r="BAR17" s="180"/>
      <c r="BAS17" s="180"/>
      <c r="BAT17" s="180"/>
      <c r="BAU17" s="180"/>
      <c r="BAV17" s="180"/>
      <c r="BAW17" s="180"/>
      <c r="BAX17" s="180"/>
      <c r="BAY17" s="180"/>
      <c r="BAZ17" s="180"/>
      <c r="BBA17" s="180"/>
      <c r="BBB17" s="180"/>
      <c r="BBC17" s="180"/>
      <c r="BBD17" s="180"/>
      <c r="BBE17" s="180"/>
      <c r="BBF17" s="180"/>
      <c r="BBG17" s="180"/>
      <c r="BBH17" s="180"/>
      <c r="BBI17" s="180"/>
      <c r="BBJ17" s="180"/>
      <c r="BBK17" s="180"/>
      <c r="BBL17" s="180"/>
      <c r="BBM17" s="180"/>
      <c r="BBN17" s="180"/>
      <c r="BBO17" s="180"/>
      <c r="BBP17" s="180"/>
      <c r="BBQ17" s="180"/>
      <c r="BBR17" s="180"/>
      <c r="BBS17" s="180"/>
      <c r="BBT17" s="180"/>
      <c r="BBU17" s="180"/>
      <c r="BBV17" s="180"/>
      <c r="BBW17" s="180"/>
      <c r="BBX17" s="180"/>
      <c r="BBY17" s="180"/>
      <c r="BBZ17" s="180"/>
      <c r="BCA17" s="180"/>
      <c r="BCB17" s="180"/>
      <c r="BCC17" s="180"/>
      <c r="BCD17" s="180"/>
      <c r="BCE17" s="180"/>
      <c r="BCF17" s="180"/>
      <c r="BCG17" s="180"/>
      <c r="BCH17" s="180"/>
      <c r="BCI17" s="180"/>
      <c r="BCJ17" s="180"/>
      <c r="BCK17" s="180"/>
      <c r="BCL17" s="180"/>
      <c r="BCM17" s="180"/>
      <c r="BCN17" s="180"/>
      <c r="BCO17" s="180"/>
      <c r="BCP17" s="180"/>
      <c r="BCQ17" s="180"/>
      <c r="BCR17" s="180"/>
      <c r="BCS17" s="180"/>
      <c r="BCT17" s="180"/>
      <c r="BCU17" s="180"/>
      <c r="BCV17" s="180"/>
      <c r="BCW17" s="180"/>
      <c r="BCX17" s="180"/>
      <c r="BCY17" s="180"/>
      <c r="BCZ17" s="180"/>
      <c r="BDA17" s="180"/>
      <c r="BDB17" s="180"/>
      <c r="BDC17" s="180"/>
      <c r="BDD17" s="180"/>
      <c r="BDE17" s="180"/>
      <c r="BDF17" s="180"/>
      <c r="BDG17" s="180"/>
      <c r="BDH17" s="180"/>
      <c r="BDI17" s="180"/>
      <c r="BDJ17" s="180"/>
      <c r="BDK17" s="180"/>
      <c r="BDL17" s="180"/>
      <c r="BDM17" s="180"/>
      <c r="BDN17" s="180"/>
      <c r="BDO17" s="180"/>
      <c r="BDP17" s="180"/>
      <c r="BDQ17" s="180"/>
      <c r="BDR17" s="180"/>
      <c r="BDS17" s="180"/>
      <c r="BDT17" s="180"/>
      <c r="BDU17" s="180"/>
      <c r="BDV17" s="180"/>
      <c r="BDW17" s="180"/>
      <c r="BDX17" s="180"/>
      <c r="BDY17" s="180"/>
      <c r="BDZ17" s="180"/>
      <c r="BEA17" s="180"/>
      <c r="BEB17" s="180"/>
      <c r="BEC17" s="180"/>
      <c r="BED17" s="180"/>
      <c r="BEE17" s="180"/>
      <c r="BEF17" s="180"/>
      <c r="BEG17" s="180"/>
      <c r="BEH17" s="180"/>
      <c r="BEI17" s="180"/>
      <c r="BEJ17" s="180"/>
      <c r="BEK17" s="180"/>
      <c r="BEL17" s="180"/>
      <c r="BEM17" s="180"/>
      <c r="BEN17" s="180"/>
      <c r="BEO17" s="180"/>
      <c r="BEP17" s="180"/>
      <c r="BEQ17" s="180"/>
      <c r="BER17" s="180"/>
      <c r="BES17" s="180"/>
      <c r="BET17" s="180"/>
      <c r="BEU17" s="180"/>
      <c r="BEV17" s="180"/>
      <c r="BEW17" s="180"/>
      <c r="BEX17" s="180"/>
      <c r="BEY17" s="180"/>
      <c r="BEZ17" s="180"/>
      <c r="BFA17" s="180"/>
      <c r="BFB17" s="180"/>
      <c r="BFC17" s="180"/>
      <c r="BFD17" s="180"/>
      <c r="BFE17" s="180"/>
      <c r="BFF17" s="180"/>
      <c r="BFG17" s="180"/>
      <c r="BFH17" s="180"/>
      <c r="BFI17" s="180"/>
      <c r="BFJ17" s="180"/>
      <c r="BFK17" s="180"/>
      <c r="BFL17" s="180"/>
      <c r="BFM17" s="180"/>
      <c r="BFN17" s="180"/>
      <c r="BFO17" s="180"/>
      <c r="BFP17" s="180"/>
      <c r="BFQ17" s="180"/>
      <c r="BFR17" s="180"/>
      <c r="BFS17" s="180"/>
      <c r="BFT17" s="180"/>
      <c r="BFU17" s="180"/>
      <c r="BFV17" s="180"/>
      <c r="BFW17" s="180"/>
      <c r="BFX17" s="180"/>
      <c r="BFY17" s="180"/>
      <c r="BFZ17" s="180"/>
      <c r="BGA17" s="180"/>
      <c r="BGB17" s="180"/>
      <c r="BGC17" s="180"/>
      <c r="BGD17" s="180"/>
      <c r="BGE17" s="180"/>
      <c r="BGF17" s="180"/>
      <c r="BGG17" s="180"/>
      <c r="BGH17" s="180"/>
      <c r="BGI17" s="180"/>
      <c r="BGJ17" s="180"/>
      <c r="BGK17" s="180"/>
      <c r="BGL17" s="180"/>
      <c r="BGM17" s="180"/>
      <c r="BGN17" s="180"/>
      <c r="BGO17" s="180"/>
      <c r="BGP17" s="180"/>
      <c r="BGQ17" s="180"/>
      <c r="BGR17" s="180"/>
      <c r="BGS17" s="180"/>
      <c r="BGT17" s="180"/>
      <c r="BGU17" s="180"/>
      <c r="BGV17" s="180"/>
      <c r="BGW17" s="180"/>
      <c r="BGX17" s="180"/>
      <c r="BGY17" s="180"/>
      <c r="BGZ17" s="180"/>
      <c r="BHA17" s="180"/>
      <c r="BHB17" s="180"/>
      <c r="BHC17" s="180"/>
      <c r="BHD17" s="180"/>
      <c r="BHE17" s="180"/>
      <c r="BHF17" s="180"/>
      <c r="BHG17" s="180"/>
      <c r="BHH17" s="180"/>
      <c r="BHI17" s="180"/>
      <c r="BHJ17" s="180"/>
      <c r="BHK17" s="180"/>
      <c r="BHL17" s="180"/>
      <c r="BHM17" s="180"/>
      <c r="BHN17" s="180"/>
      <c r="BHO17" s="180"/>
      <c r="BHP17" s="180"/>
      <c r="BHQ17" s="180"/>
      <c r="BHR17" s="180"/>
      <c r="BHS17" s="180"/>
      <c r="BHT17" s="180"/>
      <c r="BHU17" s="180"/>
      <c r="BHV17" s="180"/>
      <c r="BHW17" s="180"/>
      <c r="BHX17" s="180"/>
      <c r="BHY17" s="180"/>
      <c r="BHZ17" s="180"/>
      <c r="BIA17" s="180"/>
      <c r="BIB17" s="180"/>
      <c r="BIC17" s="180"/>
      <c r="BID17" s="180"/>
      <c r="BIE17" s="180"/>
      <c r="BIF17" s="180"/>
      <c r="BIG17" s="180"/>
      <c r="BIH17" s="180"/>
      <c r="BII17" s="180"/>
      <c r="BIJ17" s="180"/>
      <c r="BIK17" s="180"/>
      <c r="BIL17" s="180"/>
      <c r="BIM17" s="180"/>
      <c r="BIN17" s="180"/>
      <c r="BIO17" s="180"/>
      <c r="BIP17" s="180"/>
      <c r="BIQ17" s="180"/>
      <c r="BIR17" s="180"/>
      <c r="BIS17" s="180"/>
      <c r="BIT17" s="180"/>
      <c r="BIU17" s="180"/>
      <c r="BIV17" s="180"/>
      <c r="BIW17" s="180"/>
      <c r="BIX17" s="180"/>
      <c r="BIY17" s="180"/>
      <c r="BIZ17" s="180"/>
      <c r="BJA17" s="180"/>
      <c r="BJB17" s="180"/>
      <c r="BJC17" s="180"/>
      <c r="BJD17" s="180"/>
      <c r="BJE17" s="180"/>
      <c r="BJF17" s="180"/>
      <c r="BJG17" s="180"/>
      <c r="BJH17" s="180"/>
      <c r="BJI17" s="180"/>
      <c r="BJJ17" s="180"/>
      <c r="BJK17" s="180"/>
      <c r="BJL17" s="180"/>
      <c r="BJM17" s="180"/>
      <c r="BJN17" s="180"/>
      <c r="BJO17" s="180"/>
      <c r="BJP17" s="180"/>
      <c r="BJQ17" s="180"/>
      <c r="BJR17" s="180"/>
      <c r="BJS17" s="180"/>
      <c r="BJT17" s="180"/>
      <c r="BJU17" s="180"/>
      <c r="BJV17" s="180"/>
      <c r="BJW17" s="180"/>
      <c r="BJX17" s="180"/>
      <c r="BJY17" s="180"/>
      <c r="BJZ17" s="180"/>
      <c r="BKA17" s="180"/>
      <c r="BKB17" s="180"/>
      <c r="BKC17" s="180"/>
      <c r="BKD17" s="180"/>
      <c r="BKE17" s="180"/>
      <c r="BKF17" s="180"/>
      <c r="BKG17" s="180"/>
      <c r="BKH17" s="180"/>
      <c r="BKI17" s="180"/>
      <c r="BKJ17" s="180"/>
      <c r="BKK17" s="180"/>
      <c r="BKL17" s="180"/>
      <c r="BKM17" s="180"/>
      <c r="BKN17" s="180"/>
      <c r="BKO17" s="180"/>
      <c r="BKP17" s="180"/>
      <c r="BKQ17" s="180"/>
      <c r="BKR17" s="180"/>
      <c r="BKS17" s="180"/>
      <c r="BKT17" s="180"/>
      <c r="BKU17" s="180"/>
      <c r="BKV17" s="180"/>
      <c r="BKW17" s="180"/>
      <c r="BKX17" s="180"/>
      <c r="BKY17" s="180"/>
      <c r="BKZ17" s="180"/>
      <c r="BLA17" s="180"/>
      <c r="BLB17" s="180"/>
      <c r="BLC17" s="180"/>
      <c r="BLD17" s="180"/>
      <c r="BLE17" s="180"/>
      <c r="BLF17" s="180"/>
      <c r="BLG17" s="180"/>
      <c r="BLH17" s="180"/>
      <c r="BLI17" s="180"/>
      <c r="BLJ17" s="180"/>
      <c r="BLK17" s="180"/>
      <c r="BLL17" s="180"/>
      <c r="BLM17" s="180"/>
      <c r="BLN17" s="180"/>
      <c r="BLO17" s="180"/>
      <c r="BLP17" s="180"/>
      <c r="BLQ17" s="180"/>
      <c r="BLR17" s="180"/>
      <c r="BLS17" s="180"/>
      <c r="BLT17" s="180"/>
      <c r="BLU17" s="180"/>
      <c r="BLV17" s="180"/>
      <c r="BLW17" s="180"/>
      <c r="BLX17" s="180"/>
      <c r="BLY17" s="180"/>
      <c r="BLZ17" s="180"/>
      <c r="BMA17" s="180"/>
      <c r="BMB17" s="180"/>
      <c r="BMC17" s="180"/>
      <c r="BMD17" s="180"/>
      <c r="BME17" s="180"/>
      <c r="BMF17" s="180"/>
      <c r="BMG17" s="180"/>
      <c r="BMH17" s="180"/>
      <c r="BMI17" s="180"/>
      <c r="BMJ17" s="180"/>
      <c r="BMK17" s="180"/>
      <c r="BML17" s="180"/>
      <c r="BMM17" s="180"/>
      <c r="BMN17" s="180"/>
      <c r="BMO17" s="180"/>
      <c r="BMP17" s="180"/>
      <c r="BMQ17" s="180"/>
      <c r="BMR17" s="180"/>
      <c r="BMS17" s="180"/>
      <c r="BMT17" s="180"/>
      <c r="BMU17" s="180"/>
      <c r="BMV17" s="180"/>
      <c r="BMW17" s="180"/>
      <c r="BMX17" s="180"/>
      <c r="BMY17" s="180"/>
      <c r="BMZ17" s="180"/>
      <c r="BNA17" s="180"/>
      <c r="BNB17" s="180"/>
      <c r="BNC17" s="180"/>
      <c r="BND17" s="180"/>
      <c r="BNE17" s="180"/>
      <c r="BNF17" s="180"/>
      <c r="BNG17" s="180"/>
      <c r="BNH17" s="180"/>
      <c r="BNI17" s="180"/>
      <c r="BNJ17" s="180"/>
      <c r="BNK17" s="180"/>
      <c r="BNL17" s="180"/>
      <c r="BNM17" s="180"/>
      <c r="BNN17" s="180"/>
      <c r="BNO17" s="180"/>
      <c r="BNP17" s="180"/>
      <c r="BNQ17" s="180"/>
      <c r="BNR17" s="180"/>
      <c r="BNS17" s="180"/>
      <c r="BNT17" s="180"/>
      <c r="BNU17" s="180"/>
      <c r="BNV17" s="180"/>
      <c r="BNW17" s="180"/>
      <c r="BNX17" s="180"/>
      <c r="BNY17" s="180"/>
      <c r="BNZ17" s="180"/>
      <c r="BOA17" s="180"/>
      <c r="BOB17" s="180"/>
      <c r="BOC17" s="180"/>
      <c r="BOD17" s="180"/>
      <c r="BOE17" s="180"/>
      <c r="BOF17" s="180"/>
      <c r="BOG17" s="180"/>
      <c r="BOH17" s="180"/>
      <c r="BOI17" s="180"/>
      <c r="BOJ17" s="180"/>
      <c r="BOK17" s="180"/>
      <c r="BOL17" s="180"/>
      <c r="BOM17" s="180"/>
      <c r="BON17" s="180"/>
      <c r="BOO17" s="180"/>
      <c r="BOP17" s="180"/>
      <c r="BOQ17" s="180"/>
      <c r="BOR17" s="180"/>
      <c r="BOS17" s="180"/>
      <c r="BOT17" s="180"/>
      <c r="BOU17" s="180"/>
      <c r="BOV17" s="180"/>
      <c r="BOW17" s="180"/>
      <c r="BOX17" s="180"/>
      <c r="BOY17" s="180"/>
      <c r="BOZ17" s="180"/>
      <c r="BPA17" s="180"/>
      <c r="BPB17" s="180"/>
      <c r="BPC17" s="180"/>
      <c r="BPD17" s="180"/>
      <c r="BPE17" s="180"/>
      <c r="BPF17" s="180"/>
      <c r="BPG17" s="180"/>
      <c r="BPH17" s="180"/>
      <c r="BPI17" s="180"/>
      <c r="BPJ17" s="180"/>
      <c r="BPK17" s="180"/>
      <c r="BPL17" s="180"/>
      <c r="BPM17" s="180"/>
      <c r="BPN17" s="180"/>
      <c r="BPO17" s="180"/>
      <c r="BPP17" s="180"/>
      <c r="BPQ17" s="180"/>
      <c r="BPR17" s="180"/>
      <c r="BPS17" s="180"/>
      <c r="BPT17" s="180"/>
      <c r="BPU17" s="180"/>
      <c r="BPV17" s="180"/>
      <c r="BPW17" s="180"/>
      <c r="BPX17" s="180"/>
      <c r="BPY17" s="180"/>
      <c r="BPZ17" s="180"/>
      <c r="BQA17" s="180"/>
      <c r="BQB17" s="180"/>
      <c r="BQC17" s="180"/>
      <c r="BQD17" s="180"/>
      <c r="BQE17" s="180"/>
      <c r="BQF17" s="180"/>
      <c r="BQG17" s="180"/>
      <c r="BQH17" s="180"/>
      <c r="BQI17" s="180"/>
      <c r="BQJ17" s="180"/>
      <c r="BQK17" s="180"/>
      <c r="BQL17" s="180"/>
      <c r="BQM17" s="180"/>
      <c r="BQN17" s="180"/>
      <c r="BQO17" s="180"/>
      <c r="BQP17" s="180"/>
      <c r="BQQ17" s="180"/>
      <c r="BQR17" s="180"/>
      <c r="BQS17" s="180"/>
      <c r="BQT17" s="180"/>
      <c r="BQU17" s="180"/>
      <c r="BQV17" s="180"/>
      <c r="BQW17" s="180"/>
      <c r="BQX17" s="180"/>
      <c r="BQY17" s="180"/>
      <c r="BQZ17" s="180"/>
      <c r="BRA17" s="180"/>
      <c r="BRB17" s="180"/>
      <c r="BRC17" s="180"/>
      <c r="BRD17" s="180"/>
      <c r="BRE17" s="180"/>
      <c r="BRF17" s="180"/>
      <c r="BRG17" s="180"/>
      <c r="BRH17" s="180"/>
      <c r="BRI17" s="180"/>
      <c r="BRJ17" s="180"/>
      <c r="BRK17" s="180"/>
      <c r="BRL17" s="180"/>
      <c r="BRM17" s="180"/>
      <c r="BRN17" s="180"/>
      <c r="BRO17" s="180"/>
      <c r="BRP17" s="180"/>
      <c r="BRQ17" s="180"/>
      <c r="BRR17" s="180"/>
      <c r="BRS17" s="180"/>
      <c r="BRT17" s="180"/>
      <c r="BRU17" s="180"/>
      <c r="BRV17" s="180"/>
      <c r="BRW17" s="180"/>
      <c r="BRX17" s="180"/>
      <c r="BRY17" s="180"/>
      <c r="BRZ17" s="180"/>
      <c r="BSA17" s="180"/>
      <c r="BSB17" s="180"/>
      <c r="BSC17" s="180"/>
      <c r="BSD17" s="180"/>
      <c r="BSE17" s="180"/>
      <c r="BSF17" s="180"/>
      <c r="BSG17" s="180"/>
      <c r="BSH17" s="180"/>
      <c r="BSI17" s="180"/>
      <c r="BSJ17" s="180"/>
      <c r="BSK17" s="180"/>
      <c r="BSL17" s="180"/>
      <c r="BSM17" s="180"/>
      <c r="BSN17" s="180"/>
      <c r="BSO17" s="180"/>
      <c r="BSP17" s="180"/>
      <c r="BSQ17" s="180"/>
      <c r="BSR17" s="180"/>
      <c r="BSS17" s="180"/>
      <c r="BST17" s="180"/>
      <c r="BSU17" s="180"/>
      <c r="BSV17" s="180"/>
      <c r="BSW17" s="180"/>
      <c r="BSX17" s="180"/>
      <c r="BSY17" s="180"/>
      <c r="BSZ17" s="180"/>
      <c r="BTA17" s="180"/>
      <c r="BTB17" s="180"/>
      <c r="BTC17" s="180"/>
      <c r="BTD17" s="180"/>
      <c r="BTE17" s="180"/>
      <c r="BTF17" s="180"/>
      <c r="BTG17" s="180"/>
      <c r="BTH17" s="180"/>
      <c r="BTI17" s="180"/>
      <c r="BTJ17" s="180"/>
      <c r="BTK17" s="180"/>
      <c r="BTL17" s="180"/>
      <c r="BTM17" s="180"/>
      <c r="BTN17" s="180"/>
      <c r="BTO17" s="180"/>
      <c r="BTP17" s="180"/>
      <c r="BTQ17" s="180"/>
      <c r="BTR17" s="180"/>
      <c r="BTS17" s="180"/>
      <c r="BTT17" s="180"/>
      <c r="BTU17" s="180"/>
      <c r="BTV17" s="180"/>
      <c r="BTW17" s="180"/>
      <c r="BTX17" s="180"/>
      <c r="BTY17" s="180"/>
      <c r="BTZ17" s="180"/>
      <c r="BUA17" s="180"/>
      <c r="BUB17" s="180"/>
      <c r="BUC17" s="180"/>
      <c r="BUD17" s="180"/>
      <c r="BUE17" s="180"/>
      <c r="BUF17" s="180"/>
      <c r="BUG17" s="180"/>
      <c r="BUH17" s="180"/>
      <c r="BUI17" s="180"/>
      <c r="BUJ17" s="180"/>
      <c r="BUK17" s="180"/>
      <c r="BUL17" s="180"/>
      <c r="BUM17" s="180"/>
      <c r="BUN17" s="180"/>
      <c r="BUO17" s="180"/>
      <c r="BUP17" s="180"/>
      <c r="BUQ17" s="180"/>
      <c r="BUR17" s="180"/>
      <c r="BUS17" s="180"/>
      <c r="BUT17" s="180"/>
      <c r="BUU17" s="180"/>
      <c r="BUV17" s="180"/>
      <c r="BUW17" s="180"/>
      <c r="BUX17" s="180"/>
      <c r="BUY17" s="180"/>
      <c r="BUZ17" s="180"/>
      <c r="BVA17" s="180"/>
      <c r="BVB17" s="180"/>
      <c r="BVC17" s="180"/>
      <c r="BVD17" s="180"/>
      <c r="BVE17" s="180"/>
      <c r="BVF17" s="180"/>
      <c r="BVG17" s="180"/>
      <c r="BVH17" s="180"/>
      <c r="BVI17" s="180"/>
      <c r="BVJ17" s="180"/>
      <c r="BVK17" s="180"/>
      <c r="BVL17" s="180"/>
      <c r="BVM17" s="180"/>
      <c r="BVN17" s="180"/>
      <c r="BVO17" s="180"/>
      <c r="BVP17" s="180"/>
      <c r="BVQ17" s="180"/>
      <c r="BVR17" s="180"/>
      <c r="BVS17" s="180"/>
      <c r="BVT17" s="180"/>
      <c r="BVU17" s="180"/>
      <c r="BVV17" s="180"/>
      <c r="BVW17" s="180"/>
      <c r="BVX17" s="180"/>
      <c r="BVY17" s="180"/>
      <c r="BVZ17" s="180"/>
      <c r="BWA17" s="180"/>
      <c r="BWB17" s="180"/>
      <c r="BWC17" s="180"/>
      <c r="BWD17" s="180"/>
      <c r="BWE17" s="180"/>
      <c r="BWF17" s="180"/>
      <c r="BWG17" s="180"/>
      <c r="BWH17" s="180"/>
      <c r="BWI17" s="180"/>
      <c r="BWJ17" s="180"/>
      <c r="BWK17" s="180"/>
      <c r="BWL17" s="180"/>
      <c r="BWM17" s="180"/>
      <c r="BWN17" s="180"/>
      <c r="BWO17" s="180"/>
      <c r="BWP17" s="180"/>
      <c r="BWQ17" s="180"/>
      <c r="BWR17" s="180"/>
      <c r="BWS17" s="180"/>
      <c r="BWT17" s="180"/>
      <c r="BWU17" s="180"/>
      <c r="BWV17" s="180"/>
      <c r="BWW17" s="180"/>
      <c r="BWX17" s="180"/>
      <c r="BWY17" s="180"/>
      <c r="BWZ17" s="180"/>
      <c r="BXA17" s="180"/>
      <c r="BXB17" s="180"/>
      <c r="BXC17" s="180"/>
      <c r="BXD17" s="180"/>
      <c r="BXE17" s="180"/>
      <c r="BXF17" s="180"/>
      <c r="BXG17" s="180"/>
      <c r="BXH17" s="180"/>
      <c r="BXI17" s="180"/>
      <c r="BXJ17" s="180"/>
      <c r="BXK17" s="180"/>
      <c r="BXL17" s="180"/>
      <c r="BXM17" s="180"/>
      <c r="BXN17" s="180"/>
      <c r="BXO17" s="180"/>
      <c r="BXP17" s="180"/>
      <c r="BXQ17" s="180"/>
      <c r="BXR17" s="180"/>
      <c r="BXS17" s="180"/>
      <c r="BXT17" s="180"/>
      <c r="BXU17" s="180"/>
      <c r="BXV17" s="180"/>
      <c r="BXW17" s="180"/>
      <c r="BXX17" s="180"/>
      <c r="BXY17" s="180"/>
      <c r="BXZ17" s="180"/>
      <c r="BYA17" s="180"/>
      <c r="BYB17" s="180"/>
      <c r="BYC17" s="180"/>
    </row>
    <row r="18" spans="1:2005">
      <c r="A18" s="1908" t="s">
        <v>5</v>
      </c>
      <c r="B18" s="660" t="s">
        <v>102</v>
      </c>
      <c r="C18" s="1079">
        <f>AVERAGE(FeedNutrientComposition!C86:C88,FeedNutrientComposition!C92:C101)*0.02</f>
        <v>1.7092307692307693</v>
      </c>
      <c r="D18" s="711">
        <f>STDEV(FeedNutrientComposition!C86:C88,FeedNutrientComposition!C92:C101)*0.02</f>
        <v>0.14597154622628447</v>
      </c>
      <c r="E18" s="362">
        <f>AVERAGE(FeedNutrientComposition!C231:C232)*0.02</f>
        <v>1.44</v>
      </c>
      <c r="F18" s="1229">
        <f>STDEV(FeedNutrientComposition!C231:C232)*0.02</f>
        <v>0.50911688245431419</v>
      </c>
      <c r="G18" s="462">
        <f>AVERAGE(FeedNutrientComposition!C32:C38,FeedNutrientComposition!C40)*0.02</f>
        <v>1.4175</v>
      </c>
      <c r="H18" s="710">
        <f>STDEV(FeedNutrientComposition!C32:C38,FeedNutrientComposition!B40)*0.02</f>
        <v>0.26141100643567838</v>
      </c>
      <c r="I18" s="362">
        <f>AVERAGE(FeedNutrientComposition!C181:C184)*0.02</f>
        <v>1.08</v>
      </c>
      <c r="J18" s="1229">
        <f>STDEV(FeedNutrientComposition!C181:C184)*0.02</f>
        <v>0.52484918468705533</v>
      </c>
      <c r="K18" s="539"/>
      <c r="L18" s="751"/>
      <c r="M18" s="462">
        <f>AVERAGE(FeedNutrientComposition!C234,FeedNutrientComposition!C235,FeedNutrientComposition!C239,FeedNutrientComposition!C240,FeedNutrientComposition!C241)*0.02</f>
        <v>1.756</v>
      </c>
      <c r="N18" s="711">
        <f>STDEV(FeedNutrientComposition!C231:C232,FeedNutrientComposition!C235:C240)*0.02</f>
        <v>0.42828561898407402</v>
      </c>
      <c r="O18" s="362">
        <f>AVERAGE(FeedNutrientComposition!C268:C273)*0.02</f>
        <v>1.5666666666666667</v>
      </c>
      <c r="P18" s="664">
        <f>STDEV(FeedNutrientComposition!C268:C273)*0.02</f>
        <v>0.23955514326907462</v>
      </c>
      <c r="Q18" s="636"/>
      <c r="R18" s="757"/>
      <c r="S18" s="362">
        <f>0.02*AVERAGE(FeedNutrientComposition!C102:C104)</f>
        <v>1.3466666666666667</v>
      </c>
      <c r="T18" s="409">
        <f>0.02*STDEV(FeedNutrientComposition!C102:C104)</f>
        <v>8.0829037686547617E-2</v>
      </c>
      <c r="U18" s="180">
        <f>0.02*FeedNutrientComposition!C230</f>
        <v>1.18</v>
      </c>
      <c r="V18" s="180">
        <f>0.1*U18</f>
        <v>0.11799999999999999</v>
      </c>
      <c r="W18" s="407">
        <f>0.02*AVERAGE(FeedNutrientComposition!C9:C12,FeedNutrientComposition!C26,FeedNutrientComposition!C37,FeedNutrientComposition!C49:C50,FeedNutrientComposition!C53,FeedNutrientComposition!C65:C66,FeedNutrientComposition!C71,FeedNutrientComposition!C80,FeedNutrientComposition!C82,FeedNutrientComposition!C83,FeedNutrientComposition!C133,FeedNutrientComposition!C138:C139,FeedNutrientComposition!C147,FeedNutrientComposition!C155,FeedNutrientComposition!C157,FeedNutrientComposition!C160,FeedNutrientComposition!C165,FeedNutrientComposition!C181,FeedNutrientComposition!C189:C190,FeedNutrientComposition!C209,FeedNutrientComposition!C219,FeedNutrientComposition!C226,FeedNutrientComposition!C233,FeedNutrientComposition!C244,FeedNutrientComposition!C257,FeedNutrientComposition!C262,FeedNutrientComposition!C270)</f>
        <v>1.1100000000000001</v>
      </c>
      <c r="X18" s="180">
        <f>0.02*STDEV(FeedNutrientComposition!C9:C12,FeedNutrientComposition!C26,FeedNutrientComposition!C37,FeedNutrientComposition!C49:C50,FeedNutrientComposition!C53,FeedNutrientComposition!C65:C66,FeedNutrientComposition!C71,FeedNutrientComposition!C80,FeedNutrientComposition!C82,FeedNutrientComposition!C83,FeedNutrientComposition!C133,FeedNutrientComposition!C138:C139,FeedNutrientComposition!C147,FeedNutrientComposition!C155,FeedNutrientComposition!C157,FeedNutrientComposition!C160,FeedNutrientComposition!C165,FeedNutrientComposition!B181,FeedNutrientComposition!B189:B190,FeedNutrientComposition!C209,FeedNutrientComposition!C219,FeedNutrientComposition!C226,FeedNutrientComposition!C233,FeedNutrientComposition!C244,FeedNutrientComposition!C257,FeedNutrientComposition!C262,FeedNutrientComposition!C270)</f>
        <v>0.20629660387426033</v>
      </c>
      <c r="Y18" s="645"/>
      <c r="Z18" s="773"/>
      <c r="AA18" s="1185">
        <f>(2.39/2.2046 + 2.71/2.2046 +FeedNutrientComposition!C264*0.02)/3</f>
        <v>1.2444482748193171</v>
      </c>
      <c r="AB18" s="1188">
        <f>STDEV(2.39/2.2046,2.71/2.2046,FeedNutrientComposition!C264*0.02)/3</f>
        <v>5.6155550661095309E-2</v>
      </c>
      <c r="AC18" s="645"/>
      <c r="AD18" s="180"/>
      <c r="AE18" s="1600"/>
      <c r="AF18" s="180"/>
      <c r="AG18" s="180"/>
      <c r="AH18" s="180"/>
      <c r="AI18" s="180"/>
      <c r="AJ18" s="180"/>
      <c r="AK18" s="180"/>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80"/>
      <c r="BJ18" s="180"/>
      <c r="BK18" s="180"/>
      <c r="BL18" s="180"/>
      <c r="BM18" s="180"/>
      <c r="BN18" s="180"/>
      <c r="BO18" s="180"/>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80"/>
      <c r="CN18" s="180"/>
      <c r="CO18" s="180"/>
      <c r="CP18" s="180"/>
      <c r="CQ18" s="180"/>
      <c r="CR18" s="180"/>
      <c r="CS18" s="180"/>
      <c r="CT18" s="180"/>
      <c r="CU18" s="180"/>
      <c r="CV18" s="180"/>
      <c r="CW18" s="180"/>
      <c r="CX18" s="180"/>
      <c r="CY18" s="180"/>
      <c r="CZ18" s="180"/>
      <c r="DA18" s="180"/>
      <c r="DB18" s="180"/>
      <c r="DC18" s="180"/>
      <c r="DD18" s="180"/>
      <c r="DE18" s="180"/>
      <c r="DF18" s="180"/>
      <c r="DG18" s="180"/>
      <c r="DH18" s="180"/>
      <c r="DI18" s="180"/>
      <c r="DJ18" s="180"/>
      <c r="DK18" s="180"/>
      <c r="DL18" s="180"/>
      <c r="DM18" s="180"/>
      <c r="DN18" s="180"/>
      <c r="DO18" s="180"/>
      <c r="DP18" s="180"/>
      <c r="DQ18" s="180"/>
      <c r="DR18" s="180"/>
      <c r="DS18" s="180"/>
      <c r="DT18" s="180"/>
      <c r="DU18" s="180"/>
      <c r="DV18" s="180"/>
      <c r="DW18" s="180"/>
      <c r="DX18" s="180"/>
      <c r="DY18" s="180"/>
      <c r="DZ18" s="180"/>
      <c r="EA18" s="180"/>
      <c r="EB18" s="180"/>
      <c r="EC18" s="180"/>
      <c r="ED18" s="180"/>
      <c r="EE18" s="180"/>
      <c r="EF18" s="180"/>
      <c r="EG18" s="180"/>
      <c r="EH18" s="180"/>
      <c r="EI18" s="180"/>
      <c r="EJ18" s="180"/>
      <c r="EK18" s="180"/>
      <c r="EL18" s="180"/>
      <c r="EM18" s="180"/>
      <c r="EN18" s="180"/>
      <c r="EO18" s="180"/>
      <c r="EP18" s="180"/>
      <c r="EQ18" s="180"/>
      <c r="ER18" s="180"/>
      <c r="ES18" s="180"/>
      <c r="ET18" s="180"/>
      <c r="EU18" s="180"/>
      <c r="EV18" s="180"/>
      <c r="EW18" s="180"/>
      <c r="EX18" s="180"/>
      <c r="EY18" s="180"/>
      <c r="EZ18" s="180"/>
      <c r="FA18" s="180"/>
      <c r="FB18" s="180"/>
      <c r="FC18" s="180"/>
      <c r="FD18" s="180"/>
      <c r="FE18" s="180"/>
      <c r="FF18" s="180"/>
      <c r="FG18" s="180"/>
      <c r="FH18" s="180"/>
      <c r="FI18" s="180"/>
      <c r="FJ18" s="180"/>
      <c r="FK18" s="180"/>
      <c r="FL18" s="180"/>
      <c r="FM18" s="180"/>
      <c r="FN18" s="180"/>
      <c r="FO18" s="180"/>
      <c r="FP18" s="180"/>
      <c r="FQ18" s="180"/>
      <c r="FR18" s="180"/>
      <c r="FS18" s="180"/>
      <c r="FT18" s="180"/>
      <c r="FU18" s="180"/>
      <c r="FV18" s="180"/>
      <c r="FW18" s="180"/>
      <c r="FX18" s="180"/>
      <c r="FY18" s="180"/>
      <c r="FZ18" s="180"/>
      <c r="GA18" s="180"/>
      <c r="GB18" s="180"/>
      <c r="GC18" s="180"/>
      <c r="GD18" s="180"/>
      <c r="GE18" s="180"/>
      <c r="GF18" s="180"/>
      <c r="GG18" s="180"/>
      <c r="GH18" s="180"/>
      <c r="GI18" s="180"/>
      <c r="GJ18" s="180"/>
      <c r="GK18" s="180"/>
      <c r="GL18" s="180"/>
      <c r="GM18" s="180"/>
      <c r="GN18" s="180"/>
      <c r="GO18" s="180"/>
      <c r="GP18" s="180"/>
      <c r="GQ18" s="180"/>
      <c r="GR18" s="180"/>
      <c r="GS18" s="180"/>
      <c r="GT18" s="180"/>
      <c r="GU18" s="180"/>
      <c r="GV18" s="180"/>
      <c r="GW18" s="180"/>
      <c r="GX18" s="180"/>
      <c r="GY18" s="180"/>
      <c r="GZ18" s="180"/>
      <c r="HA18" s="180"/>
      <c r="HB18" s="180"/>
      <c r="HC18" s="180"/>
      <c r="HD18" s="180"/>
      <c r="HE18" s="180"/>
      <c r="HF18" s="180"/>
      <c r="HG18" s="180"/>
      <c r="HH18" s="180"/>
      <c r="HI18" s="180"/>
      <c r="HJ18" s="180"/>
      <c r="HK18" s="180"/>
      <c r="HL18" s="180"/>
      <c r="HM18" s="180"/>
      <c r="HN18" s="180"/>
      <c r="HO18" s="180"/>
      <c r="HP18" s="180"/>
      <c r="HQ18" s="180"/>
      <c r="HR18" s="180"/>
      <c r="HS18" s="180"/>
      <c r="HT18" s="180"/>
      <c r="HU18" s="180"/>
      <c r="HV18" s="180"/>
      <c r="HW18" s="180"/>
      <c r="HX18" s="180"/>
      <c r="HY18" s="180"/>
      <c r="HZ18" s="180"/>
      <c r="IA18" s="180"/>
      <c r="IB18" s="180"/>
      <c r="IC18" s="180"/>
      <c r="ID18" s="180"/>
      <c r="IE18" s="180"/>
      <c r="IF18" s="180"/>
      <c r="IG18" s="180"/>
      <c r="IH18" s="180"/>
      <c r="II18" s="180"/>
      <c r="IJ18" s="180"/>
      <c r="IK18" s="180"/>
      <c r="IL18" s="180"/>
      <c r="IM18" s="180"/>
      <c r="IN18" s="180"/>
      <c r="IO18" s="180"/>
      <c r="IP18" s="180"/>
      <c r="IQ18" s="180"/>
      <c r="IR18" s="180"/>
      <c r="IS18" s="180"/>
      <c r="IT18" s="180"/>
      <c r="IU18" s="180"/>
      <c r="IV18" s="180"/>
      <c r="IW18" s="180"/>
      <c r="IX18" s="180"/>
      <c r="IY18" s="180"/>
      <c r="IZ18" s="180"/>
      <c r="JA18" s="180"/>
      <c r="JB18" s="180"/>
      <c r="JC18" s="180"/>
      <c r="JD18" s="180"/>
      <c r="JE18" s="180"/>
      <c r="JF18" s="180"/>
      <c r="JG18" s="180"/>
      <c r="JH18" s="180"/>
      <c r="JI18" s="180"/>
      <c r="JJ18" s="180"/>
      <c r="JK18" s="180"/>
      <c r="JL18" s="180"/>
      <c r="JM18" s="180"/>
      <c r="JN18" s="180"/>
      <c r="JO18" s="180"/>
      <c r="JP18" s="180"/>
      <c r="JQ18" s="180"/>
      <c r="JR18" s="180"/>
      <c r="JS18" s="180"/>
      <c r="JT18" s="180"/>
      <c r="JU18" s="180"/>
      <c r="JV18" s="180"/>
      <c r="JW18" s="180"/>
      <c r="JX18" s="180"/>
      <c r="JY18" s="180"/>
      <c r="JZ18" s="180"/>
      <c r="KA18" s="180"/>
      <c r="KB18" s="180"/>
      <c r="KC18" s="180"/>
      <c r="KD18" s="180"/>
      <c r="KE18" s="180"/>
      <c r="KF18" s="180"/>
      <c r="KG18" s="180"/>
      <c r="KH18" s="180"/>
      <c r="KI18" s="180"/>
      <c r="KJ18" s="180"/>
      <c r="KK18" s="180"/>
      <c r="KL18" s="180"/>
      <c r="KM18" s="180"/>
      <c r="KN18" s="180"/>
      <c r="KO18" s="180"/>
      <c r="KP18" s="180"/>
      <c r="KQ18" s="180"/>
      <c r="KR18" s="180"/>
      <c r="KS18" s="180"/>
      <c r="KT18" s="180"/>
      <c r="KU18" s="180"/>
      <c r="KV18" s="180"/>
      <c r="KW18" s="180"/>
      <c r="KX18" s="180"/>
      <c r="KY18" s="180"/>
      <c r="KZ18" s="180"/>
      <c r="LA18" s="180"/>
      <c r="LB18" s="180"/>
      <c r="LC18" s="180"/>
      <c r="LD18" s="180"/>
      <c r="LE18" s="180"/>
      <c r="LF18" s="180"/>
      <c r="LG18" s="180"/>
      <c r="LH18" s="180"/>
      <c r="LI18" s="180"/>
      <c r="LJ18" s="180"/>
      <c r="LK18" s="180"/>
      <c r="LL18" s="180"/>
      <c r="LM18" s="180"/>
      <c r="LN18" s="180"/>
      <c r="LO18" s="180"/>
      <c r="LP18" s="180"/>
      <c r="LQ18" s="180"/>
      <c r="LR18" s="180"/>
      <c r="LS18" s="180"/>
      <c r="LT18" s="180"/>
      <c r="LU18" s="180"/>
      <c r="LV18" s="180"/>
      <c r="LW18" s="180"/>
      <c r="LX18" s="180"/>
      <c r="LY18" s="180"/>
      <c r="LZ18" s="180"/>
      <c r="MA18" s="180"/>
      <c r="MB18" s="180"/>
      <c r="MC18" s="180"/>
      <c r="MD18" s="180"/>
      <c r="ME18" s="180"/>
      <c r="MF18" s="180"/>
      <c r="MG18" s="180"/>
      <c r="MH18" s="180"/>
      <c r="MI18" s="180"/>
      <c r="MJ18" s="180"/>
      <c r="MK18" s="180"/>
      <c r="ML18" s="180"/>
      <c r="MM18" s="180"/>
      <c r="MN18" s="180"/>
      <c r="MO18" s="180"/>
      <c r="MP18" s="180"/>
      <c r="MQ18" s="180"/>
      <c r="MR18" s="180"/>
      <c r="MS18" s="180"/>
      <c r="MT18" s="180"/>
      <c r="MU18" s="180"/>
      <c r="MV18" s="180"/>
      <c r="MW18" s="180"/>
      <c r="MX18" s="180"/>
      <c r="MY18" s="180"/>
      <c r="MZ18" s="180"/>
      <c r="NA18" s="180"/>
      <c r="NB18" s="180"/>
      <c r="NC18" s="180"/>
      <c r="ND18" s="180"/>
      <c r="NE18" s="180"/>
      <c r="NF18" s="180"/>
      <c r="NG18" s="180"/>
      <c r="NH18" s="180"/>
      <c r="NI18" s="180"/>
      <c r="NJ18" s="180"/>
      <c r="NK18" s="180"/>
      <c r="NL18" s="180"/>
      <c r="NM18" s="180"/>
      <c r="NN18" s="180"/>
      <c r="NO18" s="180"/>
      <c r="NP18" s="180"/>
      <c r="NQ18" s="180"/>
      <c r="NR18" s="180"/>
      <c r="NS18" s="180"/>
      <c r="NT18" s="180"/>
      <c r="NU18" s="180"/>
      <c r="NV18" s="180"/>
      <c r="NW18" s="180"/>
      <c r="NX18" s="180"/>
      <c r="NY18" s="180"/>
      <c r="NZ18" s="180"/>
      <c r="OA18" s="180"/>
      <c r="OB18" s="180"/>
      <c r="OC18" s="180"/>
      <c r="OD18" s="180"/>
      <c r="OE18" s="180"/>
      <c r="OF18" s="180"/>
      <c r="OG18" s="180"/>
      <c r="OH18" s="180"/>
      <c r="OI18" s="180"/>
      <c r="OJ18" s="180"/>
      <c r="OK18" s="180"/>
      <c r="OL18" s="180"/>
      <c r="OM18" s="180"/>
      <c r="ON18" s="180"/>
      <c r="OO18" s="180"/>
      <c r="OP18" s="180"/>
      <c r="OQ18" s="180"/>
      <c r="OR18" s="180"/>
      <c r="OS18" s="180"/>
      <c r="OT18" s="180"/>
      <c r="OU18" s="180"/>
      <c r="OV18" s="180"/>
      <c r="OW18" s="180"/>
      <c r="OX18" s="180"/>
      <c r="OY18" s="180"/>
      <c r="OZ18" s="180"/>
      <c r="PA18" s="180"/>
      <c r="PB18" s="180"/>
      <c r="PC18" s="180"/>
      <c r="PD18" s="180"/>
      <c r="PE18" s="180"/>
      <c r="PF18" s="180"/>
      <c r="PG18" s="180"/>
      <c r="PH18" s="180"/>
      <c r="PI18" s="180"/>
      <c r="PJ18" s="180"/>
      <c r="PK18" s="180"/>
      <c r="PL18" s="180"/>
      <c r="PM18" s="180"/>
      <c r="PN18" s="180"/>
      <c r="PO18" s="180"/>
      <c r="PP18" s="180"/>
      <c r="PQ18" s="180"/>
      <c r="PR18" s="180"/>
      <c r="PS18" s="180"/>
      <c r="PT18" s="180"/>
      <c r="PU18" s="180"/>
      <c r="PV18" s="180"/>
      <c r="PW18" s="180"/>
      <c r="PX18" s="180"/>
      <c r="PY18" s="180"/>
      <c r="PZ18" s="180"/>
      <c r="QA18" s="180"/>
      <c r="QB18" s="180"/>
      <c r="QC18" s="180"/>
      <c r="QD18" s="180"/>
      <c r="QE18" s="180"/>
      <c r="QF18" s="180"/>
      <c r="QG18" s="180"/>
      <c r="QH18" s="180"/>
      <c r="QI18" s="180"/>
      <c r="QJ18" s="180"/>
      <c r="QK18" s="180"/>
      <c r="QL18" s="180"/>
      <c r="QM18" s="180"/>
      <c r="QN18" s="180"/>
      <c r="QO18" s="180"/>
      <c r="QP18" s="180"/>
      <c r="QQ18" s="180"/>
      <c r="QR18" s="180"/>
      <c r="QS18" s="180"/>
      <c r="QT18" s="180"/>
      <c r="QU18" s="180"/>
      <c r="QV18" s="180"/>
      <c r="QW18" s="180"/>
      <c r="QX18" s="180"/>
      <c r="QY18" s="180"/>
      <c r="QZ18" s="180"/>
      <c r="RA18" s="180"/>
      <c r="RB18" s="180"/>
      <c r="RC18" s="180"/>
      <c r="RD18" s="180"/>
      <c r="RE18" s="180"/>
      <c r="RF18" s="180"/>
      <c r="RG18" s="180"/>
      <c r="RH18" s="180"/>
      <c r="RI18" s="180"/>
      <c r="RJ18" s="180"/>
      <c r="RK18" s="180"/>
      <c r="RL18" s="180"/>
      <c r="RM18" s="180"/>
      <c r="RN18" s="180"/>
      <c r="RO18" s="180"/>
      <c r="RP18" s="180"/>
      <c r="RQ18" s="180"/>
      <c r="RR18" s="180"/>
      <c r="RS18" s="180"/>
      <c r="RT18" s="180"/>
      <c r="RU18" s="180"/>
      <c r="RV18" s="180"/>
      <c r="RW18" s="180"/>
      <c r="RX18" s="180"/>
      <c r="RY18" s="180"/>
      <c r="RZ18" s="180"/>
      <c r="SA18" s="180"/>
      <c r="SB18" s="180"/>
      <c r="SC18" s="180"/>
      <c r="SD18" s="180"/>
      <c r="SE18" s="180"/>
      <c r="SF18" s="180"/>
      <c r="SG18" s="180"/>
      <c r="SH18" s="180"/>
      <c r="SI18" s="180"/>
      <c r="SJ18" s="180"/>
      <c r="SK18" s="180"/>
      <c r="SL18" s="180"/>
      <c r="SM18" s="180"/>
      <c r="SN18" s="180"/>
      <c r="SO18" s="180"/>
      <c r="SP18" s="180"/>
      <c r="SQ18" s="180"/>
      <c r="SR18" s="180"/>
      <c r="SS18" s="180"/>
      <c r="ST18" s="180"/>
      <c r="SU18" s="180"/>
      <c r="SV18" s="180"/>
      <c r="SW18" s="180"/>
      <c r="SX18" s="180"/>
      <c r="SY18" s="180"/>
      <c r="SZ18" s="180"/>
      <c r="TA18" s="180"/>
      <c r="TB18" s="180"/>
      <c r="TC18" s="180"/>
      <c r="TD18" s="180"/>
      <c r="TE18" s="180"/>
      <c r="TF18" s="180"/>
      <c r="TG18" s="180"/>
      <c r="TH18" s="180"/>
      <c r="TI18" s="180"/>
      <c r="TJ18" s="180"/>
      <c r="TK18" s="180"/>
      <c r="TL18" s="180"/>
      <c r="TM18" s="180"/>
      <c r="TN18" s="180"/>
      <c r="TO18" s="180"/>
      <c r="TP18" s="180"/>
      <c r="TQ18" s="180"/>
      <c r="TR18" s="180"/>
      <c r="TS18" s="180"/>
      <c r="TT18" s="180"/>
      <c r="TU18" s="180"/>
      <c r="TV18" s="180"/>
      <c r="TW18" s="180"/>
      <c r="TX18" s="180"/>
      <c r="TY18" s="180"/>
      <c r="TZ18" s="180"/>
      <c r="UA18" s="180"/>
      <c r="UB18" s="180"/>
      <c r="UC18" s="180"/>
      <c r="UD18" s="180"/>
      <c r="UE18" s="180"/>
      <c r="UF18" s="180"/>
      <c r="UG18" s="180"/>
      <c r="UH18" s="180"/>
      <c r="UI18" s="180"/>
      <c r="UJ18" s="180"/>
      <c r="UK18" s="180"/>
      <c r="UL18" s="180"/>
      <c r="UM18" s="180"/>
      <c r="UN18" s="180"/>
      <c r="UO18" s="180"/>
      <c r="UP18" s="180"/>
      <c r="UQ18" s="180"/>
      <c r="UR18" s="180"/>
      <c r="US18" s="180"/>
      <c r="UT18" s="180"/>
      <c r="UU18" s="180"/>
      <c r="UV18" s="180"/>
      <c r="UW18" s="180"/>
      <c r="UX18" s="180"/>
      <c r="UY18" s="180"/>
      <c r="UZ18" s="180"/>
      <c r="VA18" s="180"/>
      <c r="VB18" s="180"/>
      <c r="VC18" s="180"/>
      <c r="VD18" s="180"/>
      <c r="VE18" s="180"/>
      <c r="VF18" s="180"/>
      <c r="VG18" s="180"/>
      <c r="VH18" s="180"/>
      <c r="VI18" s="180"/>
      <c r="VJ18" s="180"/>
      <c r="VK18" s="180"/>
      <c r="VL18" s="180"/>
      <c r="VM18" s="180"/>
      <c r="VN18" s="180"/>
      <c r="VO18" s="180"/>
      <c r="VP18" s="180"/>
      <c r="VQ18" s="180"/>
      <c r="VR18" s="180"/>
      <c r="VS18" s="180"/>
      <c r="VT18" s="180"/>
      <c r="VU18" s="180"/>
      <c r="VV18" s="180"/>
      <c r="VW18" s="180"/>
      <c r="VX18" s="180"/>
      <c r="VY18" s="180"/>
      <c r="VZ18" s="180"/>
      <c r="WA18" s="180"/>
      <c r="WB18" s="180"/>
      <c r="WC18" s="180"/>
      <c r="WD18" s="180"/>
      <c r="WE18" s="180"/>
      <c r="WF18" s="180"/>
      <c r="WG18" s="180"/>
      <c r="WH18" s="180"/>
      <c r="WI18" s="180"/>
      <c r="WJ18" s="180"/>
      <c r="WK18" s="180"/>
      <c r="WL18" s="180"/>
      <c r="WM18" s="180"/>
      <c r="WN18" s="180"/>
      <c r="WO18" s="180"/>
      <c r="WP18" s="180"/>
      <c r="WQ18" s="180"/>
      <c r="WR18" s="180"/>
      <c r="WS18" s="180"/>
      <c r="WT18" s="180"/>
      <c r="WU18" s="180"/>
      <c r="WV18" s="180"/>
      <c r="WW18" s="180"/>
      <c r="WX18" s="180"/>
      <c r="WY18" s="180"/>
      <c r="WZ18" s="180"/>
      <c r="XA18" s="180"/>
      <c r="XB18" s="180"/>
      <c r="XC18" s="180"/>
      <c r="XD18" s="180"/>
      <c r="XE18" s="180"/>
      <c r="XF18" s="180"/>
      <c r="XG18" s="180"/>
      <c r="XH18" s="180"/>
      <c r="XI18" s="180"/>
      <c r="XJ18" s="180"/>
      <c r="XK18" s="180"/>
      <c r="XL18" s="180"/>
      <c r="XM18" s="180"/>
      <c r="XN18" s="180"/>
      <c r="XO18" s="180"/>
      <c r="XP18" s="180"/>
      <c r="XQ18" s="180"/>
      <c r="XR18" s="180"/>
      <c r="XS18" s="180"/>
      <c r="XT18" s="180"/>
      <c r="XU18" s="180"/>
      <c r="XV18" s="180"/>
      <c r="XW18" s="180"/>
      <c r="XX18" s="180"/>
      <c r="XY18" s="180"/>
      <c r="XZ18" s="180"/>
      <c r="YA18" s="180"/>
      <c r="YB18" s="180"/>
      <c r="YC18" s="180"/>
      <c r="YD18" s="180"/>
      <c r="YE18" s="180"/>
      <c r="YF18" s="180"/>
      <c r="YG18" s="180"/>
      <c r="YH18" s="180"/>
      <c r="YI18" s="180"/>
      <c r="YJ18" s="180"/>
      <c r="YK18" s="180"/>
      <c r="YL18" s="180"/>
      <c r="YM18" s="180"/>
      <c r="YN18" s="180"/>
      <c r="YO18" s="180"/>
      <c r="YP18" s="180"/>
      <c r="YQ18" s="180"/>
      <c r="YR18" s="180"/>
      <c r="YS18" s="180"/>
      <c r="YT18" s="180"/>
      <c r="YU18" s="180"/>
      <c r="YV18" s="180"/>
      <c r="YW18" s="180"/>
      <c r="YX18" s="180"/>
      <c r="YY18" s="180"/>
      <c r="YZ18" s="180"/>
      <c r="ZA18" s="180"/>
      <c r="ZB18" s="180"/>
      <c r="ZC18" s="180"/>
      <c r="ZD18" s="180"/>
      <c r="ZE18" s="180"/>
      <c r="ZF18" s="180"/>
      <c r="ZG18" s="180"/>
      <c r="ZH18" s="180"/>
      <c r="ZI18" s="180"/>
      <c r="ZJ18" s="180"/>
      <c r="ZK18" s="180"/>
      <c r="ZL18" s="180"/>
      <c r="ZM18" s="180"/>
      <c r="ZN18" s="180"/>
      <c r="ZO18" s="180"/>
      <c r="ZP18" s="180"/>
      <c r="ZQ18" s="180"/>
      <c r="ZR18" s="180"/>
      <c r="ZS18" s="180"/>
      <c r="ZT18" s="180"/>
      <c r="ZU18" s="180"/>
      <c r="ZV18" s="180"/>
      <c r="ZW18" s="180"/>
      <c r="ZX18" s="180"/>
      <c r="ZY18" s="180"/>
      <c r="ZZ18" s="180"/>
      <c r="AAA18" s="180"/>
      <c r="AAB18" s="180"/>
      <c r="AAC18" s="180"/>
      <c r="AAD18" s="180"/>
      <c r="AAE18" s="180"/>
      <c r="AAF18" s="180"/>
      <c r="AAG18" s="180"/>
      <c r="AAH18" s="180"/>
      <c r="AAI18" s="180"/>
      <c r="AAJ18" s="180"/>
      <c r="AAK18" s="180"/>
      <c r="AAL18" s="180"/>
      <c r="AAM18" s="180"/>
      <c r="AAN18" s="180"/>
      <c r="AAO18" s="180"/>
      <c r="AAP18" s="180"/>
      <c r="AAQ18" s="180"/>
      <c r="AAR18" s="180"/>
      <c r="AAS18" s="180"/>
      <c r="AAT18" s="180"/>
      <c r="AAU18" s="180"/>
      <c r="AAV18" s="180"/>
      <c r="AAW18" s="180"/>
      <c r="AAX18" s="180"/>
      <c r="AAY18" s="180"/>
      <c r="AAZ18" s="180"/>
      <c r="ABA18" s="180"/>
      <c r="ABB18" s="180"/>
      <c r="ABC18" s="180"/>
      <c r="ABD18" s="180"/>
      <c r="ABE18" s="180"/>
      <c r="ABF18" s="180"/>
      <c r="ABG18" s="180"/>
      <c r="ABH18" s="180"/>
      <c r="ABI18" s="180"/>
      <c r="ABJ18" s="180"/>
      <c r="ABK18" s="180"/>
      <c r="ABL18" s="180"/>
      <c r="ABM18" s="180"/>
      <c r="ABN18" s="180"/>
      <c r="ABO18" s="180"/>
      <c r="ABP18" s="180"/>
      <c r="ABQ18" s="180"/>
      <c r="ABR18" s="180"/>
      <c r="ABS18" s="180"/>
      <c r="ABT18" s="180"/>
      <c r="ABU18" s="180"/>
      <c r="ABV18" s="180"/>
      <c r="ABW18" s="180"/>
      <c r="ABX18" s="180"/>
      <c r="ABY18" s="180"/>
      <c r="ABZ18" s="180"/>
      <c r="ACA18" s="180"/>
      <c r="ACB18" s="180"/>
      <c r="ACC18" s="180"/>
      <c r="ACD18" s="180"/>
      <c r="ACE18" s="180"/>
      <c r="ACF18" s="180"/>
      <c r="ACG18" s="180"/>
      <c r="ACH18" s="180"/>
      <c r="ACI18" s="180"/>
      <c r="ACJ18" s="180"/>
      <c r="ACK18" s="180"/>
      <c r="ACL18" s="180"/>
      <c r="ACM18" s="180"/>
      <c r="ACN18" s="180"/>
      <c r="ACO18" s="180"/>
      <c r="ACP18" s="180"/>
      <c r="ACQ18" s="180"/>
      <c r="ACR18" s="180"/>
      <c r="ACS18" s="180"/>
      <c r="ACT18" s="180"/>
      <c r="ACU18" s="180"/>
      <c r="ACV18" s="180"/>
      <c r="ACW18" s="180"/>
      <c r="ACX18" s="180"/>
      <c r="ACY18" s="180"/>
      <c r="ACZ18" s="180"/>
      <c r="ADA18" s="180"/>
      <c r="ADB18" s="180"/>
      <c r="ADC18" s="180"/>
      <c r="ADD18" s="180"/>
      <c r="ADE18" s="180"/>
      <c r="ADF18" s="180"/>
      <c r="ADG18" s="180"/>
      <c r="ADH18" s="180"/>
      <c r="ADI18" s="180"/>
      <c r="ADJ18" s="180"/>
      <c r="ADK18" s="180"/>
      <c r="ADL18" s="180"/>
      <c r="ADM18" s="180"/>
      <c r="ADN18" s="180"/>
      <c r="ADO18" s="180"/>
      <c r="ADP18" s="180"/>
      <c r="ADQ18" s="180"/>
      <c r="ADR18" s="180"/>
      <c r="ADS18" s="180"/>
      <c r="ADT18" s="180"/>
      <c r="ADU18" s="180"/>
      <c r="ADV18" s="180"/>
      <c r="ADW18" s="180"/>
      <c r="ADX18" s="180"/>
      <c r="ADY18" s="180"/>
      <c r="ADZ18" s="180"/>
      <c r="AEA18" s="180"/>
      <c r="AEB18" s="180"/>
      <c r="AEC18" s="180"/>
      <c r="AED18" s="180"/>
      <c r="AEE18" s="180"/>
      <c r="AEF18" s="180"/>
      <c r="AEG18" s="180"/>
      <c r="AEH18" s="180"/>
      <c r="AEI18" s="180"/>
      <c r="AEJ18" s="180"/>
      <c r="AEK18" s="180"/>
      <c r="AEL18" s="180"/>
      <c r="AEM18" s="180"/>
      <c r="AEN18" s="180"/>
      <c r="AEO18" s="180"/>
      <c r="AEP18" s="180"/>
      <c r="AEQ18" s="180"/>
      <c r="AER18" s="180"/>
      <c r="AES18" s="180"/>
      <c r="AET18" s="180"/>
      <c r="AEU18" s="180"/>
      <c r="AEV18" s="180"/>
      <c r="AEW18" s="180"/>
      <c r="AEX18" s="180"/>
      <c r="AEY18" s="180"/>
      <c r="AEZ18" s="180"/>
      <c r="AFA18" s="180"/>
      <c r="AFB18" s="180"/>
      <c r="AFC18" s="180"/>
      <c r="AFD18" s="180"/>
      <c r="AFE18" s="180"/>
      <c r="AFF18" s="180"/>
      <c r="AFG18" s="180"/>
      <c r="AFH18" s="180"/>
      <c r="AFI18" s="180"/>
      <c r="AFJ18" s="180"/>
      <c r="AFK18" s="180"/>
      <c r="AFL18" s="180"/>
      <c r="AFM18" s="180"/>
      <c r="AFN18" s="180"/>
      <c r="AFO18" s="180"/>
      <c r="AFP18" s="180"/>
      <c r="AFQ18" s="180"/>
      <c r="AFR18" s="180"/>
      <c r="AFS18" s="180"/>
      <c r="AFT18" s="180"/>
      <c r="AFU18" s="180"/>
      <c r="AFV18" s="180"/>
      <c r="AFW18" s="180"/>
      <c r="AFX18" s="180"/>
      <c r="AFY18" s="180"/>
      <c r="AFZ18" s="180"/>
      <c r="AGA18" s="180"/>
      <c r="AGB18" s="180"/>
      <c r="AGC18" s="180"/>
      <c r="AGD18" s="180"/>
      <c r="AGE18" s="180"/>
      <c r="AGF18" s="180"/>
      <c r="AGG18" s="180"/>
      <c r="AGH18" s="180"/>
      <c r="AGI18" s="180"/>
      <c r="AGJ18" s="180"/>
      <c r="AGK18" s="180"/>
      <c r="AGL18" s="180"/>
      <c r="AGM18" s="180"/>
      <c r="AGN18" s="180"/>
      <c r="AGO18" s="180"/>
      <c r="AGP18" s="180"/>
      <c r="AGQ18" s="180"/>
      <c r="AGR18" s="180"/>
      <c r="AGS18" s="180"/>
      <c r="AGT18" s="180"/>
      <c r="AGU18" s="180"/>
      <c r="AGV18" s="180"/>
      <c r="AGW18" s="180"/>
      <c r="AGX18" s="180"/>
      <c r="AGY18" s="180"/>
      <c r="AGZ18" s="180"/>
      <c r="AHA18" s="180"/>
      <c r="AHB18" s="180"/>
      <c r="AHC18" s="180"/>
      <c r="AHD18" s="180"/>
      <c r="AHE18" s="180"/>
      <c r="AHF18" s="180"/>
      <c r="AHG18" s="180"/>
      <c r="AHH18" s="180"/>
      <c r="AHI18" s="180"/>
      <c r="AHJ18" s="180"/>
      <c r="AHK18" s="180"/>
      <c r="AHL18" s="180"/>
      <c r="AHM18" s="180"/>
      <c r="AHN18" s="180"/>
      <c r="AHO18" s="180"/>
      <c r="AHP18" s="180"/>
      <c r="AHQ18" s="180"/>
      <c r="AHR18" s="180"/>
      <c r="AHS18" s="180"/>
      <c r="AHT18" s="180"/>
      <c r="AHU18" s="180"/>
      <c r="AHV18" s="180"/>
      <c r="AHW18" s="180"/>
      <c r="AHX18" s="180"/>
      <c r="AHY18" s="180"/>
      <c r="AHZ18" s="180"/>
      <c r="AIA18" s="180"/>
      <c r="AIB18" s="180"/>
      <c r="AIC18" s="180"/>
      <c r="AID18" s="180"/>
      <c r="AIE18" s="180"/>
      <c r="AIF18" s="180"/>
      <c r="AIG18" s="180"/>
      <c r="AIH18" s="180"/>
      <c r="AII18" s="180"/>
      <c r="AIJ18" s="180"/>
      <c r="AIK18" s="180"/>
      <c r="AIL18" s="180"/>
      <c r="AIM18" s="180"/>
      <c r="AIN18" s="180"/>
      <c r="AIO18" s="180"/>
      <c r="AIP18" s="180"/>
      <c r="AIQ18" s="180"/>
      <c r="AIR18" s="180"/>
      <c r="AIS18" s="180"/>
      <c r="AIT18" s="180"/>
      <c r="AIU18" s="180"/>
      <c r="AIV18" s="180"/>
      <c r="AIW18" s="180"/>
      <c r="AIX18" s="180"/>
      <c r="AIY18" s="180"/>
      <c r="AIZ18" s="180"/>
      <c r="AJA18" s="180"/>
      <c r="AJB18" s="180"/>
      <c r="AJC18" s="180"/>
      <c r="AJD18" s="180"/>
      <c r="AJE18" s="180"/>
      <c r="AJF18" s="180"/>
      <c r="AJG18" s="180"/>
      <c r="AJH18" s="180"/>
      <c r="AJI18" s="180"/>
      <c r="AJJ18" s="180"/>
      <c r="AJK18" s="180"/>
      <c r="AJL18" s="180"/>
      <c r="AJM18" s="180"/>
      <c r="AJN18" s="180"/>
      <c r="AJO18" s="180"/>
      <c r="AJP18" s="180"/>
      <c r="AJQ18" s="180"/>
      <c r="AJR18" s="180"/>
      <c r="AJS18" s="180"/>
      <c r="AJT18" s="180"/>
      <c r="AJU18" s="180"/>
      <c r="AJV18" s="180"/>
      <c r="AJW18" s="180"/>
      <c r="AJX18" s="180"/>
      <c r="AJY18" s="180"/>
      <c r="AJZ18" s="180"/>
      <c r="AKA18" s="180"/>
      <c r="AKB18" s="180"/>
      <c r="AKC18" s="180"/>
      <c r="AKD18" s="180"/>
      <c r="AKE18" s="180"/>
      <c r="AKF18" s="180"/>
      <c r="AKG18" s="180"/>
      <c r="AKH18" s="180"/>
      <c r="AKI18" s="180"/>
      <c r="AKJ18" s="180"/>
      <c r="AKK18" s="180"/>
      <c r="AKL18" s="180"/>
      <c r="AKM18" s="180"/>
      <c r="AKN18" s="180"/>
      <c r="AKO18" s="180"/>
      <c r="AKP18" s="180"/>
      <c r="AKQ18" s="180"/>
      <c r="AKR18" s="180"/>
      <c r="AKS18" s="180"/>
      <c r="AKT18" s="180"/>
      <c r="AKU18" s="180"/>
      <c r="AKV18" s="180"/>
      <c r="AKW18" s="180"/>
      <c r="AKX18" s="180"/>
      <c r="AKY18" s="180"/>
      <c r="AKZ18" s="180"/>
      <c r="ALA18" s="180"/>
      <c r="ALB18" s="180"/>
      <c r="ALC18" s="180"/>
      <c r="ALD18" s="180"/>
      <c r="ALE18" s="180"/>
      <c r="ALF18" s="180"/>
      <c r="ALG18" s="180"/>
      <c r="ALH18" s="180"/>
      <c r="ALI18" s="180"/>
      <c r="ALJ18" s="180"/>
      <c r="ALK18" s="180"/>
      <c r="ALL18" s="180"/>
      <c r="ALM18" s="180"/>
      <c r="ALN18" s="180"/>
      <c r="ALO18" s="180"/>
      <c r="ALP18" s="180"/>
      <c r="ALQ18" s="180"/>
      <c r="ALR18" s="180"/>
      <c r="ALS18" s="180"/>
      <c r="ALT18" s="180"/>
      <c r="ALU18" s="180"/>
      <c r="ALV18" s="180"/>
      <c r="ALW18" s="180"/>
      <c r="ALX18" s="180"/>
      <c r="ALY18" s="180"/>
      <c r="ALZ18" s="180"/>
      <c r="AMA18" s="180"/>
      <c r="AMB18" s="180"/>
      <c r="AMC18" s="180"/>
      <c r="AMD18" s="180"/>
      <c r="AME18" s="180"/>
      <c r="AMF18" s="180"/>
      <c r="AMG18" s="180"/>
      <c r="AMH18" s="180"/>
      <c r="AMI18" s="180"/>
      <c r="AMJ18" s="180"/>
      <c r="AMK18" s="180"/>
      <c r="AML18" s="180"/>
      <c r="AMM18" s="180"/>
      <c r="AMN18" s="180"/>
      <c r="AMO18" s="180"/>
      <c r="AMP18" s="180"/>
      <c r="AMQ18" s="180"/>
      <c r="AMR18" s="180"/>
      <c r="AMS18" s="180"/>
      <c r="AMT18" s="180"/>
      <c r="AMU18" s="180"/>
      <c r="AMV18" s="180"/>
      <c r="AMW18" s="180"/>
      <c r="AMX18" s="180"/>
      <c r="AMY18" s="180"/>
      <c r="AMZ18" s="180"/>
      <c r="ANA18" s="180"/>
      <c r="ANB18" s="180"/>
      <c r="ANC18" s="180"/>
      <c r="AND18" s="180"/>
      <c r="ANE18" s="180"/>
      <c r="ANF18" s="180"/>
      <c r="ANG18" s="180"/>
      <c r="ANH18" s="180"/>
      <c r="ANI18" s="180"/>
      <c r="ANJ18" s="180"/>
      <c r="ANK18" s="180"/>
      <c r="ANL18" s="180"/>
      <c r="ANM18" s="180"/>
      <c r="ANN18" s="180"/>
      <c r="ANO18" s="180"/>
      <c r="ANP18" s="180"/>
      <c r="ANQ18" s="180"/>
      <c r="ANR18" s="180"/>
      <c r="ANS18" s="180"/>
      <c r="ANT18" s="180"/>
      <c r="ANU18" s="180"/>
      <c r="ANV18" s="180"/>
      <c r="ANW18" s="180"/>
      <c r="ANX18" s="180"/>
      <c r="ANY18" s="180"/>
      <c r="ANZ18" s="180"/>
      <c r="AOA18" s="180"/>
      <c r="AOB18" s="180"/>
      <c r="AOC18" s="180"/>
      <c r="AOD18" s="180"/>
      <c r="AOE18" s="180"/>
      <c r="AOF18" s="180"/>
      <c r="AOG18" s="180"/>
      <c r="AOH18" s="180"/>
      <c r="AOI18" s="180"/>
      <c r="AOJ18" s="180"/>
      <c r="AOK18" s="180"/>
      <c r="AOL18" s="180"/>
      <c r="AOM18" s="180"/>
      <c r="AON18" s="180"/>
      <c r="AOO18" s="180"/>
      <c r="AOP18" s="180"/>
      <c r="AOQ18" s="180"/>
      <c r="AOR18" s="180"/>
      <c r="AOS18" s="180"/>
      <c r="AOT18" s="180"/>
      <c r="AOU18" s="180"/>
      <c r="AOV18" s="180"/>
      <c r="AOW18" s="180"/>
      <c r="AOX18" s="180"/>
      <c r="AOY18" s="180"/>
      <c r="AOZ18" s="180"/>
      <c r="APA18" s="180"/>
      <c r="APB18" s="180"/>
      <c r="APC18" s="180"/>
      <c r="APD18" s="180"/>
      <c r="APE18" s="180"/>
      <c r="APF18" s="180"/>
      <c r="APG18" s="180"/>
      <c r="APH18" s="180"/>
      <c r="API18" s="180"/>
      <c r="APJ18" s="180"/>
      <c r="APK18" s="180"/>
      <c r="APL18" s="180"/>
      <c r="APM18" s="180"/>
      <c r="APN18" s="180"/>
      <c r="APO18" s="180"/>
      <c r="APP18" s="180"/>
      <c r="APQ18" s="180"/>
      <c r="APR18" s="180"/>
      <c r="APS18" s="180"/>
      <c r="APT18" s="180"/>
      <c r="APU18" s="180"/>
      <c r="APV18" s="180"/>
      <c r="APW18" s="180"/>
      <c r="APX18" s="180"/>
      <c r="APY18" s="180"/>
      <c r="APZ18" s="180"/>
      <c r="AQA18" s="180"/>
      <c r="AQB18" s="180"/>
      <c r="AQC18" s="180"/>
      <c r="AQD18" s="180"/>
      <c r="AQE18" s="180"/>
      <c r="AQF18" s="180"/>
      <c r="AQG18" s="180"/>
      <c r="AQH18" s="180"/>
      <c r="AQI18" s="180"/>
      <c r="AQJ18" s="180"/>
      <c r="AQK18" s="180"/>
      <c r="AQL18" s="180"/>
      <c r="AQM18" s="180"/>
      <c r="AQN18" s="180"/>
      <c r="AQO18" s="180"/>
      <c r="AQP18" s="180"/>
      <c r="AQQ18" s="180"/>
      <c r="AQR18" s="180"/>
      <c r="AQS18" s="180"/>
      <c r="AQT18" s="180"/>
      <c r="AQU18" s="180"/>
      <c r="AQV18" s="180"/>
      <c r="AQW18" s="180"/>
      <c r="AQX18" s="180"/>
      <c r="AQY18" s="180"/>
      <c r="AQZ18" s="180"/>
      <c r="ARA18" s="180"/>
      <c r="ARB18" s="180"/>
      <c r="ARC18" s="180"/>
      <c r="ARD18" s="180"/>
      <c r="ARE18" s="180"/>
      <c r="ARF18" s="180"/>
      <c r="ARG18" s="180"/>
      <c r="ARH18" s="180"/>
      <c r="ARI18" s="180"/>
      <c r="ARJ18" s="180"/>
      <c r="ARK18" s="180"/>
      <c r="ARL18" s="180"/>
      <c r="ARM18" s="180"/>
      <c r="ARN18" s="180"/>
      <c r="ARO18" s="180"/>
      <c r="ARP18" s="180"/>
      <c r="ARQ18" s="180"/>
      <c r="ARR18" s="180"/>
      <c r="ARS18" s="180"/>
      <c r="ART18" s="180"/>
      <c r="ARU18" s="180"/>
      <c r="ARV18" s="180"/>
      <c r="ARW18" s="180"/>
      <c r="ARX18" s="180"/>
      <c r="ARY18" s="180"/>
      <c r="ARZ18" s="180"/>
      <c r="ASA18" s="180"/>
      <c r="ASB18" s="180"/>
      <c r="ASC18" s="180"/>
      <c r="ASD18" s="180"/>
      <c r="ASE18" s="180"/>
      <c r="ASF18" s="180"/>
      <c r="ASG18" s="180"/>
      <c r="ASH18" s="180"/>
      <c r="ASI18" s="180"/>
      <c r="ASJ18" s="180"/>
      <c r="ASK18" s="180"/>
      <c r="ASL18" s="180"/>
      <c r="ASM18" s="180"/>
      <c r="ASN18" s="180"/>
      <c r="ASO18" s="180"/>
      <c r="ASP18" s="180"/>
      <c r="ASQ18" s="180"/>
      <c r="ASR18" s="180"/>
      <c r="ASS18" s="180"/>
      <c r="AST18" s="180"/>
      <c r="ASU18" s="180"/>
      <c r="ASV18" s="180"/>
      <c r="ASW18" s="180"/>
      <c r="ASX18" s="180"/>
      <c r="ASY18" s="180"/>
      <c r="ASZ18" s="180"/>
      <c r="ATA18" s="180"/>
      <c r="ATB18" s="180"/>
      <c r="ATC18" s="180"/>
      <c r="ATD18" s="180"/>
      <c r="ATE18" s="180"/>
      <c r="ATF18" s="180"/>
      <c r="ATG18" s="180"/>
      <c r="ATH18" s="180"/>
      <c r="ATI18" s="180"/>
      <c r="ATJ18" s="180"/>
      <c r="ATK18" s="180"/>
      <c r="ATL18" s="180"/>
      <c r="ATM18" s="180"/>
      <c r="ATN18" s="180"/>
      <c r="ATO18" s="180"/>
      <c r="ATP18" s="180"/>
      <c r="ATQ18" s="180"/>
      <c r="ATR18" s="180"/>
      <c r="ATS18" s="180"/>
      <c r="ATT18" s="180"/>
      <c r="ATU18" s="180"/>
      <c r="ATV18" s="180"/>
      <c r="ATW18" s="180"/>
      <c r="ATX18" s="180"/>
      <c r="ATY18" s="180"/>
      <c r="ATZ18" s="180"/>
      <c r="AUA18" s="180"/>
      <c r="AUB18" s="180"/>
      <c r="AUC18" s="180"/>
      <c r="AUD18" s="180"/>
      <c r="AUE18" s="180"/>
      <c r="AUF18" s="180"/>
      <c r="AUG18" s="180"/>
      <c r="AUH18" s="180"/>
      <c r="AUI18" s="180"/>
      <c r="AUJ18" s="180"/>
      <c r="AUK18" s="180"/>
      <c r="AUL18" s="180"/>
      <c r="AUM18" s="180"/>
      <c r="AUN18" s="180"/>
      <c r="AUO18" s="180"/>
      <c r="AUP18" s="180"/>
      <c r="AUQ18" s="180"/>
      <c r="AUR18" s="180"/>
      <c r="AUS18" s="180"/>
      <c r="AUT18" s="180"/>
      <c r="AUU18" s="180"/>
      <c r="AUV18" s="180"/>
      <c r="AUW18" s="180"/>
      <c r="AUX18" s="180"/>
      <c r="AUY18" s="180"/>
      <c r="AUZ18" s="180"/>
      <c r="AVA18" s="180"/>
      <c r="AVB18" s="180"/>
      <c r="AVC18" s="180"/>
      <c r="AVD18" s="180"/>
      <c r="AVE18" s="180"/>
      <c r="AVF18" s="180"/>
      <c r="AVG18" s="180"/>
      <c r="AVH18" s="180"/>
      <c r="AVI18" s="180"/>
      <c r="AVJ18" s="180"/>
      <c r="AVK18" s="180"/>
      <c r="AVL18" s="180"/>
      <c r="AVM18" s="180"/>
      <c r="AVN18" s="180"/>
      <c r="AVO18" s="180"/>
      <c r="AVP18" s="180"/>
      <c r="AVQ18" s="180"/>
      <c r="AVR18" s="180"/>
      <c r="AVS18" s="180"/>
      <c r="AVT18" s="180"/>
      <c r="AVU18" s="180"/>
      <c r="AVV18" s="180"/>
      <c r="AVW18" s="180"/>
      <c r="AVX18" s="180"/>
      <c r="AVY18" s="180"/>
      <c r="AVZ18" s="180"/>
      <c r="AWA18" s="180"/>
      <c r="AWB18" s="180"/>
      <c r="AWC18" s="180"/>
      <c r="AWD18" s="180"/>
      <c r="AWE18" s="180"/>
      <c r="AWF18" s="180"/>
      <c r="AWG18" s="180"/>
      <c r="AWH18" s="180"/>
      <c r="AWI18" s="180"/>
      <c r="AWJ18" s="180"/>
      <c r="AWK18" s="180"/>
      <c r="AWL18" s="180"/>
      <c r="AWM18" s="180"/>
      <c r="AWN18" s="180"/>
      <c r="AWO18" s="180"/>
      <c r="AWP18" s="180"/>
      <c r="AWQ18" s="180"/>
      <c r="AWR18" s="180"/>
      <c r="AWS18" s="180"/>
      <c r="AWT18" s="180"/>
      <c r="AWU18" s="180"/>
      <c r="AWV18" s="180"/>
      <c r="AWW18" s="180"/>
      <c r="AWX18" s="180"/>
      <c r="AWY18" s="180"/>
      <c r="AWZ18" s="180"/>
      <c r="AXA18" s="180"/>
      <c r="AXB18" s="180"/>
      <c r="AXC18" s="180"/>
      <c r="AXD18" s="180"/>
      <c r="AXE18" s="180"/>
      <c r="AXF18" s="180"/>
      <c r="AXG18" s="180"/>
      <c r="AXH18" s="180"/>
      <c r="AXI18" s="180"/>
      <c r="AXJ18" s="180"/>
      <c r="AXK18" s="180"/>
      <c r="AXL18" s="180"/>
      <c r="AXM18" s="180"/>
      <c r="AXN18" s="180"/>
      <c r="AXO18" s="180"/>
      <c r="AXP18" s="180"/>
      <c r="AXQ18" s="180"/>
      <c r="AXR18" s="180"/>
      <c r="AXS18" s="180"/>
      <c r="AXT18" s="180"/>
      <c r="AXU18" s="180"/>
      <c r="AXV18" s="180"/>
      <c r="AXW18" s="180"/>
      <c r="AXX18" s="180"/>
      <c r="AXY18" s="180"/>
      <c r="AXZ18" s="180"/>
      <c r="AYA18" s="180"/>
      <c r="AYB18" s="180"/>
      <c r="AYC18" s="180"/>
      <c r="AYD18" s="180"/>
      <c r="AYE18" s="180"/>
      <c r="AYF18" s="180"/>
      <c r="AYG18" s="180"/>
      <c r="AYH18" s="180"/>
      <c r="AYI18" s="180"/>
      <c r="AYJ18" s="180"/>
      <c r="AYK18" s="180"/>
      <c r="AYL18" s="180"/>
      <c r="AYM18" s="180"/>
      <c r="AYN18" s="180"/>
      <c r="AYO18" s="180"/>
      <c r="AYP18" s="180"/>
      <c r="AYQ18" s="180"/>
      <c r="AYR18" s="180"/>
      <c r="AYS18" s="180"/>
      <c r="AYT18" s="180"/>
      <c r="AYU18" s="180"/>
      <c r="AYV18" s="180"/>
      <c r="AYW18" s="180"/>
      <c r="AYX18" s="180"/>
      <c r="AYY18" s="180"/>
      <c r="AYZ18" s="180"/>
      <c r="AZA18" s="180"/>
      <c r="AZB18" s="180"/>
      <c r="AZC18" s="180"/>
      <c r="AZD18" s="180"/>
      <c r="AZE18" s="180"/>
      <c r="AZF18" s="180"/>
      <c r="AZG18" s="180"/>
      <c r="AZH18" s="180"/>
      <c r="AZI18" s="180"/>
      <c r="AZJ18" s="180"/>
      <c r="AZK18" s="180"/>
      <c r="AZL18" s="180"/>
      <c r="AZM18" s="180"/>
      <c r="AZN18" s="180"/>
      <c r="AZO18" s="180"/>
      <c r="AZP18" s="180"/>
      <c r="AZQ18" s="180"/>
      <c r="AZR18" s="180"/>
      <c r="AZS18" s="180"/>
      <c r="AZT18" s="180"/>
      <c r="AZU18" s="180"/>
      <c r="AZV18" s="180"/>
      <c r="AZW18" s="180"/>
      <c r="AZX18" s="180"/>
      <c r="AZY18" s="180"/>
      <c r="AZZ18" s="180"/>
      <c r="BAA18" s="180"/>
      <c r="BAB18" s="180"/>
      <c r="BAC18" s="180"/>
      <c r="BAD18" s="180"/>
      <c r="BAE18" s="180"/>
      <c r="BAF18" s="180"/>
      <c r="BAG18" s="180"/>
      <c r="BAH18" s="180"/>
      <c r="BAI18" s="180"/>
      <c r="BAJ18" s="180"/>
      <c r="BAK18" s="180"/>
      <c r="BAL18" s="180"/>
      <c r="BAM18" s="180"/>
      <c r="BAN18" s="180"/>
      <c r="BAO18" s="180"/>
      <c r="BAP18" s="180"/>
      <c r="BAQ18" s="180"/>
      <c r="BAR18" s="180"/>
      <c r="BAS18" s="180"/>
      <c r="BAT18" s="180"/>
      <c r="BAU18" s="180"/>
      <c r="BAV18" s="180"/>
      <c r="BAW18" s="180"/>
      <c r="BAX18" s="180"/>
      <c r="BAY18" s="180"/>
      <c r="BAZ18" s="180"/>
      <c r="BBA18" s="180"/>
      <c r="BBB18" s="180"/>
      <c r="BBC18" s="180"/>
      <c r="BBD18" s="180"/>
      <c r="BBE18" s="180"/>
      <c r="BBF18" s="180"/>
      <c r="BBG18" s="180"/>
      <c r="BBH18" s="180"/>
      <c r="BBI18" s="180"/>
      <c r="BBJ18" s="180"/>
      <c r="BBK18" s="180"/>
      <c r="BBL18" s="180"/>
      <c r="BBM18" s="180"/>
      <c r="BBN18" s="180"/>
      <c r="BBO18" s="180"/>
      <c r="BBP18" s="180"/>
      <c r="BBQ18" s="180"/>
      <c r="BBR18" s="180"/>
      <c r="BBS18" s="180"/>
      <c r="BBT18" s="180"/>
      <c r="BBU18" s="180"/>
      <c r="BBV18" s="180"/>
      <c r="BBW18" s="180"/>
      <c r="BBX18" s="180"/>
      <c r="BBY18" s="180"/>
      <c r="BBZ18" s="180"/>
      <c r="BCA18" s="180"/>
      <c r="BCB18" s="180"/>
      <c r="BCC18" s="180"/>
      <c r="BCD18" s="180"/>
      <c r="BCE18" s="180"/>
      <c r="BCF18" s="180"/>
      <c r="BCG18" s="180"/>
      <c r="BCH18" s="180"/>
      <c r="BCI18" s="180"/>
      <c r="BCJ18" s="180"/>
      <c r="BCK18" s="180"/>
      <c r="BCL18" s="180"/>
      <c r="BCM18" s="180"/>
      <c r="BCN18" s="180"/>
      <c r="BCO18" s="180"/>
      <c r="BCP18" s="180"/>
      <c r="BCQ18" s="180"/>
      <c r="BCR18" s="180"/>
      <c r="BCS18" s="180"/>
      <c r="BCT18" s="180"/>
      <c r="BCU18" s="180"/>
      <c r="BCV18" s="180"/>
      <c r="BCW18" s="180"/>
      <c r="BCX18" s="180"/>
      <c r="BCY18" s="180"/>
      <c r="BCZ18" s="180"/>
      <c r="BDA18" s="180"/>
      <c r="BDB18" s="180"/>
      <c r="BDC18" s="180"/>
      <c r="BDD18" s="180"/>
      <c r="BDE18" s="180"/>
      <c r="BDF18" s="180"/>
      <c r="BDG18" s="180"/>
      <c r="BDH18" s="180"/>
      <c r="BDI18" s="180"/>
      <c r="BDJ18" s="180"/>
      <c r="BDK18" s="180"/>
      <c r="BDL18" s="180"/>
      <c r="BDM18" s="180"/>
      <c r="BDN18" s="180"/>
      <c r="BDO18" s="180"/>
      <c r="BDP18" s="180"/>
      <c r="BDQ18" s="180"/>
      <c r="BDR18" s="180"/>
      <c r="BDS18" s="180"/>
      <c r="BDT18" s="180"/>
      <c r="BDU18" s="180"/>
      <c r="BDV18" s="180"/>
      <c r="BDW18" s="180"/>
      <c r="BDX18" s="180"/>
      <c r="BDY18" s="180"/>
      <c r="BDZ18" s="180"/>
      <c r="BEA18" s="180"/>
      <c r="BEB18" s="180"/>
      <c r="BEC18" s="180"/>
      <c r="BED18" s="180"/>
      <c r="BEE18" s="180"/>
      <c r="BEF18" s="180"/>
      <c r="BEG18" s="180"/>
      <c r="BEH18" s="180"/>
      <c r="BEI18" s="180"/>
      <c r="BEJ18" s="180"/>
      <c r="BEK18" s="180"/>
      <c r="BEL18" s="180"/>
      <c r="BEM18" s="180"/>
      <c r="BEN18" s="180"/>
      <c r="BEO18" s="180"/>
      <c r="BEP18" s="180"/>
      <c r="BEQ18" s="180"/>
      <c r="BER18" s="180"/>
      <c r="BES18" s="180"/>
      <c r="BET18" s="180"/>
      <c r="BEU18" s="180"/>
      <c r="BEV18" s="180"/>
      <c r="BEW18" s="180"/>
      <c r="BEX18" s="180"/>
      <c r="BEY18" s="180"/>
      <c r="BEZ18" s="180"/>
      <c r="BFA18" s="180"/>
      <c r="BFB18" s="180"/>
      <c r="BFC18" s="180"/>
      <c r="BFD18" s="180"/>
      <c r="BFE18" s="180"/>
      <c r="BFF18" s="180"/>
      <c r="BFG18" s="180"/>
      <c r="BFH18" s="180"/>
      <c r="BFI18" s="180"/>
      <c r="BFJ18" s="180"/>
      <c r="BFK18" s="180"/>
      <c r="BFL18" s="180"/>
      <c r="BFM18" s="180"/>
      <c r="BFN18" s="180"/>
      <c r="BFO18" s="180"/>
      <c r="BFP18" s="180"/>
      <c r="BFQ18" s="180"/>
      <c r="BFR18" s="180"/>
      <c r="BFS18" s="180"/>
      <c r="BFT18" s="180"/>
      <c r="BFU18" s="180"/>
      <c r="BFV18" s="180"/>
      <c r="BFW18" s="180"/>
      <c r="BFX18" s="180"/>
      <c r="BFY18" s="180"/>
      <c r="BFZ18" s="180"/>
      <c r="BGA18" s="180"/>
      <c r="BGB18" s="180"/>
      <c r="BGC18" s="180"/>
      <c r="BGD18" s="180"/>
      <c r="BGE18" s="180"/>
      <c r="BGF18" s="180"/>
      <c r="BGG18" s="180"/>
      <c r="BGH18" s="180"/>
      <c r="BGI18" s="180"/>
      <c r="BGJ18" s="180"/>
      <c r="BGK18" s="180"/>
      <c r="BGL18" s="180"/>
      <c r="BGM18" s="180"/>
      <c r="BGN18" s="180"/>
      <c r="BGO18" s="180"/>
      <c r="BGP18" s="180"/>
      <c r="BGQ18" s="180"/>
      <c r="BGR18" s="180"/>
      <c r="BGS18" s="180"/>
      <c r="BGT18" s="180"/>
      <c r="BGU18" s="180"/>
      <c r="BGV18" s="180"/>
      <c r="BGW18" s="180"/>
      <c r="BGX18" s="180"/>
      <c r="BGY18" s="180"/>
      <c r="BGZ18" s="180"/>
      <c r="BHA18" s="180"/>
      <c r="BHB18" s="180"/>
      <c r="BHC18" s="180"/>
      <c r="BHD18" s="180"/>
      <c r="BHE18" s="180"/>
      <c r="BHF18" s="180"/>
      <c r="BHG18" s="180"/>
      <c r="BHH18" s="180"/>
      <c r="BHI18" s="180"/>
      <c r="BHJ18" s="180"/>
      <c r="BHK18" s="180"/>
      <c r="BHL18" s="180"/>
      <c r="BHM18" s="180"/>
      <c r="BHN18" s="180"/>
      <c r="BHO18" s="180"/>
      <c r="BHP18" s="180"/>
      <c r="BHQ18" s="180"/>
      <c r="BHR18" s="180"/>
      <c r="BHS18" s="180"/>
      <c r="BHT18" s="180"/>
      <c r="BHU18" s="180"/>
      <c r="BHV18" s="180"/>
      <c r="BHW18" s="180"/>
      <c r="BHX18" s="180"/>
      <c r="BHY18" s="180"/>
      <c r="BHZ18" s="180"/>
      <c r="BIA18" s="180"/>
      <c r="BIB18" s="180"/>
      <c r="BIC18" s="180"/>
      <c r="BID18" s="180"/>
      <c r="BIE18" s="180"/>
      <c r="BIF18" s="180"/>
      <c r="BIG18" s="180"/>
      <c r="BIH18" s="180"/>
      <c r="BII18" s="180"/>
      <c r="BIJ18" s="180"/>
      <c r="BIK18" s="180"/>
      <c r="BIL18" s="180"/>
      <c r="BIM18" s="180"/>
      <c r="BIN18" s="180"/>
      <c r="BIO18" s="180"/>
      <c r="BIP18" s="180"/>
      <c r="BIQ18" s="180"/>
      <c r="BIR18" s="180"/>
      <c r="BIS18" s="180"/>
      <c r="BIT18" s="180"/>
      <c r="BIU18" s="180"/>
      <c r="BIV18" s="180"/>
      <c r="BIW18" s="180"/>
      <c r="BIX18" s="180"/>
      <c r="BIY18" s="180"/>
      <c r="BIZ18" s="180"/>
      <c r="BJA18" s="180"/>
      <c r="BJB18" s="180"/>
      <c r="BJC18" s="180"/>
      <c r="BJD18" s="180"/>
      <c r="BJE18" s="180"/>
      <c r="BJF18" s="180"/>
      <c r="BJG18" s="180"/>
      <c r="BJH18" s="180"/>
      <c r="BJI18" s="180"/>
      <c r="BJJ18" s="180"/>
      <c r="BJK18" s="180"/>
      <c r="BJL18" s="180"/>
      <c r="BJM18" s="180"/>
      <c r="BJN18" s="180"/>
      <c r="BJO18" s="180"/>
      <c r="BJP18" s="180"/>
      <c r="BJQ18" s="180"/>
      <c r="BJR18" s="180"/>
      <c r="BJS18" s="180"/>
      <c r="BJT18" s="180"/>
      <c r="BJU18" s="180"/>
      <c r="BJV18" s="180"/>
      <c r="BJW18" s="180"/>
      <c r="BJX18" s="180"/>
      <c r="BJY18" s="180"/>
      <c r="BJZ18" s="180"/>
      <c r="BKA18" s="180"/>
      <c r="BKB18" s="180"/>
      <c r="BKC18" s="180"/>
      <c r="BKD18" s="180"/>
      <c r="BKE18" s="180"/>
      <c r="BKF18" s="180"/>
      <c r="BKG18" s="180"/>
      <c r="BKH18" s="180"/>
      <c r="BKI18" s="180"/>
      <c r="BKJ18" s="180"/>
      <c r="BKK18" s="180"/>
      <c r="BKL18" s="180"/>
      <c r="BKM18" s="180"/>
      <c r="BKN18" s="180"/>
      <c r="BKO18" s="180"/>
      <c r="BKP18" s="180"/>
      <c r="BKQ18" s="180"/>
      <c r="BKR18" s="180"/>
      <c r="BKS18" s="180"/>
      <c r="BKT18" s="180"/>
      <c r="BKU18" s="180"/>
      <c r="BKV18" s="180"/>
      <c r="BKW18" s="180"/>
      <c r="BKX18" s="180"/>
      <c r="BKY18" s="180"/>
      <c r="BKZ18" s="180"/>
      <c r="BLA18" s="180"/>
      <c r="BLB18" s="180"/>
      <c r="BLC18" s="180"/>
      <c r="BLD18" s="180"/>
      <c r="BLE18" s="180"/>
      <c r="BLF18" s="180"/>
      <c r="BLG18" s="180"/>
      <c r="BLH18" s="180"/>
      <c r="BLI18" s="180"/>
      <c r="BLJ18" s="180"/>
      <c r="BLK18" s="180"/>
      <c r="BLL18" s="180"/>
      <c r="BLM18" s="180"/>
      <c r="BLN18" s="180"/>
      <c r="BLO18" s="180"/>
      <c r="BLP18" s="180"/>
      <c r="BLQ18" s="180"/>
      <c r="BLR18" s="180"/>
      <c r="BLS18" s="180"/>
      <c r="BLT18" s="180"/>
      <c r="BLU18" s="180"/>
      <c r="BLV18" s="180"/>
      <c r="BLW18" s="180"/>
      <c r="BLX18" s="180"/>
      <c r="BLY18" s="180"/>
      <c r="BLZ18" s="180"/>
      <c r="BMA18" s="180"/>
      <c r="BMB18" s="180"/>
      <c r="BMC18" s="180"/>
      <c r="BMD18" s="180"/>
      <c r="BME18" s="180"/>
      <c r="BMF18" s="180"/>
      <c r="BMG18" s="180"/>
      <c r="BMH18" s="180"/>
      <c r="BMI18" s="180"/>
      <c r="BMJ18" s="180"/>
      <c r="BMK18" s="180"/>
      <c r="BML18" s="180"/>
      <c r="BMM18" s="180"/>
      <c r="BMN18" s="180"/>
      <c r="BMO18" s="180"/>
      <c r="BMP18" s="180"/>
      <c r="BMQ18" s="180"/>
      <c r="BMR18" s="180"/>
      <c r="BMS18" s="180"/>
      <c r="BMT18" s="180"/>
      <c r="BMU18" s="180"/>
      <c r="BMV18" s="180"/>
      <c r="BMW18" s="180"/>
      <c r="BMX18" s="180"/>
      <c r="BMY18" s="180"/>
      <c r="BMZ18" s="180"/>
      <c r="BNA18" s="180"/>
      <c r="BNB18" s="180"/>
      <c r="BNC18" s="180"/>
      <c r="BND18" s="180"/>
      <c r="BNE18" s="180"/>
      <c r="BNF18" s="180"/>
      <c r="BNG18" s="180"/>
      <c r="BNH18" s="180"/>
      <c r="BNI18" s="180"/>
      <c r="BNJ18" s="180"/>
      <c r="BNK18" s="180"/>
      <c r="BNL18" s="180"/>
      <c r="BNM18" s="180"/>
      <c r="BNN18" s="180"/>
      <c r="BNO18" s="180"/>
      <c r="BNP18" s="180"/>
      <c r="BNQ18" s="180"/>
      <c r="BNR18" s="180"/>
      <c r="BNS18" s="180"/>
      <c r="BNT18" s="180"/>
      <c r="BNU18" s="180"/>
      <c r="BNV18" s="180"/>
      <c r="BNW18" s="180"/>
      <c r="BNX18" s="180"/>
      <c r="BNY18" s="180"/>
      <c r="BNZ18" s="180"/>
      <c r="BOA18" s="180"/>
      <c r="BOB18" s="180"/>
      <c r="BOC18" s="180"/>
      <c r="BOD18" s="180"/>
      <c r="BOE18" s="180"/>
      <c r="BOF18" s="180"/>
      <c r="BOG18" s="180"/>
      <c r="BOH18" s="180"/>
      <c r="BOI18" s="180"/>
      <c r="BOJ18" s="180"/>
      <c r="BOK18" s="180"/>
      <c r="BOL18" s="180"/>
      <c r="BOM18" s="180"/>
      <c r="BON18" s="180"/>
      <c r="BOO18" s="180"/>
      <c r="BOP18" s="180"/>
      <c r="BOQ18" s="180"/>
      <c r="BOR18" s="180"/>
      <c r="BOS18" s="180"/>
      <c r="BOT18" s="180"/>
      <c r="BOU18" s="180"/>
      <c r="BOV18" s="180"/>
      <c r="BOW18" s="180"/>
      <c r="BOX18" s="180"/>
      <c r="BOY18" s="180"/>
      <c r="BOZ18" s="180"/>
      <c r="BPA18" s="180"/>
      <c r="BPB18" s="180"/>
      <c r="BPC18" s="180"/>
      <c r="BPD18" s="180"/>
      <c r="BPE18" s="180"/>
      <c r="BPF18" s="180"/>
      <c r="BPG18" s="180"/>
      <c r="BPH18" s="180"/>
      <c r="BPI18" s="180"/>
      <c r="BPJ18" s="180"/>
      <c r="BPK18" s="180"/>
      <c r="BPL18" s="180"/>
      <c r="BPM18" s="180"/>
      <c r="BPN18" s="180"/>
      <c r="BPO18" s="180"/>
      <c r="BPP18" s="180"/>
      <c r="BPQ18" s="180"/>
      <c r="BPR18" s="180"/>
      <c r="BPS18" s="180"/>
      <c r="BPT18" s="180"/>
      <c r="BPU18" s="180"/>
      <c r="BPV18" s="180"/>
      <c r="BPW18" s="180"/>
      <c r="BPX18" s="180"/>
      <c r="BPY18" s="180"/>
      <c r="BPZ18" s="180"/>
      <c r="BQA18" s="180"/>
      <c r="BQB18" s="180"/>
      <c r="BQC18" s="180"/>
      <c r="BQD18" s="180"/>
      <c r="BQE18" s="180"/>
      <c r="BQF18" s="180"/>
      <c r="BQG18" s="180"/>
      <c r="BQH18" s="180"/>
      <c r="BQI18" s="180"/>
      <c r="BQJ18" s="180"/>
      <c r="BQK18" s="180"/>
      <c r="BQL18" s="180"/>
      <c r="BQM18" s="180"/>
      <c r="BQN18" s="180"/>
      <c r="BQO18" s="180"/>
      <c r="BQP18" s="180"/>
      <c r="BQQ18" s="180"/>
      <c r="BQR18" s="180"/>
      <c r="BQS18" s="180"/>
      <c r="BQT18" s="180"/>
      <c r="BQU18" s="180"/>
      <c r="BQV18" s="180"/>
      <c r="BQW18" s="180"/>
      <c r="BQX18" s="180"/>
      <c r="BQY18" s="180"/>
      <c r="BQZ18" s="180"/>
      <c r="BRA18" s="180"/>
      <c r="BRB18" s="180"/>
      <c r="BRC18" s="180"/>
      <c r="BRD18" s="180"/>
      <c r="BRE18" s="180"/>
      <c r="BRF18" s="180"/>
      <c r="BRG18" s="180"/>
      <c r="BRH18" s="180"/>
      <c r="BRI18" s="180"/>
      <c r="BRJ18" s="180"/>
      <c r="BRK18" s="180"/>
      <c r="BRL18" s="180"/>
      <c r="BRM18" s="180"/>
      <c r="BRN18" s="180"/>
      <c r="BRO18" s="180"/>
      <c r="BRP18" s="180"/>
      <c r="BRQ18" s="180"/>
      <c r="BRR18" s="180"/>
      <c r="BRS18" s="180"/>
      <c r="BRT18" s="180"/>
      <c r="BRU18" s="180"/>
      <c r="BRV18" s="180"/>
      <c r="BRW18" s="180"/>
      <c r="BRX18" s="180"/>
      <c r="BRY18" s="180"/>
      <c r="BRZ18" s="180"/>
      <c r="BSA18" s="180"/>
      <c r="BSB18" s="180"/>
      <c r="BSC18" s="180"/>
      <c r="BSD18" s="180"/>
      <c r="BSE18" s="180"/>
      <c r="BSF18" s="180"/>
      <c r="BSG18" s="180"/>
      <c r="BSH18" s="180"/>
      <c r="BSI18" s="180"/>
      <c r="BSJ18" s="180"/>
      <c r="BSK18" s="180"/>
      <c r="BSL18" s="180"/>
      <c r="BSM18" s="180"/>
      <c r="BSN18" s="180"/>
      <c r="BSO18" s="180"/>
      <c r="BSP18" s="180"/>
      <c r="BSQ18" s="180"/>
      <c r="BSR18" s="180"/>
      <c r="BSS18" s="180"/>
      <c r="BST18" s="180"/>
      <c r="BSU18" s="180"/>
      <c r="BSV18" s="180"/>
      <c r="BSW18" s="180"/>
      <c r="BSX18" s="180"/>
      <c r="BSY18" s="180"/>
      <c r="BSZ18" s="180"/>
      <c r="BTA18" s="180"/>
      <c r="BTB18" s="180"/>
      <c r="BTC18" s="180"/>
      <c r="BTD18" s="180"/>
      <c r="BTE18" s="180"/>
      <c r="BTF18" s="180"/>
      <c r="BTG18" s="180"/>
      <c r="BTH18" s="180"/>
      <c r="BTI18" s="180"/>
      <c r="BTJ18" s="180"/>
      <c r="BTK18" s="180"/>
      <c r="BTL18" s="180"/>
      <c r="BTM18" s="180"/>
      <c r="BTN18" s="180"/>
      <c r="BTO18" s="180"/>
      <c r="BTP18" s="180"/>
      <c r="BTQ18" s="180"/>
      <c r="BTR18" s="180"/>
      <c r="BTS18" s="180"/>
      <c r="BTT18" s="180"/>
      <c r="BTU18" s="180"/>
      <c r="BTV18" s="180"/>
      <c r="BTW18" s="180"/>
      <c r="BTX18" s="180"/>
      <c r="BTY18" s="180"/>
      <c r="BTZ18" s="180"/>
      <c r="BUA18" s="180"/>
      <c r="BUB18" s="180"/>
      <c r="BUC18" s="180"/>
      <c r="BUD18" s="180"/>
      <c r="BUE18" s="180"/>
      <c r="BUF18" s="180"/>
      <c r="BUG18" s="180"/>
      <c r="BUH18" s="180"/>
      <c r="BUI18" s="180"/>
      <c r="BUJ18" s="180"/>
      <c r="BUK18" s="180"/>
      <c r="BUL18" s="180"/>
      <c r="BUM18" s="180"/>
      <c r="BUN18" s="180"/>
      <c r="BUO18" s="180"/>
      <c r="BUP18" s="180"/>
      <c r="BUQ18" s="180"/>
      <c r="BUR18" s="180"/>
      <c r="BUS18" s="180"/>
      <c r="BUT18" s="180"/>
      <c r="BUU18" s="180"/>
      <c r="BUV18" s="180"/>
      <c r="BUW18" s="180"/>
      <c r="BUX18" s="180"/>
      <c r="BUY18" s="180"/>
      <c r="BUZ18" s="180"/>
      <c r="BVA18" s="180"/>
      <c r="BVB18" s="180"/>
      <c r="BVC18" s="180"/>
      <c r="BVD18" s="180"/>
      <c r="BVE18" s="180"/>
      <c r="BVF18" s="180"/>
      <c r="BVG18" s="180"/>
      <c r="BVH18" s="180"/>
      <c r="BVI18" s="180"/>
      <c r="BVJ18" s="180"/>
      <c r="BVK18" s="180"/>
      <c r="BVL18" s="180"/>
      <c r="BVM18" s="180"/>
      <c r="BVN18" s="180"/>
      <c r="BVO18" s="180"/>
      <c r="BVP18" s="180"/>
      <c r="BVQ18" s="180"/>
      <c r="BVR18" s="180"/>
      <c r="BVS18" s="180"/>
      <c r="BVT18" s="180"/>
      <c r="BVU18" s="180"/>
      <c r="BVV18" s="180"/>
      <c r="BVW18" s="180"/>
      <c r="BVX18" s="180"/>
      <c r="BVY18" s="180"/>
      <c r="BVZ18" s="180"/>
      <c r="BWA18" s="180"/>
      <c r="BWB18" s="180"/>
      <c r="BWC18" s="180"/>
      <c r="BWD18" s="180"/>
      <c r="BWE18" s="180"/>
      <c r="BWF18" s="180"/>
      <c r="BWG18" s="180"/>
      <c r="BWH18" s="180"/>
      <c r="BWI18" s="180"/>
      <c r="BWJ18" s="180"/>
      <c r="BWK18" s="180"/>
      <c r="BWL18" s="180"/>
      <c r="BWM18" s="180"/>
      <c r="BWN18" s="180"/>
      <c r="BWO18" s="180"/>
      <c r="BWP18" s="180"/>
      <c r="BWQ18" s="180"/>
      <c r="BWR18" s="180"/>
      <c r="BWS18" s="180"/>
      <c r="BWT18" s="180"/>
      <c r="BWU18" s="180"/>
      <c r="BWV18" s="180"/>
      <c r="BWW18" s="180"/>
      <c r="BWX18" s="180"/>
      <c r="BWY18" s="180"/>
      <c r="BWZ18" s="180"/>
      <c r="BXA18" s="180"/>
      <c r="BXB18" s="180"/>
      <c r="BXC18" s="180"/>
      <c r="BXD18" s="180"/>
      <c r="BXE18" s="180"/>
      <c r="BXF18" s="180"/>
      <c r="BXG18" s="180"/>
      <c r="BXH18" s="180"/>
      <c r="BXI18" s="180"/>
      <c r="BXJ18" s="180"/>
      <c r="BXK18" s="180"/>
      <c r="BXL18" s="180"/>
      <c r="BXM18" s="180"/>
      <c r="BXN18" s="180"/>
      <c r="BXO18" s="180"/>
      <c r="BXP18" s="180"/>
      <c r="BXQ18" s="180"/>
      <c r="BXR18" s="180"/>
      <c r="BXS18" s="180"/>
      <c r="BXT18" s="180"/>
      <c r="BXU18" s="180"/>
      <c r="BXV18" s="180"/>
      <c r="BXW18" s="180"/>
      <c r="BXX18" s="180"/>
      <c r="BXY18" s="180"/>
      <c r="BXZ18" s="180"/>
      <c r="BYA18" s="180"/>
      <c r="BYB18" s="180"/>
      <c r="BYC18" s="180"/>
    </row>
    <row r="19" spans="1:2005" ht="16">
      <c r="A19" s="1909"/>
      <c r="B19" s="406" t="s">
        <v>6</v>
      </c>
      <c r="C19" s="343">
        <f>C18*C9</f>
        <v>463939.23776547005</v>
      </c>
      <c r="D19" s="360">
        <f>C19*SQRT(D18^2/C18^2+D9^2/C9^2)</f>
        <v>65638.232059401489</v>
      </c>
      <c r="E19" s="344">
        <f>E18*E9</f>
        <v>10826.228887854544</v>
      </c>
      <c r="F19" s="360">
        <f>E19*SQRT(F18^2/E18^2+F9^2/E9^2)</f>
        <v>5043.1638140326995</v>
      </c>
      <c r="G19" s="344">
        <f>G18*G9</f>
        <v>3831.2481231818174</v>
      </c>
      <c r="H19" s="360">
        <f>G19*SQRT(H18^2/G18^2+H9^2/G9^2)</f>
        <v>2172.0353584290833</v>
      </c>
      <c r="I19" s="344">
        <f>I18*I9</f>
        <v>4114.377739636363</v>
      </c>
      <c r="J19" s="360">
        <f>I19*SQRT(J18^2/I18^2+J9^2/I9^2)</f>
        <v>2184.3614866903054</v>
      </c>
      <c r="K19" s="413">
        <f>C19+E19+G19+I19</f>
        <v>482711.09251614276</v>
      </c>
      <c r="L19" s="752">
        <f>SQRT(J19^2+H19^2+F19^2+D19^2)</f>
        <v>65903.719028912266</v>
      </c>
      <c r="M19" s="344">
        <f>M18*M9</f>
        <v>106930.63924754479</v>
      </c>
      <c r="N19" s="360">
        <f>M19*SQRT(N18^2/M18^2+N9^2/M9^2)</f>
        <v>26911.173750477159</v>
      </c>
      <c r="O19" s="344">
        <f>O18*O9</f>
        <v>14859.786333333335</v>
      </c>
      <c r="P19" s="360">
        <f>O19*SQRT(P18^2/O18^2+P9^2/O9^2)</f>
        <v>5475.6450907698918</v>
      </c>
      <c r="Q19" s="1315">
        <f>O19+M19+K19</f>
        <v>604501.51809702092</v>
      </c>
      <c r="R19" s="757">
        <f>SQRT(P19^2+N19^2+L19^2)</f>
        <v>71396.737625960595</v>
      </c>
      <c r="S19" s="344">
        <f>S18*S9</f>
        <v>80247.855893333355</v>
      </c>
      <c r="T19" s="766">
        <f>S19*SQRT(T18^2/S18^2+T9^2/S9^2)</f>
        <v>16051.617622658972</v>
      </c>
      <c r="U19" s="344">
        <f>U18*U9</f>
        <v>3242.9043200000001</v>
      </c>
      <c r="V19" s="766">
        <f>U19*SQRT(V18^2/U18^2+V9^2/U9^2)</f>
        <v>730.18003279664549</v>
      </c>
      <c r="W19" s="344">
        <f>W18*W9</f>
        <v>299724.97919580009</v>
      </c>
      <c r="X19" s="1181">
        <f>W19*SQRT(X18^2/W18^2+X9^2/W9^2)</f>
        <v>69997.983585573835</v>
      </c>
      <c r="Y19" s="647">
        <f>W19+U19+S19</f>
        <v>383215.73940913344</v>
      </c>
      <c r="Z19" s="773">
        <f>SQRT(T19^2+V19^2+X19^2)</f>
        <v>71818.558167305295</v>
      </c>
      <c r="AA19" s="542">
        <f>AA18*AA6</f>
        <v>295800.37713145238</v>
      </c>
      <c r="AB19" s="1181">
        <f>AA19*SQRT(AB18^2/AA18^2+AB9^2/AA9^2)</f>
        <v>94195.791666545716</v>
      </c>
      <c r="AC19" s="647">
        <f>AA19+Y19</f>
        <v>679016.11654058588</v>
      </c>
      <c r="AD19" s="1597">
        <f>SQRT(AB19^2+Z19^2)</f>
        <v>118451.47725933137</v>
      </c>
      <c r="AE19" s="1600">
        <f>AA19+Y19+Q19</f>
        <v>1283517.6346376068</v>
      </c>
      <c r="AF19" s="1594"/>
      <c r="AG19" s="180"/>
      <c r="AH19" s="180"/>
      <c r="AI19" s="180"/>
      <c r="AJ19" s="180"/>
      <c r="AK19" s="180"/>
      <c r="AL19" s="180"/>
      <c r="AM19" s="180"/>
      <c r="AN19" s="180"/>
      <c r="AO19" s="180"/>
      <c r="AP19" s="180"/>
      <c r="AQ19" s="180"/>
      <c r="AR19" s="180"/>
      <c r="AS19" s="180"/>
      <c r="AT19" s="180"/>
      <c r="AU19" s="180"/>
      <c r="AV19" s="180"/>
      <c r="AW19" s="180"/>
      <c r="AX19" s="180"/>
      <c r="AY19" s="180"/>
      <c r="AZ19" s="180"/>
      <c r="BA19" s="180"/>
      <c r="BB19" s="180"/>
      <c r="BC19" s="180"/>
      <c r="BD19" s="180"/>
      <c r="BE19" s="180"/>
      <c r="BF19" s="180"/>
      <c r="BG19" s="180"/>
      <c r="BH19" s="180"/>
      <c r="BI19" s="180"/>
      <c r="BJ19" s="180"/>
      <c r="BK19" s="180"/>
      <c r="BL19" s="180"/>
      <c r="BM19" s="180"/>
      <c r="BN19" s="180"/>
      <c r="BO19" s="180"/>
      <c r="BP19" s="180"/>
      <c r="BQ19" s="180"/>
      <c r="BR19" s="180"/>
      <c r="BS19" s="180"/>
      <c r="BT19" s="180"/>
      <c r="BU19" s="180"/>
      <c r="BV19" s="180"/>
      <c r="BW19" s="180"/>
      <c r="BX19" s="180"/>
      <c r="BY19" s="180"/>
      <c r="BZ19" s="180"/>
      <c r="CA19" s="180"/>
      <c r="CB19" s="180"/>
      <c r="CC19" s="180"/>
      <c r="CD19" s="180"/>
      <c r="CE19" s="180"/>
      <c r="CF19" s="180"/>
      <c r="CG19" s="180"/>
      <c r="CH19" s="180"/>
      <c r="CI19" s="180"/>
      <c r="CJ19" s="180"/>
      <c r="CK19" s="180"/>
      <c r="CL19" s="180"/>
      <c r="CM19" s="180"/>
      <c r="CN19" s="180"/>
      <c r="CO19" s="180"/>
      <c r="CP19" s="180"/>
      <c r="CQ19" s="180"/>
      <c r="CR19" s="180"/>
      <c r="CS19" s="180"/>
      <c r="CT19" s="180"/>
      <c r="CU19" s="180"/>
      <c r="CV19" s="180"/>
      <c r="CW19" s="180"/>
      <c r="CX19" s="180"/>
      <c r="CY19" s="180"/>
      <c r="CZ19" s="180"/>
      <c r="DA19" s="180"/>
      <c r="DB19" s="180"/>
      <c r="DC19" s="180"/>
      <c r="DD19" s="180"/>
      <c r="DE19" s="180"/>
      <c r="DF19" s="180"/>
      <c r="DG19" s="180"/>
      <c r="DH19" s="180"/>
      <c r="DI19" s="180"/>
      <c r="DJ19" s="180"/>
      <c r="DK19" s="180"/>
      <c r="DL19" s="180"/>
      <c r="DM19" s="180"/>
      <c r="DN19" s="180"/>
      <c r="DO19" s="180"/>
      <c r="DP19" s="180"/>
      <c r="DQ19" s="180"/>
      <c r="DR19" s="180"/>
      <c r="DS19" s="180"/>
      <c r="DT19" s="180"/>
      <c r="DU19" s="180"/>
      <c r="DV19" s="180"/>
      <c r="DW19" s="180"/>
      <c r="DX19" s="180"/>
      <c r="DY19" s="180"/>
      <c r="DZ19" s="180"/>
      <c r="EA19" s="180"/>
      <c r="EB19" s="180"/>
      <c r="EC19" s="180"/>
      <c r="ED19" s="180"/>
      <c r="EE19" s="180"/>
      <c r="EF19" s="180"/>
      <c r="EG19" s="180"/>
      <c r="EH19" s="180"/>
      <c r="EI19" s="180"/>
      <c r="EJ19" s="180"/>
      <c r="EK19" s="180"/>
      <c r="EL19" s="180"/>
      <c r="EM19" s="180"/>
      <c r="EN19" s="180"/>
      <c r="EO19" s="180"/>
      <c r="EP19" s="180"/>
      <c r="EQ19" s="180"/>
      <c r="ER19" s="180"/>
      <c r="ES19" s="180"/>
      <c r="ET19" s="180"/>
      <c r="EU19" s="180"/>
      <c r="EV19" s="180"/>
      <c r="EW19" s="180"/>
      <c r="EX19" s="180"/>
      <c r="EY19" s="180"/>
      <c r="EZ19" s="180"/>
      <c r="FA19" s="180"/>
      <c r="FB19" s="180"/>
      <c r="FC19" s="180"/>
      <c r="FD19" s="180"/>
      <c r="FE19" s="180"/>
      <c r="FF19" s="180"/>
      <c r="FG19" s="180"/>
      <c r="FH19" s="180"/>
      <c r="FI19" s="180"/>
      <c r="FJ19" s="180"/>
      <c r="FK19" s="180"/>
      <c r="FL19" s="180"/>
      <c r="FM19" s="180"/>
      <c r="FN19" s="180"/>
      <c r="FO19" s="180"/>
      <c r="FP19" s="180"/>
      <c r="FQ19" s="180"/>
      <c r="FR19" s="180"/>
      <c r="FS19" s="180"/>
      <c r="FT19" s="180"/>
      <c r="FU19" s="180"/>
      <c r="FV19" s="180"/>
      <c r="FW19" s="180"/>
      <c r="FX19" s="180"/>
      <c r="FY19" s="180"/>
      <c r="FZ19" s="180"/>
      <c r="GA19" s="180"/>
      <c r="GB19" s="180"/>
      <c r="GC19" s="180"/>
      <c r="GD19" s="180"/>
      <c r="GE19" s="180"/>
      <c r="GF19" s="180"/>
      <c r="GG19" s="180"/>
      <c r="GH19" s="180"/>
      <c r="GI19" s="180"/>
      <c r="GJ19" s="180"/>
      <c r="GK19" s="180"/>
      <c r="GL19" s="180"/>
      <c r="GM19" s="180"/>
      <c r="GN19" s="180"/>
      <c r="GO19" s="180"/>
      <c r="GP19" s="180"/>
      <c r="GQ19" s="180"/>
      <c r="GR19" s="180"/>
      <c r="GS19" s="180"/>
      <c r="GT19" s="180"/>
      <c r="GU19" s="180"/>
      <c r="GV19" s="180"/>
      <c r="GW19" s="180"/>
      <c r="GX19" s="180"/>
      <c r="GY19" s="180"/>
      <c r="GZ19" s="180"/>
      <c r="HA19" s="180"/>
      <c r="HB19" s="180"/>
      <c r="HC19" s="180"/>
      <c r="HD19" s="180"/>
      <c r="HE19" s="180"/>
      <c r="HF19" s="180"/>
      <c r="HG19" s="180"/>
      <c r="HH19" s="180"/>
      <c r="HI19" s="180"/>
      <c r="HJ19" s="180"/>
      <c r="HK19" s="180"/>
      <c r="HL19" s="180"/>
      <c r="HM19" s="180"/>
      <c r="HN19" s="180"/>
      <c r="HO19" s="180"/>
      <c r="HP19" s="180"/>
      <c r="HQ19" s="180"/>
      <c r="HR19" s="180"/>
      <c r="HS19" s="180"/>
      <c r="HT19" s="180"/>
      <c r="HU19" s="180"/>
      <c r="HV19" s="180"/>
      <c r="HW19" s="180"/>
      <c r="HX19" s="180"/>
      <c r="HY19" s="180"/>
      <c r="HZ19" s="180"/>
      <c r="IA19" s="180"/>
      <c r="IB19" s="180"/>
      <c r="IC19" s="180"/>
      <c r="ID19" s="180"/>
      <c r="IE19" s="180"/>
      <c r="IF19" s="180"/>
      <c r="IG19" s="180"/>
      <c r="IH19" s="180"/>
      <c r="II19" s="180"/>
      <c r="IJ19" s="180"/>
      <c r="IK19" s="180"/>
      <c r="IL19" s="180"/>
      <c r="IM19" s="180"/>
      <c r="IN19" s="180"/>
      <c r="IO19" s="180"/>
      <c r="IP19" s="180"/>
      <c r="IQ19" s="180"/>
      <c r="IR19" s="180"/>
      <c r="IS19" s="180"/>
      <c r="IT19" s="180"/>
      <c r="IU19" s="180"/>
      <c r="IV19" s="180"/>
      <c r="IW19" s="180"/>
      <c r="IX19" s="180"/>
      <c r="IY19" s="180"/>
      <c r="IZ19" s="180"/>
      <c r="JA19" s="180"/>
      <c r="JB19" s="180"/>
      <c r="JC19" s="180"/>
      <c r="JD19" s="180"/>
      <c r="JE19" s="180"/>
      <c r="JF19" s="180"/>
      <c r="JG19" s="180"/>
      <c r="JH19" s="180"/>
      <c r="JI19" s="180"/>
      <c r="JJ19" s="180"/>
      <c r="JK19" s="180"/>
      <c r="JL19" s="180"/>
      <c r="JM19" s="180"/>
      <c r="JN19" s="180"/>
      <c r="JO19" s="180"/>
      <c r="JP19" s="180"/>
      <c r="JQ19" s="180"/>
      <c r="JR19" s="180"/>
      <c r="JS19" s="180"/>
      <c r="JT19" s="180"/>
      <c r="JU19" s="180"/>
      <c r="JV19" s="180"/>
      <c r="JW19" s="180"/>
      <c r="JX19" s="180"/>
      <c r="JY19" s="180"/>
      <c r="JZ19" s="180"/>
      <c r="KA19" s="180"/>
      <c r="KB19" s="180"/>
      <c r="KC19" s="180"/>
      <c r="KD19" s="180"/>
      <c r="KE19" s="180"/>
      <c r="KF19" s="180"/>
      <c r="KG19" s="180"/>
      <c r="KH19" s="180"/>
      <c r="KI19" s="180"/>
      <c r="KJ19" s="180"/>
      <c r="KK19" s="180"/>
      <c r="KL19" s="180"/>
      <c r="KM19" s="180"/>
      <c r="KN19" s="180"/>
      <c r="KO19" s="180"/>
      <c r="KP19" s="180"/>
      <c r="KQ19" s="180"/>
      <c r="KR19" s="180"/>
      <c r="KS19" s="180"/>
      <c r="KT19" s="180"/>
      <c r="KU19" s="180"/>
      <c r="KV19" s="180"/>
      <c r="KW19" s="180"/>
      <c r="KX19" s="180"/>
      <c r="KY19" s="180"/>
      <c r="KZ19" s="180"/>
      <c r="LA19" s="180"/>
      <c r="LB19" s="180"/>
      <c r="LC19" s="180"/>
      <c r="LD19" s="180"/>
      <c r="LE19" s="180"/>
      <c r="LF19" s="180"/>
      <c r="LG19" s="180"/>
      <c r="LH19" s="180"/>
      <c r="LI19" s="180"/>
      <c r="LJ19" s="180"/>
      <c r="LK19" s="180"/>
      <c r="LL19" s="180"/>
      <c r="LM19" s="180"/>
      <c r="LN19" s="180"/>
      <c r="LO19" s="180"/>
      <c r="LP19" s="180"/>
      <c r="LQ19" s="180"/>
      <c r="LR19" s="180"/>
      <c r="LS19" s="180"/>
      <c r="LT19" s="180"/>
      <c r="LU19" s="180"/>
      <c r="LV19" s="180"/>
      <c r="LW19" s="180"/>
      <c r="LX19" s="180"/>
      <c r="LY19" s="180"/>
      <c r="LZ19" s="180"/>
      <c r="MA19" s="180"/>
      <c r="MB19" s="180"/>
      <c r="MC19" s="180"/>
      <c r="MD19" s="180"/>
      <c r="ME19" s="180"/>
      <c r="MF19" s="180"/>
      <c r="MG19" s="180"/>
      <c r="MH19" s="180"/>
      <c r="MI19" s="180"/>
      <c r="MJ19" s="180"/>
      <c r="MK19" s="180"/>
      <c r="ML19" s="180"/>
      <c r="MM19" s="180"/>
      <c r="MN19" s="180"/>
      <c r="MO19" s="180"/>
      <c r="MP19" s="180"/>
      <c r="MQ19" s="180"/>
      <c r="MR19" s="180"/>
      <c r="MS19" s="180"/>
      <c r="MT19" s="180"/>
      <c r="MU19" s="180"/>
      <c r="MV19" s="180"/>
      <c r="MW19" s="180"/>
      <c r="MX19" s="180"/>
      <c r="MY19" s="180"/>
      <c r="MZ19" s="180"/>
      <c r="NA19" s="180"/>
      <c r="NB19" s="180"/>
      <c r="NC19" s="180"/>
      <c r="ND19" s="180"/>
      <c r="NE19" s="180"/>
      <c r="NF19" s="180"/>
      <c r="NG19" s="180"/>
      <c r="NH19" s="180"/>
      <c r="NI19" s="180"/>
      <c r="NJ19" s="180"/>
      <c r="NK19" s="180"/>
      <c r="NL19" s="180"/>
      <c r="NM19" s="180"/>
      <c r="NN19" s="180"/>
      <c r="NO19" s="180"/>
      <c r="NP19" s="180"/>
      <c r="NQ19" s="180"/>
      <c r="NR19" s="180"/>
      <c r="NS19" s="180"/>
      <c r="NT19" s="180"/>
      <c r="NU19" s="180"/>
      <c r="NV19" s="180"/>
      <c r="NW19" s="180"/>
      <c r="NX19" s="180"/>
      <c r="NY19" s="180"/>
      <c r="NZ19" s="180"/>
      <c r="OA19" s="180"/>
      <c r="OB19" s="180"/>
      <c r="OC19" s="180"/>
      <c r="OD19" s="180"/>
      <c r="OE19" s="180"/>
      <c r="OF19" s="180"/>
      <c r="OG19" s="180"/>
      <c r="OH19" s="180"/>
      <c r="OI19" s="180"/>
      <c r="OJ19" s="180"/>
      <c r="OK19" s="180"/>
      <c r="OL19" s="180"/>
      <c r="OM19" s="180"/>
      <c r="ON19" s="180"/>
      <c r="OO19" s="180"/>
      <c r="OP19" s="180"/>
      <c r="OQ19" s="180"/>
      <c r="OR19" s="180"/>
      <c r="OS19" s="180"/>
      <c r="OT19" s="180"/>
      <c r="OU19" s="180"/>
      <c r="OV19" s="180"/>
      <c r="OW19" s="180"/>
      <c r="OX19" s="180"/>
      <c r="OY19" s="180"/>
      <c r="OZ19" s="180"/>
      <c r="PA19" s="180"/>
      <c r="PB19" s="180"/>
      <c r="PC19" s="180"/>
      <c r="PD19" s="180"/>
      <c r="PE19" s="180"/>
      <c r="PF19" s="180"/>
      <c r="PG19" s="180"/>
      <c r="PH19" s="180"/>
      <c r="PI19" s="180"/>
      <c r="PJ19" s="180"/>
      <c r="PK19" s="180"/>
      <c r="PL19" s="180"/>
      <c r="PM19" s="180"/>
      <c r="PN19" s="180"/>
      <c r="PO19" s="180"/>
      <c r="PP19" s="180"/>
      <c r="PQ19" s="180"/>
      <c r="PR19" s="180"/>
      <c r="PS19" s="180"/>
      <c r="PT19" s="180"/>
      <c r="PU19" s="180"/>
      <c r="PV19" s="180"/>
      <c r="PW19" s="180"/>
      <c r="PX19" s="180"/>
      <c r="PY19" s="180"/>
      <c r="PZ19" s="180"/>
      <c r="QA19" s="180"/>
      <c r="QB19" s="180"/>
      <c r="QC19" s="180"/>
      <c r="QD19" s="180"/>
      <c r="QE19" s="180"/>
      <c r="QF19" s="180"/>
      <c r="QG19" s="180"/>
      <c r="QH19" s="180"/>
      <c r="QI19" s="180"/>
      <c r="QJ19" s="180"/>
      <c r="QK19" s="180"/>
      <c r="QL19" s="180"/>
      <c r="QM19" s="180"/>
      <c r="QN19" s="180"/>
      <c r="QO19" s="180"/>
      <c r="QP19" s="180"/>
      <c r="QQ19" s="180"/>
      <c r="QR19" s="180"/>
      <c r="QS19" s="180"/>
      <c r="QT19" s="180"/>
      <c r="QU19" s="180"/>
      <c r="QV19" s="180"/>
      <c r="QW19" s="180"/>
      <c r="QX19" s="180"/>
      <c r="QY19" s="180"/>
      <c r="QZ19" s="180"/>
      <c r="RA19" s="180"/>
      <c r="RB19" s="180"/>
      <c r="RC19" s="180"/>
      <c r="RD19" s="180"/>
      <c r="RE19" s="180"/>
      <c r="RF19" s="180"/>
      <c r="RG19" s="180"/>
      <c r="RH19" s="180"/>
      <c r="RI19" s="180"/>
      <c r="RJ19" s="180"/>
      <c r="RK19" s="180"/>
      <c r="RL19" s="180"/>
      <c r="RM19" s="180"/>
      <c r="RN19" s="180"/>
      <c r="RO19" s="180"/>
      <c r="RP19" s="180"/>
      <c r="RQ19" s="180"/>
      <c r="RR19" s="180"/>
      <c r="RS19" s="180"/>
      <c r="RT19" s="180"/>
      <c r="RU19" s="180"/>
      <c r="RV19" s="180"/>
      <c r="RW19" s="180"/>
      <c r="RX19" s="180"/>
      <c r="RY19" s="180"/>
      <c r="RZ19" s="180"/>
      <c r="SA19" s="180"/>
      <c r="SB19" s="180"/>
      <c r="SC19" s="180"/>
      <c r="SD19" s="180"/>
      <c r="SE19" s="180"/>
      <c r="SF19" s="180"/>
      <c r="SG19" s="180"/>
      <c r="SH19" s="180"/>
      <c r="SI19" s="180"/>
      <c r="SJ19" s="180"/>
      <c r="SK19" s="180"/>
      <c r="SL19" s="180"/>
      <c r="SM19" s="180"/>
      <c r="SN19" s="180"/>
      <c r="SO19" s="180"/>
      <c r="SP19" s="180"/>
      <c r="SQ19" s="180"/>
      <c r="SR19" s="180"/>
      <c r="SS19" s="180"/>
      <c r="ST19" s="180"/>
      <c r="SU19" s="180"/>
      <c r="SV19" s="180"/>
      <c r="SW19" s="180"/>
      <c r="SX19" s="180"/>
      <c r="SY19" s="180"/>
      <c r="SZ19" s="180"/>
      <c r="TA19" s="180"/>
      <c r="TB19" s="180"/>
      <c r="TC19" s="180"/>
      <c r="TD19" s="180"/>
      <c r="TE19" s="180"/>
      <c r="TF19" s="180"/>
      <c r="TG19" s="180"/>
      <c r="TH19" s="180"/>
      <c r="TI19" s="180"/>
      <c r="TJ19" s="180"/>
      <c r="TK19" s="180"/>
      <c r="TL19" s="180"/>
      <c r="TM19" s="180"/>
      <c r="TN19" s="180"/>
      <c r="TO19" s="180"/>
      <c r="TP19" s="180"/>
      <c r="TQ19" s="180"/>
      <c r="TR19" s="180"/>
      <c r="TS19" s="180"/>
      <c r="TT19" s="180"/>
      <c r="TU19" s="180"/>
      <c r="TV19" s="180"/>
      <c r="TW19" s="180"/>
      <c r="TX19" s="180"/>
      <c r="TY19" s="180"/>
      <c r="TZ19" s="180"/>
      <c r="UA19" s="180"/>
      <c r="UB19" s="180"/>
      <c r="UC19" s="180"/>
      <c r="UD19" s="180"/>
      <c r="UE19" s="180"/>
      <c r="UF19" s="180"/>
      <c r="UG19" s="180"/>
      <c r="UH19" s="180"/>
      <c r="UI19" s="180"/>
      <c r="UJ19" s="180"/>
      <c r="UK19" s="180"/>
      <c r="UL19" s="180"/>
      <c r="UM19" s="180"/>
      <c r="UN19" s="180"/>
      <c r="UO19" s="180"/>
      <c r="UP19" s="180"/>
      <c r="UQ19" s="180"/>
      <c r="UR19" s="180"/>
      <c r="US19" s="180"/>
      <c r="UT19" s="180"/>
      <c r="UU19" s="180"/>
      <c r="UV19" s="180"/>
      <c r="UW19" s="180"/>
      <c r="UX19" s="180"/>
      <c r="UY19" s="180"/>
      <c r="UZ19" s="180"/>
      <c r="VA19" s="180"/>
      <c r="VB19" s="180"/>
      <c r="VC19" s="180"/>
      <c r="VD19" s="180"/>
      <c r="VE19" s="180"/>
      <c r="VF19" s="180"/>
      <c r="VG19" s="180"/>
      <c r="VH19" s="180"/>
      <c r="VI19" s="180"/>
      <c r="VJ19" s="180"/>
      <c r="VK19" s="180"/>
      <c r="VL19" s="180"/>
      <c r="VM19" s="180"/>
      <c r="VN19" s="180"/>
      <c r="VO19" s="180"/>
      <c r="VP19" s="180"/>
      <c r="VQ19" s="180"/>
      <c r="VR19" s="180"/>
      <c r="VS19" s="180"/>
      <c r="VT19" s="180"/>
      <c r="VU19" s="180"/>
      <c r="VV19" s="180"/>
      <c r="VW19" s="180"/>
      <c r="VX19" s="180"/>
      <c r="VY19" s="180"/>
      <c r="VZ19" s="180"/>
      <c r="WA19" s="180"/>
      <c r="WB19" s="180"/>
      <c r="WC19" s="180"/>
      <c r="WD19" s="180"/>
      <c r="WE19" s="180"/>
      <c r="WF19" s="180"/>
      <c r="WG19" s="180"/>
      <c r="WH19" s="180"/>
      <c r="WI19" s="180"/>
      <c r="WJ19" s="180"/>
      <c r="WK19" s="180"/>
      <c r="WL19" s="180"/>
      <c r="WM19" s="180"/>
      <c r="WN19" s="180"/>
      <c r="WO19" s="180"/>
      <c r="WP19" s="180"/>
      <c r="WQ19" s="180"/>
      <c r="WR19" s="180"/>
      <c r="WS19" s="180"/>
      <c r="WT19" s="180"/>
      <c r="WU19" s="180"/>
      <c r="WV19" s="180"/>
      <c r="WW19" s="180"/>
      <c r="WX19" s="180"/>
      <c r="WY19" s="180"/>
      <c r="WZ19" s="180"/>
      <c r="XA19" s="180"/>
      <c r="XB19" s="180"/>
      <c r="XC19" s="180"/>
      <c r="XD19" s="180"/>
      <c r="XE19" s="180"/>
      <c r="XF19" s="180"/>
      <c r="XG19" s="180"/>
      <c r="XH19" s="180"/>
      <c r="XI19" s="180"/>
      <c r="XJ19" s="180"/>
      <c r="XK19" s="180"/>
      <c r="XL19" s="180"/>
      <c r="XM19" s="180"/>
      <c r="XN19" s="180"/>
      <c r="XO19" s="180"/>
      <c r="XP19" s="180"/>
      <c r="XQ19" s="180"/>
      <c r="XR19" s="180"/>
      <c r="XS19" s="180"/>
      <c r="XT19" s="180"/>
      <c r="XU19" s="180"/>
      <c r="XV19" s="180"/>
      <c r="XW19" s="180"/>
      <c r="XX19" s="180"/>
      <c r="XY19" s="180"/>
      <c r="XZ19" s="180"/>
      <c r="YA19" s="180"/>
      <c r="YB19" s="180"/>
      <c r="YC19" s="180"/>
      <c r="YD19" s="180"/>
      <c r="YE19" s="180"/>
      <c r="YF19" s="180"/>
      <c r="YG19" s="180"/>
      <c r="YH19" s="180"/>
      <c r="YI19" s="180"/>
      <c r="YJ19" s="180"/>
      <c r="YK19" s="180"/>
      <c r="YL19" s="180"/>
      <c r="YM19" s="180"/>
      <c r="YN19" s="180"/>
      <c r="YO19" s="180"/>
      <c r="YP19" s="180"/>
      <c r="YQ19" s="180"/>
      <c r="YR19" s="180"/>
      <c r="YS19" s="180"/>
      <c r="YT19" s="180"/>
      <c r="YU19" s="180"/>
      <c r="YV19" s="180"/>
      <c r="YW19" s="180"/>
      <c r="YX19" s="180"/>
      <c r="YY19" s="180"/>
      <c r="YZ19" s="180"/>
      <c r="ZA19" s="180"/>
      <c r="ZB19" s="180"/>
      <c r="ZC19" s="180"/>
      <c r="ZD19" s="180"/>
      <c r="ZE19" s="180"/>
      <c r="ZF19" s="180"/>
      <c r="ZG19" s="180"/>
      <c r="ZH19" s="180"/>
      <c r="ZI19" s="180"/>
      <c r="ZJ19" s="180"/>
      <c r="ZK19" s="180"/>
      <c r="ZL19" s="180"/>
      <c r="ZM19" s="180"/>
      <c r="ZN19" s="180"/>
      <c r="ZO19" s="180"/>
      <c r="ZP19" s="180"/>
      <c r="ZQ19" s="180"/>
      <c r="ZR19" s="180"/>
      <c r="ZS19" s="180"/>
      <c r="ZT19" s="180"/>
      <c r="ZU19" s="180"/>
      <c r="ZV19" s="180"/>
      <c r="ZW19" s="180"/>
      <c r="ZX19" s="180"/>
      <c r="ZY19" s="180"/>
      <c r="ZZ19" s="180"/>
      <c r="AAA19" s="180"/>
      <c r="AAB19" s="180"/>
      <c r="AAC19" s="180"/>
      <c r="AAD19" s="180"/>
      <c r="AAE19" s="180"/>
      <c r="AAF19" s="180"/>
      <c r="AAG19" s="180"/>
      <c r="AAH19" s="180"/>
      <c r="AAI19" s="180"/>
      <c r="AAJ19" s="180"/>
      <c r="AAK19" s="180"/>
      <c r="AAL19" s="180"/>
      <c r="AAM19" s="180"/>
      <c r="AAN19" s="180"/>
      <c r="AAO19" s="180"/>
      <c r="AAP19" s="180"/>
      <c r="AAQ19" s="180"/>
      <c r="AAR19" s="180"/>
      <c r="AAS19" s="180"/>
      <c r="AAT19" s="180"/>
      <c r="AAU19" s="180"/>
      <c r="AAV19" s="180"/>
      <c r="AAW19" s="180"/>
      <c r="AAX19" s="180"/>
      <c r="AAY19" s="180"/>
      <c r="AAZ19" s="180"/>
      <c r="ABA19" s="180"/>
      <c r="ABB19" s="180"/>
      <c r="ABC19" s="180"/>
      <c r="ABD19" s="180"/>
      <c r="ABE19" s="180"/>
      <c r="ABF19" s="180"/>
      <c r="ABG19" s="180"/>
      <c r="ABH19" s="180"/>
      <c r="ABI19" s="180"/>
      <c r="ABJ19" s="180"/>
      <c r="ABK19" s="180"/>
      <c r="ABL19" s="180"/>
      <c r="ABM19" s="180"/>
      <c r="ABN19" s="180"/>
      <c r="ABO19" s="180"/>
      <c r="ABP19" s="180"/>
      <c r="ABQ19" s="180"/>
      <c r="ABR19" s="180"/>
      <c r="ABS19" s="180"/>
      <c r="ABT19" s="180"/>
      <c r="ABU19" s="180"/>
      <c r="ABV19" s="180"/>
      <c r="ABW19" s="180"/>
      <c r="ABX19" s="180"/>
      <c r="ABY19" s="180"/>
      <c r="ABZ19" s="180"/>
      <c r="ACA19" s="180"/>
      <c r="ACB19" s="180"/>
      <c r="ACC19" s="180"/>
      <c r="ACD19" s="180"/>
      <c r="ACE19" s="180"/>
      <c r="ACF19" s="180"/>
      <c r="ACG19" s="180"/>
      <c r="ACH19" s="180"/>
      <c r="ACI19" s="180"/>
      <c r="ACJ19" s="180"/>
      <c r="ACK19" s="180"/>
      <c r="ACL19" s="180"/>
      <c r="ACM19" s="180"/>
      <c r="ACN19" s="180"/>
      <c r="ACO19" s="180"/>
      <c r="ACP19" s="180"/>
      <c r="ACQ19" s="180"/>
      <c r="ACR19" s="180"/>
      <c r="ACS19" s="180"/>
      <c r="ACT19" s="180"/>
      <c r="ACU19" s="180"/>
      <c r="ACV19" s="180"/>
      <c r="ACW19" s="180"/>
      <c r="ACX19" s="180"/>
      <c r="ACY19" s="180"/>
      <c r="ACZ19" s="180"/>
      <c r="ADA19" s="180"/>
      <c r="ADB19" s="180"/>
      <c r="ADC19" s="180"/>
      <c r="ADD19" s="180"/>
      <c r="ADE19" s="180"/>
      <c r="ADF19" s="180"/>
      <c r="ADG19" s="180"/>
      <c r="ADH19" s="180"/>
      <c r="ADI19" s="180"/>
      <c r="ADJ19" s="180"/>
      <c r="ADK19" s="180"/>
      <c r="ADL19" s="180"/>
      <c r="ADM19" s="180"/>
      <c r="ADN19" s="180"/>
      <c r="ADO19" s="180"/>
      <c r="ADP19" s="180"/>
      <c r="ADQ19" s="180"/>
      <c r="ADR19" s="180"/>
      <c r="ADS19" s="180"/>
      <c r="ADT19" s="180"/>
      <c r="ADU19" s="180"/>
      <c r="ADV19" s="180"/>
      <c r="ADW19" s="180"/>
      <c r="ADX19" s="180"/>
      <c r="ADY19" s="180"/>
      <c r="ADZ19" s="180"/>
      <c r="AEA19" s="180"/>
      <c r="AEB19" s="180"/>
      <c r="AEC19" s="180"/>
      <c r="AED19" s="180"/>
      <c r="AEE19" s="180"/>
      <c r="AEF19" s="180"/>
      <c r="AEG19" s="180"/>
      <c r="AEH19" s="180"/>
      <c r="AEI19" s="180"/>
      <c r="AEJ19" s="180"/>
      <c r="AEK19" s="180"/>
      <c r="AEL19" s="180"/>
      <c r="AEM19" s="180"/>
      <c r="AEN19" s="180"/>
      <c r="AEO19" s="180"/>
      <c r="AEP19" s="180"/>
      <c r="AEQ19" s="180"/>
      <c r="AER19" s="180"/>
      <c r="AES19" s="180"/>
      <c r="AET19" s="180"/>
      <c r="AEU19" s="180"/>
      <c r="AEV19" s="180"/>
      <c r="AEW19" s="180"/>
      <c r="AEX19" s="180"/>
      <c r="AEY19" s="180"/>
      <c r="AEZ19" s="180"/>
      <c r="AFA19" s="180"/>
      <c r="AFB19" s="180"/>
      <c r="AFC19" s="180"/>
      <c r="AFD19" s="180"/>
      <c r="AFE19" s="180"/>
      <c r="AFF19" s="180"/>
      <c r="AFG19" s="180"/>
      <c r="AFH19" s="180"/>
      <c r="AFI19" s="180"/>
      <c r="AFJ19" s="180"/>
      <c r="AFK19" s="180"/>
      <c r="AFL19" s="180"/>
      <c r="AFM19" s="180"/>
      <c r="AFN19" s="180"/>
      <c r="AFO19" s="180"/>
      <c r="AFP19" s="180"/>
      <c r="AFQ19" s="180"/>
      <c r="AFR19" s="180"/>
      <c r="AFS19" s="180"/>
      <c r="AFT19" s="180"/>
      <c r="AFU19" s="180"/>
      <c r="AFV19" s="180"/>
      <c r="AFW19" s="180"/>
      <c r="AFX19" s="180"/>
      <c r="AFY19" s="180"/>
      <c r="AFZ19" s="180"/>
      <c r="AGA19" s="180"/>
      <c r="AGB19" s="180"/>
      <c r="AGC19" s="180"/>
      <c r="AGD19" s="180"/>
      <c r="AGE19" s="180"/>
      <c r="AGF19" s="180"/>
      <c r="AGG19" s="180"/>
      <c r="AGH19" s="180"/>
      <c r="AGI19" s="180"/>
      <c r="AGJ19" s="180"/>
      <c r="AGK19" s="180"/>
      <c r="AGL19" s="180"/>
      <c r="AGM19" s="180"/>
      <c r="AGN19" s="180"/>
      <c r="AGO19" s="180"/>
      <c r="AGP19" s="180"/>
      <c r="AGQ19" s="180"/>
      <c r="AGR19" s="180"/>
      <c r="AGS19" s="180"/>
      <c r="AGT19" s="180"/>
      <c r="AGU19" s="180"/>
      <c r="AGV19" s="180"/>
      <c r="AGW19" s="180"/>
      <c r="AGX19" s="180"/>
      <c r="AGY19" s="180"/>
      <c r="AGZ19" s="180"/>
      <c r="AHA19" s="180"/>
      <c r="AHB19" s="180"/>
      <c r="AHC19" s="180"/>
      <c r="AHD19" s="180"/>
      <c r="AHE19" s="180"/>
      <c r="AHF19" s="180"/>
      <c r="AHG19" s="180"/>
      <c r="AHH19" s="180"/>
      <c r="AHI19" s="180"/>
      <c r="AHJ19" s="180"/>
      <c r="AHK19" s="180"/>
      <c r="AHL19" s="180"/>
      <c r="AHM19" s="180"/>
      <c r="AHN19" s="180"/>
      <c r="AHO19" s="180"/>
      <c r="AHP19" s="180"/>
      <c r="AHQ19" s="180"/>
      <c r="AHR19" s="180"/>
      <c r="AHS19" s="180"/>
      <c r="AHT19" s="180"/>
      <c r="AHU19" s="180"/>
      <c r="AHV19" s="180"/>
      <c r="AHW19" s="180"/>
      <c r="AHX19" s="180"/>
      <c r="AHY19" s="180"/>
      <c r="AHZ19" s="180"/>
      <c r="AIA19" s="180"/>
      <c r="AIB19" s="180"/>
      <c r="AIC19" s="180"/>
      <c r="AID19" s="180"/>
      <c r="AIE19" s="180"/>
      <c r="AIF19" s="180"/>
      <c r="AIG19" s="180"/>
      <c r="AIH19" s="180"/>
      <c r="AII19" s="180"/>
      <c r="AIJ19" s="180"/>
      <c r="AIK19" s="180"/>
      <c r="AIL19" s="180"/>
      <c r="AIM19" s="180"/>
      <c r="AIN19" s="180"/>
      <c r="AIO19" s="180"/>
      <c r="AIP19" s="180"/>
      <c r="AIQ19" s="180"/>
      <c r="AIR19" s="180"/>
      <c r="AIS19" s="180"/>
      <c r="AIT19" s="180"/>
      <c r="AIU19" s="180"/>
      <c r="AIV19" s="180"/>
      <c r="AIW19" s="180"/>
      <c r="AIX19" s="180"/>
      <c r="AIY19" s="180"/>
      <c r="AIZ19" s="180"/>
      <c r="AJA19" s="180"/>
      <c r="AJB19" s="180"/>
      <c r="AJC19" s="180"/>
      <c r="AJD19" s="180"/>
      <c r="AJE19" s="180"/>
      <c r="AJF19" s="180"/>
      <c r="AJG19" s="180"/>
      <c r="AJH19" s="180"/>
      <c r="AJI19" s="180"/>
      <c r="AJJ19" s="180"/>
      <c r="AJK19" s="180"/>
      <c r="AJL19" s="180"/>
      <c r="AJM19" s="180"/>
      <c r="AJN19" s="180"/>
      <c r="AJO19" s="180"/>
      <c r="AJP19" s="180"/>
      <c r="AJQ19" s="180"/>
      <c r="AJR19" s="180"/>
      <c r="AJS19" s="180"/>
      <c r="AJT19" s="180"/>
      <c r="AJU19" s="180"/>
      <c r="AJV19" s="180"/>
      <c r="AJW19" s="180"/>
      <c r="AJX19" s="180"/>
      <c r="AJY19" s="180"/>
      <c r="AJZ19" s="180"/>
      <c r="AKA19" s="180"/>
      <c r="AKB19" s="180"/>
      <c r="AKC19" s="180"/>
      <c r="AKD19" s="180"/>
      <c r="AKE19" s="180"/>
      <c r="AKF19" s="180"/>
      <c r="AKG19" s="180"/>
      <c r="AKH19" s="180"/>
      <c r="AKI19" s="180"/>
      <c r="AKJ19" s="180"/>
      <c r="AKK19" s="180"/>
      <c r="AKL19" s="180"/>
      <c r="AKM19" s="180"/>
      <c r="AKN19" s="180"/>
      <c r="AKO19" s="180"/>
      <c r="AKP19" s="180"/>
      <c r="AKQ19" s="180"/>
      <c r="AKR19" s="180"/>
      <c r="AKS19" s="180"/>
      <c r="AKT19" s="180"/>
      <c r="AKU19" s="180"/>
      <c r="AKV19" s="180"/>
      <c r="AKW19" s="180"/>
      <c r="AKX19" s="180"/>
      <c r="AKY19" s="180"/>
      <c r="AKZ19" s="180"/>
      <c r="ALA19" s="180"/>
      <c r="ALB19" s="180"/>
      <c r="ALC19" s="180"/>
      <c r="ALD19" s="180"/>
      <c r="ALE19" s="180"/>
      <c r="ALF19" s="180"/>
      <c r="ALG19" s="180"/>
      <c r="ALH19" s="180"/>
      <c r="ALI19" s="180"/>
      <c r="ALJ19" s="180"/>
      <c r="ALK19" s="180"/>
      <c r="ALL19" s="180"/>
      <c r="ALM19" s="180"/>
      <c r="ALN19" s="180"/>
      <c r="ALO19" s="180"/>
      <c r="ALP19" s="180"/>
      <c r="ALQ19" s="180"/>
      <c r="ALR19" s="180"/>
      <c r="ALS19" s="180"/>
      <c r="ALT19" s="180"/>
      <c r="ALU19" s="180"/>
      <c r="ALV19" s="180"/>
      <c r="ALW19" s="180"/>
      <c r="ALX19" s="180"/>
      <c r="ALY19" s="180"/>
      <c r="ALZ19" s="180"/>
      <c r="AMA19" s="180"/>
      <c r="AMB19" s="180"/>
      <c r="AMC19" s="180"/>
      <c r="AMD19" s="180"/>
      <c r="AME19" s="180"/>
      <c r="AMF19" s="180"/>
      <c r="AMG19" s="180"/>
      <c r="AMH19" s="180"/>
      <c r="AMI19" s="180"/>
      <c r="AMJ19" s="180"/>
      <c r="AMK19" s="180"/>
      <c r="AML19" s="180"/>
      <c r="AMM19" s="180"/>
      <c r="AMN19" s="180"/>
      <c r="AMO19" s="180"/>
      <c r="AMP19" s="180"/>
      <c r="AMQ19" s="180"/>
      <c r="AMR19" s="180"/>
      <c r="AMS19" s="180"/>
      <c r="AMT19" s="180"/>
      <c r="AMU19" s="180"/>
      <c r="AMV19" s="180"/>
      <c r="AMW19" s="180"/>
      <c r="AMX19" s="180"/>
      <c r="AMY19" s="180"/>
      <c r="AMZ19" s="180"/>
      <c r="ANA19" s="180"/>
      <c r="ANB19" s="180"/>
      <c r="ANC19" s="180"/>
      <c r="AND19" s="180"/>
      <c r="ANE19" s="180"/>
      <c r="ANF19" s="180"/>
      <c r="ANG19" s="180"/>
      <c r="ANH19" s="180"/>
      <c r="ANI19" s="180"/>
      <c r="ANJ19" s="180"/>
      <c r="ANK19" s="180"/>
      <c r="ANL19" s="180"/>
      <c r="ANM19" s="180"/>
      <c r="ANN19" s="180"/>
      <c r="ANO19" s="180"/>
      <c r="ANP19" s="180"/>
      <c r="ANQ19" s="180"/>
      <c r="ANR19" s="180"/>
      <c r="ANS19" s="180"/>
      <c r="ANT19" s="180"/>
      <c r="ANU19" s="180"/>
      <c r="ANV19" s="180"/>
      <c r="ANW19" s="180"/>
      <c r="ANX19" s="180"/>
      <c r="ANY19" s="180"/>
      <c r="ANZ19" s="180"/>
      <c r="AOA19" s="180"/>
      <c r="AOB19" s="180"/>
      <c r="AOC19" s="180"/>
      <c r="AOD19" s="180"/>
      <c r="AOE19" s="180"/>
      <c r="AOF19" s="180"/>
      <c r="AOG19" s="180"/>
      <c r="AOH19" s="180"/>
      <c r="AOI19" s="180"/>
      <c r="AOJ19" s="180"/>
      <c r="AOK19" s="180"/>
      <c r="AOL19" s="180"/>
      <c r="AOM19" s="180"/>
      <c r="AON19" s="180"/>
      <c r="AOO19" s="180"/>
      <c r="AOP19" s="180"/>
      <c r="AOQ19" s="180"/>
      <c r="AOR19" s="180"/>
      <c r="AOS19" s="180"/>
      <c r="AOT19" s="180"/>
      <c r="AOU19" s="180"/>
      <c r="AOV19" s="180"/>
      <c r="AOW19" s="180"/>
      <c r="AOX19" s="180"/>
      <c r="AOY19" s="180"/>
      <c r="AOZ19" s="180"/>
      <c r="APA19" s="180"/>
      <c r="APB19" s="180"/>
      <c r="APC19" s="180"/>
      <c r="APD19" s="180"/>
      <c r="APE19" s="180"/>
      <c r="APF19" s="180"/>
      <c r="APG19" s="180"/>
      <c r="APH19" s="180"/>
      <c r="API19" s="180"/>
      <c r="APJ19" s="180"/>
      <c r="APK19" s="180"/>
      <c r="APL19" s="180"/>
      <c r="APM19" s="180"/>
      <c r="APN19" s="180"/>
      <c r="APO19" s="180"/>
      <c r="APP19" s="180"/>
      <c r="APQ19" s="180"/>
      <c r="APR19" s="180"/>
      <c r="APS19" s="180"/>
      <c r="APT19" s="180"/>
      <c r="APU19" s="180"/>
      <c r="APV19" s="180"/>
      <c r="APW19" s="180"/>
      <c r="APX19" s="180"/>
      <c r="APY19" s="180"/>
      <c r="APZ19" s="180"/>
      <c r="AQA19" s="180"/>
      <c r="AQB19" s="180"/>
      <c r="AQC19" s="180"/>
      <c r="AQD19" s="180"/>
      <c r="AQE19" s="180"/>
      <c r="AQF19" s="180"/>
      <c r="AQG19" s="180"/>
      <c r="AQH19" s="180"/>
      <c r="AQI19" s="180"/>
      <c r="AQJ19" s="180"/>
      <c r="AQK19" s="180"/>
      <c r="AQL19" s="180"/>
      <c r="AQM19" s="180"/>
      <c r="AQN19" s="180"/>
      <c r="AQO19" s="180"/>
      <c r="AQP19" s="180"/>
      <c r="AQQ19" s="180"/>
      <c r="AQR19" s="180"/>
      <c r="AQS19" s="180"/>
      <c r="AQT19" s="180"/>
      <c r="AQU19" s="180"/>
      <c r="AQV19" s="180"/>
      <c r="AQW19" s="180"/>
      <c r="AQX19" s="180"/>
      <c r="AQY19" s="180"/>
      <c r="AQZ19" s="180"/>
      <c r="ARA19" s="180"/>
      <c r="ARB19" s="180"/>
      <c r="ARC19" s="180"/>
      <c r="ARD19" s="180"/>
      <c r="ARE19" s="180"/>
      <c r="ARF19" s="180"/>
      <c r="ARG19" s="180"/>
      <c r="ARH19" s="180"/>
      <c r="ARI19" s="180"/>
      <c r="ARJ19" s="180"/>
      <c r="ARK19" s="180"/>
      <c r="ARL19" s="180"/>
      <c r="ARM19" s="180"/>
      <c r="ARN19" s="180"/>
      <c r="ARO19" s="180"/>
      <c r="ARP19" s="180"/>
      <c r="ARQ19" s="180"/>
      <c r="ARR19" s="180"/>
      <c r="ARS19" s="180"/>
      <c r="ART19" s="180"/>
      <c r="ARU19" s="180"/>
      <c r="ARV19" s="180"/>
      <c r="ARW19" s="180"/>
      <c r="ARX19" s="180"/>
      <c r="ARY19" s="180"/>
      <c r="ARZ19" s="180"/>
      <c r="ASA19" s="180"/>
      <c r="ASB19" s="180"/>
      <c r="ASC19" s="180"/>
      <c r="ASD19" s="180"/>
      <c r="ASE19" s="180"/>
      <c r="ASF19" s="180"/>
      <c r="ASG19" s="180"/>
      <c r="ASH19" s="180"/>
      <c r="ASI19" s="180"/>
      <c r="ASJ19" s="180"/>
      <c r="ASK19" s="180"/>
      <c r="ASL19" s="180"/>
      <c r="ASM19" s="180"/>
      <c r="ASN19" s="180"/>
      <c r="ASO19" s="180"/>
      <c r="ASP19" s="180"/>
      <c r="ASQ19" s="180"/>
      <c r="ASR19" s="180"/>
      <c r="ASS19" s="180"/>
      <c r="AST19" s="180"/>
      <c r="ASU19" s="180"/>
      <c r="ASV19" s="180"/>
      <c r="ASW19" s="180"/>
      <c r="ASX19" s="180"/>
      <c r="ASY19" s="180"/>
      <c r="ASZ19" s="180"/>
      <c r="ATA19" s="180"/>
      <c r="ATB19" s="180"/>
      <c r="ATC19" s="180"/>
      <c r="ATD19" s="180"/>
      <c r="ATE19" s="180"/>
      <c r="ATF19" s="180"/>
      <c r="ATG19" s="180"/>
      <c r="ATH19" s="180"/>
      <c r="ATI19" s="180"/>
      <c r="ATJ19" s="180"/>
      <c r="ATK19" s="180"/>
      <c r="ATL19" s="180"/>
      <c r="ATM19" s="180"/>
      <c r="ATN19" s="180"/>
      <c r="ATO19" s="180"/>
      <c r="ATP19" s="180"/>
      <c r="ATQ19" s="180"/>
      <c r="ATR19" s="180"/>
      <c r="ATS19" s="180"/>
      <c r="ATT19" s="180"/>
      <c r="ATU19" s="180"/>
      <c r="ATV19" s="180"/>
      <c r="ATW19" s="180"/>
      <c r="ATX19" s="180"/>
      <c r="ATY19" s="180"/>
      <c r="ATZ19" s="180"/>
      <c r="AUA19" s="180"/>
      <c r="AUB19" s="180"/>
      <c r="AUC19" s="180"/>
      <c r="AUD19" s="180"/>
      <c r="AUE19" s="180"/>
      <c r="AUF19" s="180"/>
      <c r="AUG19" s="180"/>
      <c r="AUH19" s="180"/>
      <c r="AUI19" s="180"/>
      <c r="AUJ19" s="180"/>
      <c r="AUK19" s="180"/>
      <c r="AUL19" s="180"/>
      <c r="AUM19" s="180"/>
      <c r="AUN19" s="180"/>
      <c r="AUO19" s="180"/>
      <c r="AUP19" s="180"/>
      <c r="AUQ19" s="180"/>
      <c r="AUR19" s="180"/>
      <c r="AUS19" s="180"/>
      <c r="AUT19" s="180"/>
      <c r="AUU19" s="180"/>
      <c r="AUV19" s="180"/>
      <c r="AUW19" s="180"/>
      <c r="AUX19" s="180"/>
      <c r="AUY19" s="180"/>
      <c r="AUZ19" s="180"/>
      <c r="AVA19" s="180"/>
      <c r="AVB19" s="180"/>
      <c r="AVC19" s="180"/>
      <c r="AVD19" s="180"/>
      <c r="AVE19" s="180"/>
      <c r="AVF19" s="180"/>
      <c r="AVG19" s="180"/>
      <c r="AVH19" s="180"/>
      <c r="AVI19" s="180"/>
      <c r="AVJ19" s="180"/>
      <c r="AVK19" s="180"/>
      <c r="AVL19" s="180"/>
      <c r="AVM19" s="180"/>
      <c r="AVN19" s="180"/>
      <c r="AVO19" s="180"/>
      <c r="AVP19" s="180"/>
      <c r="AVQ19" s="180"/>
      <c r="AVR19" s="180"/>
      <c r="AVS19" s="180"/>
      <c r="AVT19" s="180"/>
      <c r="AVU19" s="180"/>
      <c r="AVV19" s="180"/>
      <c r="AVW19" s="180"/>
      <c r="AVX19" s="180"/>
      <c r="AVY19" s="180"/>
      <c r="AVZ19" s="180"/>
      <c r="AWA19" s="180"/>
      <c r="AWB19" s="180"/>
      <c r="AWC19" s="180"/>
      <c r="AWD19" s="180"/>
      <c r="AWE19" s="180"/>
      <c r="AWF19" s="180"/>
      <c r="AWG19" s="180"/>
      <c r="AWH19" s="180"/>
      <c r="AWI19" s="180"/>
      <c r="AWJ19" s="180"/>
      <c r="AWK19" s="180"/>
      <c r="AWL19" s="180"/>
      <c r="AWM19" s="180"/>
      <c r="AWN19" s="180"/>
      <c r="AWO19" s="180"/>
      <c r="AWP19" s="180"/>
      <c r="AWQ19" s="180"/>
      <c r="AWR19" s="180"/>
      <c r="AWS19" s="180"/>
      <c r="AWT19" s="180"/>
      <c r="AWU19" s="180"/>
      <c r="AWV19" s="180"/>
      <c r="AWW19" s="180"/>
      <c r="AWX19" s="180"/>
      <c r="AWY19" s="180"/>
      <c r="AWZ19" s="180"/>
      <c r="AXA19" s="180"/>
      <c r="AXB19" s="180"/>
      <c r="AXC19" s="180"/>
      <c r="AXD19" s="180"/>
      <c r="AXE19" s="180"/>
      <c r="AXF19" s="180"/>
      <c r="AXG19" s="180"/>
      <c r="AXH19" s="180"/>
      <c r="AXI19" s="180"/>
      <c r="AXJ19" s="180"/>
      <c r="AXK19" s="180"/>
      <c r="AXL19" s="180"/>
      <c r="AXM19" s="180"/>
      <c r="AXN19" s="180"/>
      <c r="AXO19" s="180"/>
      <c r="AXP19" s="180"/>
      <c r="AXQ19" s="180"/>
      <c r="AXR19" s="180"/>
      <c r="AXS19" s="180"/>
      <c r="AXT19" s="180"/>
      <c r="AXU19" s="180"/>
      <c r="AXV19" s="180"/>
      <c r="AXW19" s="180"/>
      <c r="AXX19" s="180"/>
      <c r="AXY19" s="180"/>
      <c r="AXZ19" s="180"/>
      <c r="AYA19" s="180"/>
      <c r="AYB19" s="180"/>
      <c r="AYC19" s="180"/>
      <c r="AYD19" s="180"/>
      <c r="AYE19" s="180"/>
      <c r="AYF19" s="180"/>
      <c r="AYG19" s="180"/>
      <c r="AYH19" s="180"/>
      <c r="AYI19" s="180"/>
      <c r="AYJ19" s="180"/>
      <c r="AYK19" s="180"/>
      <c r="AYL19" s="180"/>
      <c r="AYM19" s="180"/>
      <c r="AYN19" s="180"/>
      <c r="AYO19" s="180"/>
      <c r="AYP19" s="180"/>
      <c r="AYQ19" s="180"/>
      <c r="AYR19" s="180"/>
      <c r="AYS19" s="180"/>
      <c r="AYT19" s="180"/>
      <c r="AYU19" s="180"/>
      <c r="AYV19" s="180"/>
      <c r="AYW19" s="180"/>
      <c r="AYX19" s="180"/>
      <c r="AYY19" s="180"/>
      <c r="AYZ19" s="180"/>
      <c r="AZA19" s="180"/>
      <c r="AZB19" s="180"/>
      <c r="AZC19" s="180"/>
      <c r="AZD19" s="180"/>
      <c r="AZE19" s="180"/>
      <c r="AZF19" s="180"/>
      <c r="AZG19" s="180"/>
      <c r="AZH19" s="180"/>
      <c r="AZI19" s="180"/>
      <c r="AZJ19" s="180"/>
      <c r="AZK19" s="180"/>
      <c r="AZL19" s="180"/>
      <c r="AZM19" s="180"/>
      <c r="AZN19" s="180"/>
      <c r="AZO19" s="180"/>
      <c r="AZP19" s="180"/>
      <c r="AZQ19" s="180"/>
      <c r="AZR19" s="180"/>
      <c r="AZS19" s="180"/>
      <c r="AZT19" s="180"/>
      <c r="AZU19" s="180"/>
      <c r="AZV19" s="180"/>
      <c r="AZW19" s="180"/>
      <c r="AZX19" s="180"/>
      <c r="AZY19" s="180"/>
      <c r="AZZ19" s="180"/>
      <c r="BAA19" s="180"/>
      <c r="BAB19" s="180"/>
      <c r="BAC19" s="180"/>
      <c r="BAD19" s="180"/>
      <c r="BAE19" s="180"/>
      <c r="BAF19" s="180"/>
      <c r="BAG19" s="180"/>
      <c r="BAH19" s="180"/>
      <c r="BAI19" s="180"/>
      <c r="BAJ19" s="180"/>
      <c r="BAK19" s="180"/>
      <c r="BAL19" s="180"/>
      <c r="BAM19" s="180"/>
      <c r="BAN19" s="180"/>
      <c r="BAO19" s="180"/>
      <c r="BAP19" s="180"/>
      <c r="BAQ19" s="180"/>
      <c r="BAR19" s="180"/>
      <c r="BAS19" s="180"/>
      <c r="BAT19" s="180"/>
      <c r="BAU19" s="180"/>
      <c r="BAV19" s="180"/>
      <c r="BAW19" s="180"/>
      <c r="BAX19" s="180"/>
      <c r="BAY19" s="180"/>
      <c r="BAZ19" s="180"/>
      <c r="BBA19" s="180"/>
      <c r="BBB19" s="180"/>
      <c r="BBC19" s="180"/>
      <c r="BBD19" s="180"/>
      <c r="BBE19" s="180"/>
      <c r="BBF19" s="180"/>
      <c r="BBG19" s="180"/>
      <c r="BBH19" s="180"/>
      <c r="BBI19" s="180"/>
      <c r="BBJ19" s="180"/>
      <c r="BBK19" s="180"/>
      <c r="BBL19" s="180"/>
      <c r="BBM19" s="180"/>
      <c r="BBN19" s="180"/>
      <c r="BBO19" s="180"/>
      <c r="BBP19" s="180"/>
      <c r="BBQ19" s="180"/>
      <c r="BBR19" s="180"/>
      <c r="BBS19" s="180"/>
      <c r="BBT19" s="180"/>
      <c r="BBU19" s="180"/>
      <c r="BBV19" s="180"/>
      <c r="BBW19" s="180"/>
      <c r="BBX19" s="180"/>
      <c r="BBY19" s="180"/>
      <c r="BBZ19" s="180"/>
      <c r="BCA19" s="180"/>
      <c r="BCB19" s="180"/>
      <c r="BCC19" s="180"/>
      <c r="BCD19" s="180"/>
      <c r="BCE19" s="180"/>
      <c r="BCF19" s="180"/>
      <c r="BCG19" s="180"/>
      <c r="BCH19" s="180"/>
      <c r="BCI19" s="180"/>
      <c r="BCJ19" s="180"/>
      <c r="BCK19" s="180"/>
      <c r="BCL19" s="180"/>
      <c r="BCM19" s="180"/>
      <c r="BCN19" s="180"/>
      <c r="BCO19" s="180"/>
      <c r="BCP19" s="180"/>
      <c r="BCQ19" s="180"/>
      <c r="BCR19" s="180"/>
      <c r="BCS19" s="180"/>
      <c r="BCT19" s="180"/>
      <c r="BCU19" s="180"/>
      <c r="BCV19" s="180"/>
      <c r="BCW19" s="180"/>
      <c r="BCX19" s="180"/>
      <c r="BCY19" s="180"/>
      <c r="BCZ19" s="180"/>
      <c r="BDA19" s="180"/>
      <c r="BDB19" s="180"/>
      <c r="BDC19" s="180"/>
      <c r="BDD19" s="180"/>
      <c r="BDE19" s="180"/>
      <c r="BDF19" s="180"/>
      <c r="BDG19" s="180"/>
      <c r="BDH19" s="180"/>
      <c r="BDI19" s="180"/>
      <c r="BDJ19" s="180"/>
      <c r="BDK19" s="180"/>
      <c r="BDL19" s="180"/>
      <c r="BDM19" s="180"/>
      <c r="BDN19" s="180"/>
      <c r="BDO19" s="180"/>
      <c r="BDP19" s="180"/>
      <c r="BDQ19" s="180"/>
      <c r="BDR19" s="180"/>
      <c r="BDS19" s="180"/>
      <c r="BDT19" s="180"/>
      <c r="BDU19" s="180"/>
      <c r="BDV19" s="180"/>
      <c r="BDW19" s="180"/>
      <c r="BDX19" s="180"/>
      <c r="BDY19" s="180"/>
      <c r="BDZ19" s="180"/>
      <c r="BEA19" s="180"/>
      <c r="BEB19" s="180"/>
      <c r="BEC19" s="180"/>
      <c r="BED19" s="180"/>
      <c r="BEE19" s="180"/>
      <c r="BEF19" s="180"/>
      <c r="BEG19" s="180"/>
      <c r="BEH19" s="180"/>
      <c r="BEI19" s="180"/>
      <c r="BEJ19" s="180"/>
      <c r="BEK19" s="180"/>
      <c r="BEL19" s="180"/>
      <c r="BEM19" s="180"/>
      <c r="BEN19" s="180"/>
      <c r="BEO19" s="180"/>
      <c r="BEP19" s="180"/>
      <c r="BEQ19" s="180"/>
      <c r="BER19" s="180"/>
      <c r="BES19" s="180"/>
      <c r="BET19" s="180"/>
      <c r="BEU19" s="180"/>
      <c r="BEV19" s="180"/>
      <c r="BEW19" s="180"/>
      <c r="BEX19" s="180"/>
      <c r="BEY19" s="180"/>
      <c r="BEZ19" s="180"/>
      <c r="BFA19" s="180"/>
      <c r="BFB19" s="180"/>
      <c r="BFC19" s="180"/>
      <c r="BFD19" s="180"/>
      <c r="BFE19" s="180"/>
      <c r="BFF19" s="180"/>
      <c r="BFG19" s="180"/>
      <c r="BFH19" s="180"/>
      <c r="BFI19" s="180"/>
      <c r="BFJ19" s="180"/>
      <c r="BFK19" s="180"/>
      <c r="BFL19" s="180"/>
      <c r="BFM19" s="180"/>
      <c r="BFN19" s="180"/>
      <c r="BFO19" s="180"/>
      <c r="BFP19" s="180"/>
      <c r="BFQ19" s="180"/>
      <c r="BFR19" s="180"/>
      <c r="BFS19" s="180"/>
      <c r="BFT19" s="180"/>
      <c r="BFU19" s="180"/>
      <c r="BFV19" s="180"/>
      <c r="BFW19" s="180"/>
      <c r="BFX19" s="180"/>
      <c r="BFY19" s="180"/>
      <c r="BFZ19" s="180"/>
      <c r="BGA19" s="180"/>
      <c r="BGB19" s="180"/>
      <c r="BGC19" s="180"/>
      <c r="BGD19" s="180"/>
      <c r="BGE19" s="180"/>
      <c r="BGF19" s="180"/>
      <c r="BGG19" s="180"/>
      <c r="BGH19" s="180"/>
      <c r="BGI19" s="180"/>
      <c r="BGJ19" s="180"/>
      <c r="BGK19" s="180"/>
      <c r="BGL19" s="180"/>
      <c r="BGM19" s="180"/>
      <c r="BGN19" s="180"/>
      <c r="BGO19" s="180"/>
      <c r="BGP19" s="180"/>
      <c r="BGQ19" s="180"/>
      <c r="BGR19" s="180"/>
      <c r="BGS19" s="180"/>
      <c r="BGT19" s="180"/>
      <c r="BGU19" s="180"/>
      <c r="BGV19" s="180"/>
      <c r="BGW19" s="180"/>
      <c r="BGX19" s="180"/>
      <c r="BGY19" s="180"/>
      <c r="BGZ19" s="180"/>
      <c r="BHA19" s="180"/>
      <c r="BHB19" s="180"/>
      <c r="BHC19" s="180"/>
      <c r="BHD19" s="180"/>
      <c r="BHE19" s="180"/>
      <c r="BHF19" s="180"/>
      <c r="BHG19" s="180"/>
      <c r="BHH19" s="180"/>
      <c r="BHI19" s="180"/>
      <c r="BHJ19" s="180"/>
      <c r="BHK19" s="180"/>
      <c r="BHL19" s="180"/>
      <c r="BHM19" s="180"/>
      <c r="BHN19" s="180"/>
      <c r="BHO19" s="180"/>
      <c r="BHP19" s="180"/>
      <c r="BHQ19" s="180"/>
      <c r="BHR19" s="180"/>
      <c r="BHS19" s="180"/>
      <c r="BHT19" s="180"/>
      <c r="BHU19" s="180"/>
      <c r="BHV19" s="180"/>
      <c r="BHW19" s="180"/>
      <c r="BHX19" s="180"/>
      <c r="BHY19" s="180"/>
      <c r="BHZ19" s="180"/>
      <c r="BIA19" s="180"/>
      <c r="BIB19" s="180"/>
      <c r="BIC19" s="180"/>
      <c r="BID19" s="180"/>
      <c r="BIE19" s="180"/>
      <c r="BIF19" s="180"/>
      <c r="BIG19" s="180"/>
      <c r="BIH19" s="180"/>
      <c r="BII19" s="180"/>
      <c r="BIJ19" s="180"/>
      <c r="BIK19" s="180"/>
      <c r="BIL19" s="180"/>
      <c r="BIM19" s="180"/>
      <c r="BIN19" s="180"/>
      <c r="BIO19" s="180"/>
      <c r="BIP19" s="180"/>
      <c r="BIQ19" s="180"/>
      <c r="BIR19" s="180"/>
      <c r="BIS19" s="180"/>
      <c r="BIT19" s="180"/>
      <c r="BIU19" s="180"/>
      <c r="BIV19" s="180"/>
      <c r="BIW19" s="180"/>
      <c r="BIX19" s="180"/>
      <c r="BIY19" s="180"/>
      <c r="BIZ19" s="180"/>
      <c r="BJA19" s="180"/>
      <c r="BJB19" s="180"/>
      <c r="BJC19" s="180"/>
      <c r="BJD19" s="180"/>
      <c r="BJE19" s="180"/>
      <c r="BJF19" s="180"/>
      <c r="BJG19" s="180"/>
      <c r="BJH19" s="180"/>
      <c r="BJI19" s="180"/>
      <c r="BJJ19" s="180"/>
      <c r="BJK19" s="180"/>
      <c r="BJL19" s="180"/>
      <c r="BJM19" s="180"/>
      <c r="BJN19" s="180"/>
      <c r="BJO19" s="180"/>
      <c r="BJP19" s="180"/>
      <c r="BJQ19" s="180"/>
      <c r="BJR19" s="180"/>
      <c r="BJS19" s="180"/>
      <c r="BJT19" s="180"/>
      <c r="BJU19" s="180"/>
      <c r="BJV19" s="180"/>
      <c r="BJW19" s="180"/>
      <c r="BJX19" s="180"/>
      <c r="BJY19" s="180"/>
      <c r="BJZ19" s="180"/>
      <c r="BKA19" s="180"/>
      <c r="BKB19" s="180"/>
      <c r="BKC19" s="180"/>
      <c r="BKD19" s="180"/>
      <c r="BKE19" s="180"/>
      <c r="BKF19" s="180"/>
      <c r="BKG19" s="180"/>
      <c r="BKH19" s="180"/>
      <c r="BKI19" s="180"/>
      <c r="BKJ19" s="180"/>
      <c r="BKK19" s="180"/>
      <c r="BKL19" s="180"/>
      <c r="BKM19" s="180"/>
      <c r="BKN19" s="180"/>
      <c r="BKO19" s="180"/>
      <c r="BKP19" s="180"/>
      <c r="BKQ19" s="180"/>
      <c r="BKR19" s="180"/>
      <c r="BKS19" s="180"/>
      <c r="BKT19" s="180"/>
      <c r="BKU19" s="180"/>
      <c r="BKV19" s="180"/>
      <c r="BKW19" s="180"/>
      <c r="BKX19" s="180"/>
      <c r="BKY19" s="180"/>
      <c r="BKZ19" s="180"/>
      <c r="BLA19" s="180"/>
      <c r="BLB19" s="180"/>
      <c r="BLC19" s="180"/>
      <c r="BLD19" s="180"/>
      <c r="BLE19" s="180"/>
      <c r="BLF19" s="180"/>
      <c r="BLG19" s="180"/>
      <c r="BLH19" s="180"/>
      <c r="BLI19" s="180"/>
      <c r="BLJ19" s="180"/>
      <c r="BLK19" s="180"/>
      <c r="BLL19" s="180"/>
      <c r="BLM19" s="180"/>
      <c r="BLN19" s="180"/>
      <c r="BLO19" s="180"/>
      <c r="BLP19" s="180"/>
      <c r="BLQ19" s="180"/>
      <c r="BLR19" s="180"/>
      <c r="BLS19" s="180"/>
      <c r="BLT19" s="180"/>
      <c r="BLU19" s="180"/>
      <c r="BLV19" s="180"/>
      <c r="BLW19" s="180"/>
      <c r="BLX19" s="180"/>
      <c r="BLY19" s="180"/>
      <c r="BLZ19" s="180"/>
      <c r="BMA19" s="180"/>
      <c r="BMB19" s="180"/>
      <c r="BMC19" s="180"/>
      <c r="BMD19" s="180"/>
      <c r="BME19" s="180"/>
      <c r="BMF19" s="180"/>
      <c r="BMG19" s="180"/>
      <c r="BMH19" s="180"/>
      <c r="BMI19" s="180"/>
      <c r="BMJ19" s="180"/>
      <c r="BMK19" s="180"/>
      <c r="BML19" s="180"/>
      <c r="BMM19" s="180"/>
      <c r="BMN19" s="180"/>
      <c r="BMO19" s="180"/>
      <c r="BMP19" s="180"/>
      <c r="BMQ19" s="180"/>
      <c r="BMR19" s="180"/>
      <c r="BMS19" s="180"/>
      <c r="BMT19" s="180"/>
      <c r="BMU19" s="180"/>
      <c r="BMV19" s="180"/>
      <c r="BMW19" s="180"/>
      <c r="BMX19" s="180"/>
      <c r="BMY19" s="180"/>
      <c r="BMZ19" s="180"/>
      <c r="BNA19" s="180"/>
      <c r="BNB19" s="180"/>
      <c r="BNC19" s="180"/>
      <c r="BND19" s="180"/>
      <c r="BNE19" s="180"/>
      <c r="BNF19" s="180"/>
      <c r="BNG19" s="180"/>
      <c r="BNH19" s="180"/>
      <c r="BNI19" s="180"/>
      <c r="BNJ19" s="180"/>
      <c r="BNK19" s="180"/>
      <c r="BNL19" s="180"/>
      <c r="BNM19" s="180"/>
      <c r="BNN19" s="180"/>
      <c r="BNO19" s="180"/>
      <c r="BNP19" s="180"/>
      <c r="BNQ19" s="180"/>
      <c r="BNR19" s="180"/>
      <c r="BNS19" s="180"/>
      <c r="BNT19" s="180"/>
      <c r="BNU19" s="180"/>
      <c r="BNV19" s="180"/>
      <c r="BNW19" s="180"/>
      <c r="BNX19" s="180"/>
      <c r="BNY19" s="180"/>
      <c r="BNZ19" s="180"/>
      <c r="BOA19" s="180"/>
      <c r="BOB19" s="180"/>
      <c r="BOC19" s="180"/>
      <c r="BOD19" s="180"/>
      <c r="BOE19" s="180"/>
      <c r="BOF19" s="180"/>
      <c r="BOG19" s="180"/>
      <c r="BOH19" s="180"/>
      <c r="BOI19" s="180"/>
      <c r="BOJ19" s="180"/>
      <c r="BOK19" s="180"/>
      <c r="BOL19" s="180"/>
      <c r="BOM19" s="180"/>
      <c r="BON19" s="180"/>
      <c r="BOO19" s="180"/>
      <c r="BOP19" s="180"/>
      <c r="BOQ19" s="180"/>
      <c r="BOR19" s="180"/>
      <c r="BOS19" s="180"/>
      <c r="BOT19" s="180"/>
      <c r="BOU19" s="180"/>
      <c r="BOV19" s="180"/>
      <c r="BOW19" s="180"/>
      <c r="BOX19" s="180"/>
      <c r="BOY19" s="180"/>
      <c r="BOZ19" s="180"/>
      <c r="BPA19" s="180"/>
      <c r="BPB19" s="180"/>
      <c r="BPC19" s="180"/>
      <c r="BPD19" s="180"/>
      <c r="BPE19" s="180"/>
      <c r="BPF19" s="180"/>
      <c r="BPG19" s="180"/>
      <c r="BPH19" s="180"/>
      <c r="BPI19" s="180"/>
      <c r="BPJ19" s="180"/>
      <c r="BPK19" s="180"/>
      <c r="BPL19" s="180"/>
      <c r="BPM19" s="180"/>
      <c r="BPN19" s="180"/>
      <c r="BPO19" s="180"/>
      <c r="BPP19" s="180"/>
      <c r="BPQ19" s="180"/>
      <c r="BPR19" s="180"/>
      <c r="BPS19" s="180"/>
      <c r="BPT19" s="180"/>
      <c r="BPU19" s="180"/>
      <c r="BPV19" s="180"/>
      <c r="BPW19" s="180"/>
      <c r="BPX19" s="180"/>
      <c r="BPY19" s="180"/>
      <c r="BPZ19" s="180"/>
      <c r="BQA19" s="180"/>
      <c r="BQB19" s="180"/>
      <c r="BQC19" s="180"/>
      <c r="BQD19" s="180"/>
      <c r="BQE19" s="180"/>
      <c r="BQF19" s="180"/>
      <c r="BQG19" s="180"/>
      <c r="BQH19" s="180"/>
      <c r="BQI19" s="180"/>
      <c r="BQJ19" s="180"/>
      <c r="BQK19" s="180"/>
      <c r="BQL19" s="180"/>
      <c r="BQM19" s="180"/>
      <c r="BQN19" s="180"/>
      <c r="BQO19" s="180"/>
      <c r="BQP19" s="180"/>
      <c r="BQQ19" s="180"/>
      <c r="BQR19" s="180"/>
      <c r="BQS19" s="180"/>
      <c r="BQT19" s="180"/>
      <c r="BQU19" s="180"/>
      <c r="BQV19" s="180"/>
      <c r="BQW19" s="180"/>
      <c r="BQX19" s="180"/>
      <c r="BQY19" s="180"/>
      <c r="BQZ19" s="180"/>
      <c r="BRA19" s="180"/>
      <c r="BRB19" s="180"/>
      <c r="BRC19" s="180"/>
      <c r="BRD19" s="180"/>
      <c r="BRE19" s="180"/>
      <c r="BRF19" s="180"/>
      <c r="BRG19" s="180"/>
      <c r="BRH19" s="180"/>
      <c r="BRI19" s="180"/>
      <c r="BRJ19" s="180"/>
      <c r="BRK19" s="180"/>
      <c r="BRL19" s="180"/>
      <c r="BRM19" s="180"/>
      <c r="BRN19" s="180"/>
      <c r="BRO19" s="180"/>
      <c r="BRP19" s="180"/>
      <c r="BRQ19" s="180"/>
      <c r="BRR19" s="180"/>
      <c r="BRS19" s="180"/>
      <c r="BRT19" s="180"/>
      <c r="BRU19" s="180"/>
      <c r="BRV19" s="180"/>
      <c r="BRW19" s="180"/>
      <c r="BRX19" s="180"/>
      <c r="BRY19" s="180"/>
      <c r="BRZ19" s="180"/>
      <c r="BSA19" s="180"/>
      <c r="BSB19" s="180"/>
      <c r="BSC19" s="180"/>
      <c r="BSD19" s="180"/>
      <c r="BSE19" s="180"/>
      <c r="BSF19" s="180"/>
      <c r="BSG19" s="180"/>
      <c r="BSH19" s="180"/>
      <c r="BSI19" s="180"/>
      <c r="BSJ19" s="180"/>
      <c r="BSK19" s="180"/>
      <c r="BSL19" s="180"/>
      <c r="BSM19" s="180"/>
      <c r="BSN19" s="180"/>
      <c r="BSO19" s="180"/>
      <c r="BSP19" s="180"/>
      <c r="BSQ19" s="180"/>
      <c r="BSR19" s="180"/>
      <c r="BSS19" s="180"/>
      <c r="BST19" s="180"/>
      <c r="BSU19" s="180"/>
      <c r="BSV19" s="180"/>
      <c r="BSW19" s="180"/>
      <c r="BSX19" s="180"/>
      <c r="BSY19" s="180"/>
      <c r="BSZ19" s="180"/>
      <c r="BTA19" s="180"/>
      <c r="BTB19" s="180"/>
      <c r="BTC19" s="180"/>
      <c r="BTD19" s="180"/>
      <c r="BTE19" s="180"/>
      <c r="BTF19" s="180"/>
      <c r="BTG19" s="180"/>
      <c r="BTH19" s="180"/>
      <c r="BTI19" s="180"/>
      <c r="BTJ19" s="180"/>
      <c r="BTK19" s="180"/>
      <c r="BTL19" s="180"/>
      <c r="BTM19" s="180"/>
      <c r="BTN19" s="180"/>
      <c r="BTO19" s="180"/>
      <c r="BTP19" s="180"/>
      <c r="BTQ19" s="180"/>
      <c r="BTR19" s="180"/>
      <c r="BTS19" s="180"/>
      <c r="BTT19" s="180"/>
      <c r="BTU19" s="180"/>
      <c r="BTV19" s="180"/>
      <c r="BTW19" s="180"/>
      <c r="BTX19" s="180"/>
      <c r="BTY19" s="180"/>
      <c r="BTZ19" s="180"/>
      <c r="BUA19" s="180"/>
      <c r="BUB19" s="180"/>
      <c r="BUC19" s="180"/>
      <c r="BUD19" s="180"/>
      <c r="BUE19" s="180"/>
      <c r="BUF19" s="180"/>
      <c r="BUG19" s="180"/>
      <c r="BUH19" s="180"/>
      <c r="BUI19" s="180"/>
      <c r="BUJ19" s="180"/>
      <c r="BUK19" s="180"/>
      <c r="BUL19" s="180"/>
      <c r="BUM19" s="180"/>
      <c r="BUN19" s="180"/>
      <c r="BUO19" s="180"/>
      <c r="BUP19" s="180"/>
      <c r="BUQ19" s="180"/>
      <c r="BUR19" s="180"/>
      <c r="BUS19" s="180"/>
      <c r="BUT19" s="180"/>
      <c r="BUU19" s="180"/>
      <c r="BUV19" s="180"/>
      <c r="BUW19" s="180"/>
      <c r="BUX19" s="180"/>
      <c r="BUY19" s="180"/>
      <c r="BUZ19" s="180"/>
      <c r="BVA19" s="180"/>
      <c r="BVB19" s="180"/>
      <c r="BVC19" s="180"/>
      <c r="BVD19" s="180"/>
      <c r="BVE19" s="180"/>
      <c r="BVF19" s="180"/>
      <c r="BVG19" s="180"/>
      <c r="BVH19" s="180"/>
      <c r="BVI19" s="180"/>
      <c r="BVJ19" s="180"/>
      <c r="BVK19" s="180"/>
      <c r="BVL19" s="180"/>
      <c r="BVM19" s="180"/>
      <c r="BVN19" s="180"/>
      <c r="BVO19" s="180"/>
      <c r="BVP19" s="180"/>
      <c r="BVQ19" s="180"/>
      <c r="BVR19" s="180"/>
      <c r="BVS19" s="180"/>
      <c r="BVT19" s="180"/>
      <c r="BVU19" s="180"/>
      <c r="BVV19" s="180"/>
      <c r="BVW19" s="180"/>
      <c r="BVX19" s="180"/>
      <c r="BVY19" s="180"/>
      <c r="BVZ19" s="180"/>
      <c r="BWA19" s="180"/>
      <c r="BWB19" s="180"/>
      <c r="BWC19" s="180"/>
      <c r="BWD19" s="180"/>
      <c r="BWE19" s="180"/>
      <c r="BWF19" s="180"/>
      <c r="BWG19" s="180"/>
      <c r="BWH19" s="180"/>
      <c r="BWI19" s="180"/>
      <c r="BWJ19" s="180"/>
      <c r="BWK19" s="180"/>
      <c r="BWL19" s="180"/>
      <c r="BWM19" s="180"/>
      <c r="BWN19" s="180"/>
      <c r="BWO19" s="180"/>
      <c r="BWP19" s="180"/>
      <c r="BWQ19" s="180"/>
      <c r="BWR19" s="180"/>
      <c r="BWS19" s="180"/>
      <c r="BWT19" s="180"/>
      <c r="BWU19" s="180"/>
      <c r="BWV19" s="180"/>
      <c r="BWW19" s="180"/>
      <c r="BWX19" s="180"/>
      <c r="BWY19" s="180"/>
      <c r="BWZ19" s="180"/>
      <c r="BXA19" s="180"/>
      <c r="BXB19" s="180"/>
      <c r="BXC19" s="180"/>
      <c r="BXD19" s="180"/>
      <c r="BXE19" s="180"/>
      <c r="BXF19" s="180"/>
      <c r="BXG19" s="180"/>
      <c r="BXH19" s="180"/>
      <c r="BXI19" s="180"/>
      <c r="BXJ19" s="180"/>
      <c r="BXK19" s="180"/>
      <c r="BXL19" s="180"/>
      <c r="BXM19" s="180"/>
      <c r="BXN19" s="180"/>
      <c r="BXO19" s="180"/>
      <c r="BXP19" s="180"/>
      <c r="BXQ19" s="180"/>
      <c r="BXR19" s="180"/>
      <c r="BXS19" s="180"/>
      <c r="BXT19" s="180"/>
      <c r="BXU19" s="180"/>
      <c r="BXV19" s="180"/>
      <c r="BXW19" s="180"/>
      <c r="BXX19" s="180"/>
      <c r="BXY19" s="180"/>
      <c r="BXZ19" s="180"/>
      <c r="BYA19" s="180"/>
      <c r="BYB19" s="180"/>
      <c r="BYC19" s="180"/>
    </row>
    <row r="20" spans="1:2005" ht="25.5" customHeight="1">
      <c r="A20" s="1881" t="s">
        <v>813</v>
      </c>
      <c r="B20" s="660" t="s">
        <v>908</v>
      </c>
      <c r="C20" s="1313">
        <f>0.9*AVERAGE(FeedNutrientComposition!G86:G88,FeedNutrientComposition!G92:G101)-3</f>
        <v>12.923076923076925</v>
      </c>
      <c r="D20" s="1317">
        <f>0.1*C20</f>
        <v>1.2923076923076926</v>
      </c>
      <c r="E20" s="362">
        <f>0.9*AVERAGE(FeedNutrientComposition!G231:G232)-3</f>
        <v>4.2</v>
      </c>
      <c r="F20" s="1565">
        <f>0.1*E20</f>
        <v>0.42000000000000004</v>
      </c>
      <c r="G20" s="1318">
        <f>0.9*AVERAGE(FeedNutrientComposition!G32:G38,FeedNutrientComposition!G40)-3</f>
        <v>6.5625</v>
      </c>
      <c r="H20" s="1319">
        <f>0.1*G20</f>
        <v>0.65625</v>
      </c>
      <c r="I20" s="362">
        <f>0.9*AVERAGE(FeedNutrientComposition!G181:G184)-3</f>
        <v>5.3250000000000011</v>
      </c>
      <c r="J20" s="1317">
        <f>0.1*I20</f>
        <v>0.53250000000000008</v>
      </c>
      <c r="K20" s="342"/>
      <c r="L20" s="1314"/>
      <c r="M20" s="362">
        <f>0.9*AVERAGE(FeedNutrientComposition!G231:G232,FeedNutrientComposition!G235:G240)-3</f>
        <v>21.75</v>
      </c>
      <c r="N20" s="1317">
        <f>M20*0.1</f>
        <v>2.1750000000000003</v>
      </c>
      <c r="O20" s="362">
        <f>AVERAGE(FeedNutrientComposition!G268:G273)*0.9-3</f>
        <v>10.350000000000001</v>
      </c>
      <c r="P20" s="1566">
        <f>0.1*O20</f>
        <v>1.0350000000000001</v>
      </c>
      <c r="Q20" s="1320"/>
      <c r="R20" s="1321"/>
      <c r="S20" s="355">
        <f>AVERAGE(FeedNutrientComposition!G102:G104)*0.9-3</f>
        <v>5.0999999999999996</v>
      </c>
      <c r="T20" s="1567">
        <f>0.1*S20</f>
        <v>0.51</v>
      </c>
      <c r="U20" s="1325">
        <f>FeedNutrientComposition!G230*0.9-3</f>
        <v>5.0999999999999996</v>
      </c>
      <c r="V20" s="1314">
        <f>U20*10%</f>
        <v>0.51</v>
      </c>
      <c r="W20" s="1326">
        <f>AVERAGE(FeedNutrientComposition!G9:G12,FeedNutrientComposition!G26,FeedNutrientComposition!G37,FeedNutrientComposition!G49:G50,FeedNutrientComposition!G53,FeedNutrientComposition!G65:G66,FeedNutrientComposition!G71,FeedNutrientComposition!G80,FeedNutrientComposition!G82,FeedNutrientComposition!G83,FeedNutrientComposition!G133,FeedNutrientComposition!C138:G139,FeedNutrientComposition!G147,FeedNutrientComposition!G155,FeedNutrientComposition!G157,FeedNutrientComposition!G160,FeedNutrientComposition!G165,FeedNutrientComposition!G181,FeedNutrientComposition!G189:G190,FeedNutrientComposition!G209,FeedNutrientComposition!G219,FeedNutrientComposition!G226,FeedNutrientComposition!G233,FeedNutrientComposition!G244,FeedNutrientComposition!G257,FeedNutrientComposition!G262,FeedNutrientComposition!G270)*0.9-3</f>
        <v>14.571428571428573</v>
      </c>
      <c r="X20" s="1327">
        <f>W20*0.1</f>
        <v>1.4571428571428573</v>
      </c>
      <c r="Y20" s="1316"/>
      <c r="Z20" s="1314"/>
      <c r="AA20" s="1330">
        <f>((26.5 + 26.5 +FeedNutrientComposition!G264)/3)*0.9-3</f>
        <v>18.899999999999999</v>
      </c>
      <c r="AB20" s="1327">
        <f>0.1*AA20</f>
        <v>1.89</v>
      </c>
      <c r="AC20" s="1316"/>
      <c r="AD20" s="1596"/>
      <c r="AE20" s="1603"/>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0"/>
      <c r="BF20" s="180"/>
      <c r="BG20" s="180"/>
      <c r="BH20" s="180"/>
      <c r="BI20" s="180"/>
      <c r="BJ20" s="180"/>
      <c r="BK20" s="180"/>
      <c r="BL20" s="180"/>
      <c r="BM20" s="180"/>
      <c r="BN20" s="180"/>
      <c r="BO20" s="180"/>
      <c r="BP20" s="180"/>
      <c r="BQ20" s="180"/>
      <c r="BR20" s="180"/>
      <c r="BS20" s="180"/>
      <c r="BT20" s="180"/>
      <c r="BU20" s="180"/>
      <c r="BV20" s="180"/>
      <c r="BW20" s="180"/>
      <c r="BX20" s="180"/>
      <c r="BY20" s="180"/>
      <c r="BZ20" s="180"/>
      <c r="CA20" s="180"/>
      <c r="CB20" s="180"/>
      <c r="CC20" s="180"/>
      <c r="CD20" s="180"/>
      <c r="CE20" s="180"/>
      <c r="CF20" s="180"/>
      <c r="CG20" s="180"/>
      <c r="CH20" s="180"/>
      <c r="CI20" s="180"/>
      <c r="CJ20" s="180"/>
      <c r="CK20" s="180"/>
      <c r="CL20" s="180"/>
      <c r="CM20" s="180"/>
      <c r="CN20" s="180"/>
      <c r="CO20" s="180"/>
      <c r="CP20" s="180"/>
      <c r="CQ20" s="180"/>
      <c r="CR20" s="180"/>
      <c r="CS20" s="180"/>
      <c r="CT20" s="180"/>
      <c r="CU20" s="180"/>
      <c r="CV20" s="180"/>
      <c r="CW20" s="180"/>
      <c r="CX20" s="180"/>
      <c r="CY20" s="180"/>
      <c r="CZ20" s="180"/>
      <c r="DA20" s="180"/>
      <c r="DB20" s="180"/>
      <c r="DC20" s="180"/>
      <c r="DD20" s="180"/>
      <c r="DE20" s="180"/>
      <c r="DF20" s="180"/>
      <c r="DG20" s="180"/>
      <c r="DH20" s="180"/>
      <c r="DI20" s="180"/>
      <c r="DJ20" s="180"/>
      <c r="DK20" s="180"/>
      <c r="DL20" s="180"/>
      <c r="DM20" s="180"/>
      <c r="DN20" s="180"/>
      <c r="DO20" s="180"/>
      <c r="DP20" s="180"/>
      <c r="DQ20" s="180"/>
      <c r="DR20" s="180"/>
      <c r="DS20" s="180"/>
      <c r="DT20" s="180"/>
      <c r="DU20" s="180"/>
      <c r="DV20" s="180"/>
      <c r="DW20" s="180"/>
      <c r="DX20" s="180"/>
      <c r="DY20" s="180"/>
      <c r="DZ20" s="180"/>
      <c r="EA20" s="180"/>
      <c r="EB20" s="180"/>
      <c r="EC20" s="180"/>
      <c r="ED20" s="180"/>
      <c r="EE20" s="180"/>
      <c r="EF20" s="180"/>
      <c r="EG20" s="180"/>
      <c r="EH20" s="180"/>
      <c r="EI20" s="180"/>
      <c r="EJ20" s="180"/>
      <c r="EK20" s="180"/>
      <c r="EL20" s="180"/>
      <c r="EM20" s="180"/>
      <c r="EN20" s="180"/>
      <c r="EO20" s="180"/>
      <c r="EP20" s="180"/>
      <c r="EQ20" s="180"/>
      <c r="ER20" s="180"/>
      <c r="ES20" s="180"/>
      <c r="ET20" s="180"/>
      <c r="EU20" s="180"/>
      <c r="EV20" s="180"/>
      <c r="EW20" s="180"/>
      <c r="EX20" s="180"/>
      <c r="EY20" s="180"/>
      <c r="EZ20" s="180"/>
      <c r="FA20" s="180"/>
      <c r="FB20" s="180"/>
      <c r="FC20" s="180"/>
      <c r="FD20" s="180"/>
      <c r="FE20" s="180"/>
      <c r="FF20" s="180"/>
      <c r="FG20" s="180"/>
      <c r="FH20" s="180"/>
      <c r="FI20" s="180"/>
      <c r="FJ20" s="180"/>
      <c r="FK20" s="180"/>
      <c r="FL20" s="180"/>
      <c r="FM20" s="180"/>
      <c r="FN20" s="180"/>
      <c r="FO20" s="180"/>
      <c r="FP20" s="180"/>
      <c r="FQ20" s="180"/>
      <c r="FR20" s="180"/>
      <c r="FS20" s="180"/>
      <c r="FT20" s="180"/>
      <c r="FU20" s="180"/>
      <c r="FV20" s="180"/>
      <c r="FW20" s="180"/>
      <c r="FX20" s="180"/>
      <c r="FY20" s="180"/>
      <c r="FZ20" s="180"/>
      <c r="GA20" s="180"/>
      <c r="GB20" s="180"/>
      <c r="GC20" s="180"/>
      <c r="GD20" s="180"/>
      <c r="GE20" s="180"/>
      <c r="GF20" s="180"/>
      <c r="GG20" s="180"/>
      <c r="GH20" s="180"/>
      <c r="GI20" s="180"/>
      <c r="GJ20" s="180"/>
      <c r="GK20" s="180"/>
      <c r="GL20" s="180"/>
      <c r="GM20" s="180"/>
      <c r="GN20" s="180"/>
      <c r="GO20" s="180"/>
      <c r="GP20" s="180"/>
      <c r="GQ20" s="180"/>
      <c r="GR20" s="180"/>
      <c r="GS20" s="180"/>
      <c r="GT20" s="180"/>
      <c r="GU20" s="180"/>
      <c r="GV20" s="180"/>
      <c r="GW20" s="180"/>
      <c r="GX20" s="180"/>
      <c r="GY20" s="180"/>
      <c r="GZ20" s="180"/>
      <c r="HA20" s="180"/>
      <c r="HB20" s="180"/>
      <c r="HC20" s="180"/>
      <c r="HD20" s="180"/>
      <c r="HE20" s="180"/>
      <c r="HF20" s="180"/>
      <c r="HG20" s="180"/>
      <c r="HH20" s="180"/>
      <c r="HI20" s="180"/>
      <c r="HJ20" s="180"/>
      <c r="HK20" s="180"/>
      <c r="HL20" s="180"/>
      <c r="HM20" s="180"/>
      <c r="HN20" s="180"/>
      <c r="HO20" s="180"/>
      <c r="HP20" s="180"/>
      <c r="HQ20" s="180"/>
      <c r="HR20" s="180"/>
      <c r="HS20" s="180"/>
      <c r="HT20" s="180"/>
      <c r="HU20" s="180"/>
      <c r="HV20" s="180"/>
      <c r="HW20" s="180"/>
      <c r="HX20" s="180"/>
      <c r="HY20" s="180"/>
      <c r="HZ20" s="180"/>
      <c r="IA20" s="180"/>
      <c r="IB20" s="180"/>
      <c r="IC20" s="180"/>
      <c r="ID20" s="180"/>
      <c r="IE20" s="180"/>
      <c r="IF20" s="180"/>
      <c r="IG20" s="180"/>
      <c r="IH20" s="180"/>
      <c r="II20" s="180"/>
      <c r="IJ20" s="180"/>
      <c r="IK20" s="180"/>
      <c r="IL20" s="180"/>
      <c r="IM20" s="180"/>
      <c r="IN20" s="180"/>
      <c r="IO20" s="180"/>
      <c r="IP20" s="180"/>
      <c r="IQ20" s="180"/>
      <c r="IR20" s="180"/>
      <c r="IS20" s="180"/>
      <c r="IT20" s="180"/>
      <c r="IU20" s="180"/>
      <c r="IV20" s="180"/>
      <c r="IW20" s="180"/>
      <c r="IX20" s="180"/>
      <c r="IY20" s="180"/>
      <c r="IZ20" s="180"/>
      <c r="JA20" s="180"/>
      <c r="JB20" s="180"/>
      <c r="JC20" s="180"/>
      <c r="JD20" s="180"/>
      <c r="JE20" s="180"/>
      <c r="JF20" s="180"/>
      <c r="JG20" s="180"/>
      <c r="JH20" s="180"/>
      <c r="JI20" s="180"/>
      <c r="JJ20" s="180"/>
      <c r="JK20" s="180"/>
      <c r="JL20" s="180"/>
      <c r="JM20" s="180"/>
      <c r="JN20" s="180"/>
      <c r="JO20" s="180"/>
      <c r="JP20" s="180"/>
      <c r="JQ20" s="180"/>
      <c r="JR20" s="180"/>
      <c r="JS20" s="180"/>
      <c r="JT20" s="180"/>
      <c r="JU20" s="180"/>
      <c r="JV20" s="180"/>
      <c r="JW20" s="180"/>
      <c r="JX20" s="180"/>
      <c r="JY20" s="180"/>
      <c r="JZ20" s="180"/>
      <c r="KA20" s="180"/>
      <c r="KB20" s="180"/>
      <c r="KC20" s="180"/>
      <c r="KD20" s="180"/>
      <c r="KE20" s="180"/>
      <c r="KF20" s="180"/>
      <c r="KG20" s="180"/>
      <c r="KH20" s="180"/>
      <c r="KI20" s="180"/>
      <c r="KJ20" s="180"/>
      <c r="KK20" s="180"/>
      <c r="KL20" s="180"/>
      <c r="KM20" s="180"/>
      <c r="KN20" s="180"/>
      <c r="KO20" s="180"/>
      <c r="KP20" s="180"/>
      <c r="KQ20" s="180"/>
      <c r="KR20" s="180"/>
      <c r="KS20" s="180"/>
      <c r="KT20" s="180"/>
      <c r="KU20" s="180"/>
      <c r="KV20" s="180"/>
      <c r="KW20" s="180"/>
      <c r="KX20" s="180"/>
      <c r="KY20" s="180"/>
      <c r="KZ20" s="180"/>
      <c r="LA20" s="180"/>
      <c r="LB20" s="180"/>
      <c r="LC20" s="180"/>
      <c r="LD20" s="180"/>
      <c r="LE20" s="180"/>
      <c r="LF20" s="180"/>
      <c r="LG20" s="180"/>
      <c r="LH20" s="180"/>
      <c r="LI20" s="180"/>
      <c r="LJ20" s="180"/>
      <c r="LK20" s="180"/>
      <c r="LL20" s="180"/>
      <c r="LM20" s="180"/>
      <c r="LN20" s="180"/>
      <c r="LO20" s="180"/>
      <c r="LP20" s="180"/>
      <c r="LQ20" s="180"/>
      <c r="LR20" s="180"/>
      <c r="LS20" s="180"/>
      <c r="LT20" s="180"/>
      <c r="LU20" s="180"/>
      <c r="LV20" s="180"/>
      <c r="LW20" s="180"/>
      <c r="LX20" s="180"/>
      <c r="LY20" s="180"/>
      <c r="LZ20" s="180"/>
      <c r="MA20" s="180"/>
      <c r="MB20" s="180"/>
      <c r="MC20" s="180"/>
      <c r="MD20" s="180"/>
      <c r="ME20" s="180"/>
      <c r="MF20" s="180"/>
      <c r="MG20" s="180"/>
      <c r="MH20" s="180"/>
      <c r="MI20" s="180"/>
      <c r="MJ20" s="180"/>
      <c r="MK20" s="180"/>
      <c r="ML20" s="180"/>
      <c r="MM20" s="180"/>
      <c r="MN20" s="180"/>
      <c r="MO20" s="180"/>
      <c r="MP20" s="180"/>
      <c r="MQ20" s="180"/>
      <c r="MR20" s="180"/>
      <c r="MS20" s="180"/>
      <c r="MT20" s="180"/>
      <c r="MU20" s="180"/>
      <c r="MV20" s="180"/>
      <c r="MW20" s="180"/>
      <c r="MX20" s="180"/>
      <c r="MY20" s="180"/>
      <c r="MZ20" s="180"/>
      <c r="NA20" s="180"/>
      <c r="NB20" s="180"/>
      <c r="NC20" s="180"/>
      <c r="ND20" s="180"/>
      <c r="NE20" s="180"/>
      <c r="NF20" s="180"/>
      <c r="NG20" s="180"/>
      <c r="NH20" s="180"/>
      <c r="NI20" s="180"/>
      <c r="NJ20" s="180"/>
      <c r="NK20" s="180"/>
      <c r="NL20" s="180"/>
      <c r="NM20" s="180"/>
      <c r="NN20" s="180"/>
      <c r="NO20" s="180"/>
      <c r="NP20" s="180"/>
      <c r="NQ20" s="180"/>
      <c r="NR20" s="180"/>
      <c r="NS20" s="180"/>
      <c r="NT20" s="180"/>
      <c r="NU20" s="180"/>
      <c r="NV20" s="180"/>
      <c r="NW20" s="180"/>
      <c r="NX20" s="180"/>
      <c r="NY20" s="180"/>
      <c r="NZ20" s="180"/>
      <c r="OA20" s="180"/>
      <c r="OB20" s="180"/>
      <c r="OC20" s="180"/>
      <c r="OD20" s="180"/>
      <c r="OE20" s="180"/>
      <c r="OF20" s="180"/>
      <c r="OG20" s="180"/>
      <c r="OH20" s="180"/>
      <c r="OI20" s="180"/>
      <c r="OJ20" s="180"/>
      <c r="OK20" s="180"/>
      <c r="OL20" s="180"/>
      <c r="OM20" s="180"/>
      <c r="ON20" s="180"/>
      <c r="OO20" s="180"/>
      <c r="OP20" s="180"/>
      <c r="OQ20" s="180"/>
      <c r="OR20" s="180"/>
      <c r="OS20" s="180"/>
      <c r="OT20" s="180"/>
      <c r="OU20" s="180"/>
      <c r="OV20" s="180"/>
      <c r="OW20" s="180"/>
      <c r="OX20" s="180"/>
      <c r="OY20" s="180"/>
      <c r="OZ20" s="180"/>
      <c r="PA20" s="180"/>
      <c r="PB20" s="180"/>
      <c r="PC20" s="180"/>
      <c r="PD20" s="180"/>
      <c r="PE20" s="180"/>
      <c r="PF20" s="180"/>
      <c r="PG20" s="180"/>
      <c r="PH20" s="180"/>
      <c r="PI20" s="180"/>
      <c r="PJ20" s="180"/>
      <c r="PK20" s="180"/>
      <c r="PL20" s="180"/>
      <c r="PM20" s="180"/>
      <c r="PN20" s="180"/>
      <c r="PO20" s="180"/>
      <c r="PP20" s="180"/>
      <c r="PQ20" s="180"/>
      <c r="PR20" s="180"/>
      <c r="PS20" s="180"/>
      <c r="PT20" s="180"/>
      <c r="PU20" s="180"/>
      <c r="PV20" s="180"/>
      <c r="PW20" s="180"/>
      <c r="PX20" s="180"/>
      <c r="PY20" s="180"/>
      <c r="PZ20" s="180"/>
      <c r="QA20" s="180"/>
      <c r="QB20" s="180"/>
      <c r="QC20" s="180"/>
      <c r="QD20" s="180"/>
      <c r="QE20" s="180"/>
      <c r="QF20" s="180"/>
      <c r="QG20" s="180"/>
      <c r="QH20" s="180"/>
      <c r="QI20" s="180"/>
      <c r="QJ20" s="180"/>
      <c r="QK20" s="180"/>
      <c r="QL20" s="180"/>
      <c r="QM20" s="180"/>
      <c r="QN20" s="180"/>
      <c r="QO20" s="180"/>
      <c r="QP20" s="180"/>
      <c r="QQ20" s="180"/>
      <c r="QR20" s="180"/>
      <c r="QS20" s="180"/>
      <c r="QT20" s="180"/>
      <c r="QU20" s="180"/>
      <c r="QV20" s="180"/>
      <c r="QW20" s="180"/>
      <c r="QX20" s="180"/>
      <c r="QY20" s="180"/>
      <c r="QZ20" s="180"/>
      <c r="RA20" s="180"/>
      <c r="RB20" s="180"/>
      <c r="RC20" s="180"/>
      <c r="RD20" s="180"/>
      <c r="RE20" s="180"/>
      <c r="RF20" s="180"/>
      <c r="RG20" s="180"/>
      <c r="RH20" s="180"/>
      <c r="RI20" s="180"/>
      <c r="RJ20" s="180"/>
      <c r="RK20" s="180"/>
      <c r="RL20" s="180"/>
      <c r="RM20" s="180"/>
      <c r="RN20" s="180"/>
      <c r="RO20" s="180"/>
      <c r="RP20" s="180"/>
      <c r="RQ20" s="180"/>
      <c r="RR20" s="180"/>
      <c r="RS20" s="180"/>
      <c r="RT20" s="180"/>
      <c r="RU20" s="180"/>
      <c r="RV20" s="180"/>
      <c r="RW20" s="180"/>
      <c r="RX20" s="180"/>
      <c r="RY20" s="180"/>
      <c r="RZ20" s="180"/>
      <c r="SA20" s="180"/>
      <c r="SB20" s="180"/>
      <c r="SC20" s="180"/>
      <c r="SD20" s="180"/>
      <c r="SE20" s="180"/>
      <c r="SF20" s="180"/>
      <c r="SG20" s="180"/>
      <c r="SH20" s="180"/>
      <c r="SI20" s="180"/>
      <c r="SJ20" s="180"/>
      <c r="SK20" s="180"/>
      <c r="SL20" s="180"/>
      <c r="SM20" s="180"/>
      <c r="SN20" s="180"/>
      <c r="SO20" s="180"/>
      <c r="SP20" s="180"/>
      <c r="SQ20" s="180"/>
      <c r="SR20" s="180"/>
      <c r="SS20" s="180"/>
      <c r="ST20" s="180"/>
      <c r="SU20" s="180"/>
      <c r="SV20" s="180"/>
      <c r="SW20" s="180"/>
      <c r="SX20" s="180"/>
      <c r="SY20" s="180"/>
      <c r="SZ20" s="180"/>
      <c r="TA20" s="180"/>
      <c r="TB20" s="180"/>
      <c r="TC20" s="180"/>
      <c r="TD20" s="180"/>
      <c r="TE20" s="180"/>
      <c r="TF20" s="180"/>
      <c r="TG20" s="180"/>
      <c r="TH20" s="180"/>
      <c r="TI20" s="180"/>
      <c r="TJ20" s="180"/>
      <c r="TK20" s="180"/>
      <c r="TL20" s="180"/>
      <c r="TM20" s="180"/>
      <c r="TN20" s="180"/>
      <c r="TO20" s="180"/>
      <c r="TP20" s="180"/>
      <c r="TQ20" s="180"/>
      <c r="TR20" s="180"/>
      <c r="TS20" s="180"/>
      <c r="TT20" s="180"/>
      <c r="TU20" s="180"/>
      <c r="TV20" s="180"/>
      <c r="TW20" s="180"/>
      <c r="TX20" s="180"/>
      <c r="TY20" s="180"/>
      <c r="TZ20" s="180"/>
      <c r="UA20" s="180"/>
      <c r="UB20" s="180"/>
      <c r="UC20" s="180"/>
      <c r="UD20" s="180"/>
      <c r="UE20" s="180"/>
      <c r="UF20" s="180"/>
      <c r="UG20" s="180"/>
      <c r="UH20" s="180"/>
      <c r="UI20" s="180"/>
      <c r="UJ20" s="180"/>
      <c r="UK20" s="180"/>
      <c r="UL20" s="180"/>
      <c r="UM20" s="180"/>
      <c r="UN20" s="180"/>
      <c r="UO20" s="180"/>
      <c r="UP20" s="180"/>
      <c r="UQ20" s="180"/>
      <c r="UR20" s="180"/>
      <c r="US20" s="180"/>
      <c r="UT20" s="180"/>
      <c r="UU20" s="180"/>
      <c r="UV20" s="180"/>
      <c r="UW20" s="180"/>
      <c r="UX20" s="180"/>
      <c r="UY20" s="180"/>
      <c r="UZ20" s="180"/>
      <c r="VA20" s="180"/>
      <c r="VB20" s="180"/>
      <c r="VC20" s="180"/>
      <c r="VD20" s="180"/>
      <c r="VE20" s="180"/>
      <c r="VF20" s="180"/>
      <c r="VG20" s="180"/>
      <c r="VH20" s="180"/>
      <c r="VI20" s="180"/>
      <c r="VJ20" s="180"/>
      <c r="VK20" s="180"/>
      <c r="VL20" s="180"/>
      <c r="VM20" s="180"/>
      <c r="VN20" s="180"/>
      <c r="VO20" s="180"/>
      <c r="VP20" s="180"/>
      <c r="VQ20" s="180"/>
      <c r="VR20" s="180"/>
      <c r="VS20" s="180"/>
      <c r="VT20" s="180"/>
      <c r="VU20" s="180"/>
      <c r="VV20" s="180"/>
      <c r="VW20" s="180"/>
      <c r="VX20" s="180"/>
      <c r="VY20" s="180"/>
      <c r="VZ20" s="180"/>
      <c r="WA20" s="180"/>
      <c r="WB20" s="180"/>
      <c r="WC20" s="180"/>
      <c r="WD20" s="180"/>
      <c r="WE20" s="180"/>
      <c r="WF20" s="180"/>
      <c r="WG20" s="180"/>
      <c r="WH20" s="180"/>
      <c r="WI20" s="180"/>
      <c r="WJ20" s="180"/>
      <c r="WK20" s="180"/>
      <c r="WL20" s="180"/>
      <c r="WM20" s="180"/>
      <c r="WN20" s="180"/>
      <c r="WO20" s="180"/>
      <c r="WP20" s="180"/>
      <c r="WQ20" s="180"/>
      <c r="WR20" s="180"/>
      <c r="WS20" s="180"/>
      <c r="WT20" s="180"/>
      <c r="WU20" s="180"/>
      <c r="WV20" s="180"/>
      <c r="WW20" s="180"/>
      <c r="WX20" s="180"/>
      <c r="WY20" s="180"/>
      <c r="WZ20" s="180"/>
      <c r="XA20" s="180"/>
      <c r="XB20" s="180"/>
      <c r="XC20" s="180"/>
      <c r="XD20" s="180"/>
      <c r="XE20" s="180"/>
      <c r="XF20" s="180"/>
      <c r="XG20" s="180"/>
      <c r="XH20" s="180"/>
      <c r="XI20" s="180"/>
      <c r="XJ20" s="180"/>
      <c r="XK20" s="180"/>
      <c r="XL20" s="180"/>
      <c r="XM20" s="180"/>
      <c r="XN20" s="180"/>
      <c r="XO20" s="180"/>
      <c r="XP20" s="180"/>
      <c r="XQ20" s="180"/>
      <c r="XR20" s="180"/>
      <c r="XS20" s="180"/>
      <c r="XT20" s="180"/>
      <c r="XU20" s="180"/>
      <c r="XV20" s="180"/>
      <c r="XW20" s="180"/>
      <c r="XX20" s="180"/>
      <c r="XY20" s="180"/>
      <c r="XZ20" s="180"/>
      <c r="YA20" s="180"/>
      <c r="YB20" s="180"/>
      <c r="YC20" s="180"/>
      <c r="YD20" s="180"/>
      <c r="YE20" s="180"/>
      <c r="YF20" s="180"/>
      <c r="YG20" s="180"/>
      <c r="YH20" s="180"/>
      <c r="YI20" s="180"/>
      <c r="YJ20" s="180"/>
      <c r="YK20" s="180"/>
      <c r="YL20" s="180"/>
      <c r="YM20" s="180"/>
      <c r="YN20" s="180"/>
      <c r="YO20" s="180"/>
      <c r="YP20" s="180"/>
      <c r="YQ20" s="180"/>
      <c r="YR20" s="180"/>
      <c r="YS20" s="180"/>
      <c r="YT20" s="180"/>
      <c r="YU20" s="180"/>
      <c r="YV20" s="180"/>
      <c r="YW20" s="180"/>
      <c r="YX20" s="180"/>
      <c r="YY20" s="180"/>
      <c r="YZ20" s="180"/>
      <c r="ZA20" s="180"/>
      <c r="ZB20" s="180"/>
      <c r="ZC20" s="180"/>
      <c r="ZD20" s="180"/>
      <c r="ZE20" s="180"/>
      <c r="ZF20" s="180"/>
      <c r="ZG20" s="180"/>
      <c r="ZH20" s="180"/>
      <c r="ZI20" s="180"/>
      <c r="ZJ20" s="180"/>
      <c r="ZK20" s="180"/>
      <c r="ZL20" s="180"/>
      <c r="ZM20" s="180"/>
      <c r="ZN20" s="180"/>
      <c r="ZO20" s="180"/>
      <c r="ZP20" s="180"/>
      <c r="ZQ20" s="180"/>
      <c r="ZR20" s="180"/>
      <c r="ZS20" s="180"/>
      <c r="ZT20" s="180"/>
      <c r="ZU20" s="180"/>
      <c r="ZV20" s="180"/>
      <c r="ZW20" s="180"/>
      <c r="ZX20" s="180"/>
      <c r="ZY20" s="180"/>
      <c r="ZZ20" s="180"/>
      <c r="AAA20" s="180"/>
      <c r="AAB20" s="180"/>
      <c r="AAC20" s="180"/>
      <c r="AAD20" s="180"/>
      <c r="AAE20" s="180"/>
      <c r="AAF20" s="180"/>
      <c r="AAG20" s="180"/>
      <c r="AAH20" s="180"/>
      <c r="AAI20" s="180"/>
      <c r="AAJ20" s="180"/>
      <c r="AAK20" s="180"/>
      <c r="AAL20" s="180"/>
      <c r="AAM20" s="180"/>
      <c r="AAN20" s="180"/>
      <c r="AAO20" s="180"/>
      <c r="AAP20" s="180"/>
      <c r="AAQ20" s="180"/>
      <c r="AAR20" s="180"/>
      <c r="AAS20" s="180"/>
      <c r="AAT20" s="180"/>
      <c r="AAU20" s="180"/>
      <c r="AAV20" s="180"/>
      <c r="AAW20" s="180"/>
      <c r="AAX20" s="180"/>
      <c r="AAY20" s="180"/>
      <c r="AAZ20" s="180"/>
      <c r="ABA20" s="180"/>
      <c r="ABB20" s="180"/>
      <c r="ABC20" s="180"/>
      <c r="ABD20" s="180"/>
      <c r="ABE20" s="180"/>
      <c r="ABF20" s="180"/>
      <c r="ABG20" s="180"/>
      <c r="ABH20" s="180"/>
      <c r="ABI20" s="180"/>
      <c r="ABJ20" s="180"/>
      <c r="ABK20" s="180"/>
      <c r="ABL20" s="180"/>
      <c r="ABM20" s="180"/>
      <c r="ABN20" s="180"/>
      <c r="ABO20" s="180"/>
      <c r="ABP20" s="180"/>
      <c r="ABQ20" s="180"/>
      <c r="ABR20" s="180"/>
      <c r="ABS20" s="180"/>
      <c r="ABT20" s="180"/>
      <c r="ABU20" s="180"/>
      <c r="ABV20" s="180"/>
      <c r="ABW20" s="180"/>
      <c r="ABX20" s="180"/>
      <c r="ABY20" s="180"/>
      <c r="ABZ20" s="180"/>
      <c r="ACA20" s="180"/>
      <c r="ACB20" s="180"/>
      <c r="ACC20" s="180"/>
      <c r="ACD20" s="180"/>
      <c r="ACE20" s="180"/>
      <c r="ACF20" s="180"/>
      <c r="ACG20" s="180"/>
      <c r="ACH20" s="180"/>
      <c r="ACI20" s="180"/>
      <c r="ACJ20" s="180"/>
      <c r="ACK20" s="180"/>
      <c r="ACL20" s="180"/>
      <c r="ACM20" s="180"/>
      <c r="ACN20" s="180"/>
      <c r="ACO20" s="180"/>
      <c r="ACP20" s="180"/>
      <c r="ACQ20" s="180"/>
      <c r="ACR20" s="180"/>
      <c r="ACS20" s="180"/>
      <c r="ACT20" s="180"/>
      <c r="ACU20" s="180"/>
      <c r="ACV20" s="180"/>
      <c r="ACW20" s="180"/>
      <c r="ACX20" s="180"/>
      <c r="ACY20" s="180"/>
      <c r="ACZ20" s="180"/>
      <c r="ADA20" s="180"/>
      <c r="ADB20" s="180"/>
      <c r="ADC20" s="180"/>
      <c r="ADD20" s="180"/>
      <c r="ADE20" s="180"/>
      <c r="ADF20" s="180"/>
      <c r="ADG20" s="180"/>
      <c r="ADH20" s="180"/>
      <c r="ADI20" s="180"/>
      <c r="ADJ20" s="180"/>
      <c r="ADK20" s="180"/>
      <c r="ADL20" s="180"/>
      <c r="ADM20" s="180"/>
      <c r="ADN20" s="180"/>
      <c r="ADO20" s="180"/>
      <c r="ADP20" s="180"/>
      <c r="ADQ20" s="180"/>
      <c r="ADR20" s="180"/>
      <c r="ADS20" s="180"/>
      <c r="ADT20" s="180"/>
      <c r="ADU20" s="180"/>
      <c r="ADV20" s="180"/>
      <c r="ADW20" s="180"/>
      <c r="ADX20" s="180"/>
      <c r="ADY20" s="180"/>
      <c r="ADZ20" s="180"/>
      <c r="AEA20" s="180"/>
      <c r="AEB20" s="180"/>
      <c r="AEC20" s="180"/>
      <c r="AED20" s="180"/>
      <c r="AEE20" s="180"/>
      <c r="AEF20" s="180"/>
      <c r="AEG20" s="180"/>
      <c r="AEH20" s="180"/>
      <c r="AEI20" s="180"/>
      <c r="AEJ20" s="180"/>
      <c r="AEK20" s="180"/>
      <c r="AEL20" s="180"/>
      <c r="AEM20" s="180"/>
      <c r="AEN20" s="180"/>
      <c r="AEO20" s="180"/>
      <c r="AEP20" s="180"/>
      <c r="AEQ20" s="180"/>
      <c r="AER20" s="180"/>
      <c r="AES20" s="180"/>
      <c r="AET20" s="180"/>
      <c r="AEU20" s="180"/>
      <c r="AEV20" s="180"/>
      <c r="AEW20" s="180"/>
      <c r="AEX20" s="180"/>
      <c r="AEY20" s="180"/>
      <c r="AEZ20" s="180"/>
      <c r="AFA20" s="180"/>
      <c r="AFB20" s="180"/>
      <c r="AFC20" s="180"/>
      <c r="AFD20" s="180"/>
      <c r="AFE20" s="180"/>
      <c r="AFF20" s="180"/>
      <c r="AFG20" s="180"/>
      <c r="AFH20" s="180"/>
      <c r="AFI20" s="180"/>
      <c r="AFJ20" s="180"/>
      <c r="AFK20" s="180"/>
      <c r="AFL20" s="180"/>
      <c r="AFM20" s="180"/>
      <c r="AFN20" s="180"/>
      <c r="AFO20" s="180"/>
      <c r="AFP20" s="180"/>
      <c r="AFQ20" s="180"/>
      <c r="AFR20" s="180"/>
      <c r="AFS20" s="180"/>
      <c r="AFT20" s="180"/>
      <c r="AFU20" s="180"/>
      <c r="AFV20" s="180"/>
      <c r="AFW20" s="180"/>
      <c r="AFX20" s="180"/>
      <c r="AFY20" s="180"/>
      <c r="AFZ20" s="180"/>
      <c r="AGA20" s="180"/>
      <c r="AGB20" s="180"/>
      <c r="AGC20" s="180"/>
      <c r="AGD20" s="180"/>
      <c r="AGE20" s="180"/>
      <c r="AGF20" s="180"/>
      <c r="AGG20" s="180"/>
      <c r="AGH20" s="180"/>
      <c r="AGI20" s="180"/>
      <c r="AGJ20" s="180"/>
      <c r="AGK20" s="180"/>
      <c r="AGL20" s="180"/>
      <c r="AGM20" s="180"/>
      <c r="AGN20" s="180"/>
      <c r="AGO20" s="180"/>
      <c r="AGP20" s="180"/>
      <c r="AGQ20" s="180"/>
      <c r="AGR20" s="180"/>
      <c r="AGS20" s="180"/>
      <c r="AGT20" s="180"/>
      <c r="AGU20" s="180"/>
      <c r="AGV20" s="180"/>
      <c r="AGW20" s="180"/>
      <c r="AGX20" s="180"/>
      <c r="AGY20" s="180"/>
      <c r="AGZ20" s="180"/>
      <c r="AHA20" s="180"/>
      <c r="AHB20" s="180"/>
      <c r="AHC20" s="180"/>
      <c r="AHD20" s="180"/>
      <c r="AHE20" s="180"/>
      <c r="AHF20" s="180"/>
      <c r="AHG20" s="180"/>
      <c r="AHH20" s="180"/>
      <c r="AHI20" s="180"/>
      <c r="AHJ20" s="180"/>
      <c r="AHK20" s="180"/>
      <c r="AHL20" s="180"/>
      <c r="AHM20" s="180"/>
      <c r="AHN20" s="180"/>
      <c r="AHO20" s="180"/>
      <c r="AHP20" s="180"/>
      <c r="AHQ20" s="180"/>
      <c r="AHR20" s="180"/>
      <c r="AHS20" s="180"/>
      <c r="AHT20" s="180"/>
      <c r="AHU20" s="180"/>
      <c r="AHV20" s="180"/>
      <c r="AHW20" s="180"/>
      <c r="AHX20" s="180"/>
      <c r="AHY20" s="180"/>
      <c r="AHZ20" s="180"/>
      <c r="AIA20" s="180"/>
      <c r="AIB20" s="180"/>
      <c r="AIC20" s="180"/>
      <c r="AID20" s="180"/>
      <c r="AIE20" s="180"/>
      <c r="AIF20" s="180"/>
      <c r="AIG20" s="180"/>
      <c r="AIH20" s="180"/>
      <c r="AII20" s="180"/>
      <c r="AIJ20" s="180"/>
      <c r="AIK20" s="180"/>
      <c r="AIL20" s="180"/>
      <c r="AIM20" s="180"/>
      <c r="AIN20" s="180"/>
      <c r="AIO20" s="180"/>
      <c r="AIP20" s="180"/>
      <c r="AIQ20" s="180"/>
      <c r="AIR20" s="180"/>
      <c r="AIS20" s="180"/>
      <c r="AIT20" s="180"/>
      <c r="AIU20" s="180"/>
      <c r="AIV20" s="180"/>
      <c r="AIW20" s="180"/>
      <c r="AIX20" s="180"/>
      <c r="AIY20" s="180"/>
      <c r="AIZ20" s="180"/>
      <c r="AJA20" s="180"/>
      <c r="AJB20" s="180"/>
      <c r="AJC20" s="180"/>
      <c r="AJD20" s="180"/>
      <c r="AJE20" s="180"/>
      <c r="AJF20" s="180"/>
      <c r="AJG20" s="180"/>
      <c r="AJH20" s="180"/>
      <c r="AJI20" s="180"/>
      <c r="AJJ20" s="180"/>
      <c r="AJK20" s="180"/>
      <c r="AJL20" s="180"/>
      <c r="AJM20" s="180"/>
      <c r="AJN20" s="180"/>
      <c r="AJO20" s="180"/>
      <c r="AJP20" s="180"/>
      <c r="AJQ20" s="180"/>
      <c r="AJR20" s="180"/>
      <c r="AJS20" s="180"/>
      <c r="AJT20" s="180"/>
      <c r="AJU20" s="180"/>
      <c r="AJV20" s="180"/>
      <c r="AJW20" s="180"/>
      <c r="AJX20" s="180"/>
      <c r="AJY20" s="180"/>
      <c r="AJZ20" s="180"/>
      <c r="AKA20" s="180"/>
      <c r="AKB20" s="180"/>
      <c r="AKC20" s="180"/>
      <c r="AKD20" s="180"/>
      <c r="AKE20" s="180"/>
      <c r="AKF20" s="180"/>
      <c r="AKG20" s="180"/>
      <c r="AKH20" s="180"/>
      <c r="AKI20" s="180"/>
      <c r="AKJ20" s="180"/>
      <c r="AKK20" s="180"/>
      <c r="AKL20" s="180"/>
      <c r="AKM20" s="180"/>
      <c r="AKN20" s="180"/>
      <c r="AKO20" s="180"/>
      <c r="AKP20" s="180"/>
      <c r="AKQ20" s="180"/>
      <c r="AKR20" s="180"/>
      <c r="AKS20" s="180"/>
      <c r="AKT20" s="180"/>
      <c r="AKU20" s="180"/>
      <c r="AKV20" s="180"/>
      <c r="AKW20" s="180"/>
      <c r="AKX20" s="180"/>
      <c r="AKY20" s="180"/>
      <c r="AKZ20" s="180"/>
      <c r="ALA20" s="180"/>
      <c r="ALB20" s="180"/>
      <c r="ALC20" s="180"/>
      <c r="ALD20" s="180"/>
      <c r="ALE20" s="180"/>
      <c r="ALF20" s="180"/>
      <c r="ALG20" s="180"/>
      <c r="ALH20" s="180"/>
      <c r="ALI20" s="180"/>
      <c r="ALJ20" s="180"/>
      <c r="ALK20" s="180"/>
      <c r="ALL20" s="180"/>
      <c r="ALM20" s="180"/>
      <c r="ALN20" s="180"/>
      <c r="ALO20" s="180"/>
      <c r="ALP20" s="180"/>
      <c r="ALQ20" s="180"/>
      <c r="ALR20" s="180"/>
      <c r="ALS20" s="180"/>
      <c r="ALT20" s="180"/>
      <c r="ALU20" s="180"/>
      <c r="ALV20" s="180"/>
      <c r="ALW20" s="180"/>
      <c r="ALX20" s="180"/>
      <c r="ALY20" s="180"/>
      <c r="ALZ20" s="180"/>
      <c r="AMA20" s="180"/>
      <c r="AMB20" s="180"/>
      <c r="AMC20" s="180"/>
      <c r="AMD20" s="180"/>
      <c r="AME20" s="180"/>
      <c r="AMF20" s="180"/>
      <c r="AMG20" s="180"/>
      <c r="AMH20" s="180"/>
      <c r="AMI20" s="180"/>
      <c r="AMJ20" s="180"/>
      <c r="AMK20" s="180"/>
      <c r="AML20" s="180"/>
      <c r="AMM20" s="180"/>
      <c r="AMN20" s="180"/>
      <c r="AMO20" s="180"/>
      <c r="AMP20" s="180"/>
      <c r="AMQ20" s="180"/>
      <c r="AMR20" s="180"/>
      <c r="AMS20" s="180"/>
      <c r="AMT20" s="180"/>
      <c r="AMU20" s="180"/>
      <c r="AMV20" s="180"/>
      <c r="AMW20" s="180"/>
      <c r="AMX20" s="180"/>
      <c r="AMY20" s="180"/>
      <c r="AMZ20" s="180"/>
      <c r="ANA20" s="180"/>
      <c r="ANB20" s="180"/>
      <c r="ANC20" s="180"/>
      <c r="AND20" s="180"/>
      <c r="ANE20" s="180"/>
      <c r="ANF20" s="180"/>
      <c r="ANG20" s="180"/>
      <c r="ANH20" s="180"/>
      <c r="ANI20" s="180"/>
      <c r="ANJ20" s="180"/>
      <c r="ANK20" s="180"/>
      <c r="ANL20" s="180"/>
      <c r="ANM20" s="180"/>
      <c r="ANN20" s="180"/>
      <c r="ANO20" s="180"/>
      <c r="ANP20" s="180"/>
      <c r="ANQ20" s="180"/>
      <c r="ANR20" s="180"/>
      <c r="ANS20" s="180"/>
      <c r="ANT20" s="180"/>
      <c r="ANU20" s="180"/>
      <c r="ANV20" s="180"/>
      <c r="ANW20" s="180"/>
      <c r="ANX20" s="180"/>
      <c r="ANY20" s="180"/>
      <c r="ANZ20" s="180"/>
      <c r="AOA20" s="180"/>
      <c r="AOB20" s="180"/>
      <c r="AOC20" s="180"/>
      <c r="AOD20" s="180"/>
      <c r="AOE20" s="180"/>
      <c r="AOF20" s="180"/>
      <c r="AOG20" s="180"/>
      <c r="AOH20" s="180"/>
      <c r="AOI20" s="180"/>
      <c r="AOJ20" s="180"/>
      <c r="AOK20" s="180"/>
      <c r="AOL20" s="180"/>
      <c r="AOM20" s="180"/>
      <c r="AON20" s="180"/>
      <c r="AOO20" s="180"/>
      <c r="AOP20" s="180"/>
      <c r="AOQ20" s="180"/>
      <c r="AOR20" s="180"/>
      <c r="AOS20" s="180"/>
      <c r="AOT20" s="180"/>
      <c r="AOU20" s="180"/>
      <c r="AOV20" s="180"/>
      <c r="AOW20" s="180"/>
      <c r="AOX20" s="180"/>
      <c r="AOY20" s="180"/>
      <c r="AOZ20" s="180"/>
      <c r="APA20" s="180"/>
      <c r="APB20" s="180"/>
      <c r="APC20" s="180"/>
      <c r="APD20" s="180"/>
      <c r="APE20" s="180"/>
      <c r="APF20" s="180"/>
      <c r="APG20" s="180"/>
      <c r="APH20" s="180"/>
      <c r="API20" s="180"/>
      <c r="APJ20" s="180"/>
      <c r="APK20" s="180"/>
      <c r="APL20" s="180"/>
      <c r="APM20" s="180"/>
      <c r="APN20" s="180"/>
      <c r="APO20" s="180"/>
      <c r="APP20" s="180"/>
      <c r="APQ20" s="180"/>
      <c r="APR20" s="180"/>
      <c r="APS20" s="180"/>
      <c r="APT20" s="180"/>
      <c r="APU20" s="180"/>
      <c r="APV20" s="180"/>
      <c r="APW20" s="180"/>
      <c r="APX20" s="180"/>
      <c r="APY20" s="180"/>
      <c r="APZ20" s="180"/>
      <c r="AQA20" s="180"/>
      <c r="AQB20" s="180"/>
      <c r="AQC20" s="180"/>
      <c r="AQD20" s="180"/>
      <c r="AQE20" s="180"/>
      <c r="AQF20" s="180"/>
      <c r="AQG20" s="180"/>
      <c r="AQH20" s="180"/>
      <c r="AQI20" s="180"/>
      <c r="AQJ20" s="180"/>
      <c r="AQK20" s="180"/>
      <c r="AQL20" s="180"/>
      <c r="AQM20" s="180"/>
      <c r="AQN20" s="180"/>
      <c r="AQO20" s="180"/>
      <c r="AQP20" s="180"/>
      <c r="AQQ20" s="180"/>
      <c r="AQR20" s="180"/>
      <c r="AQS20" s="180"/>
      <c r="AQT20" s="180"/>
      <c r="AQU20" s="180"/>
      <c r="AQV20" s="180"/>
      <c r="AQW20" s="180"/>
      <c r="AQX20" s="180"/>
      <c r="AQY20" s="180"/>
      <c r="AQZ20" s="180"/>
      <c r="ARA20" s="180"/>
      <c r="ARB20" s="180"/>
      <c r="ARC20" s="180"/>
      <c r="ARD20" s="180"/>
      <c r="ARE20" s="180"/>
      <c r="ARF20" s="180"/>
      <c r="ARG20" s="180"/>
      <c r="ARH20" s="180"/>
      <c r="ARI20" s="180"/>
      <c r="ARJ20" s="180"/>
      <c r="ARK20" s="180"/>
      <c r="ARL20" s="180"/>
      <c r="ARM20" s="180"/>
      <c r="ARN20" s="180"/>
      <c r="ARO20" s="180"/>
      <c r="ARP20" s="180"/>
      <c r="ARQ20" s="180"/>
      <c r="ARR20" s="180"/>
      <c r="ARS20" s="180"/>
      <c r="ART20" s="180"/>
      <c r="ARU20" s="180"/>
      <c r="ARV20" s="180"/>
      <c r="ARW20" s="180"/>
      <c r="ARX20" s="180"/>
      <c r="ARY20" s="180"/>
      <c r="ARZ20" s="180"/>
      <c r="ASA20" s="180"/>
      <c r="ASB20" s="180"/>
      <c r="ASC20" s="180"/>
      <c r="ASD20" s="180"/>
      <c r="ASE20" s="180"/>
      <c r="ASF20" s="180"/>
      <c r="ASG20" s="180"/>
      <c r="ASH20" s="180"/>
      <c r="ASI20" s="180"/>
      <c r="ASJ20" s="180"/>
      <c r="ASK20" s="180"/>
      <c r="ASL20" s="180"/>
      <c r="ASM20" s="180"/>
      <c r="ASN20" s="180"/>
      <c r="ASO20" s="180"/>
      <c r="ASP20" s="180"/>
      <c r="ASQ20" s="180"/>
      <c r="ASR20" s="180"/>
      <c r="ASS20" s="180"/>
      <c r="AST20" s="180"/>
      <c r="ASU20" s="180"/>
      <c r="ASV20" s="180"/>
      <c r="ASW20" s="180"/>
      <c r="ASX20" s="180"/>
      <c r="ASY20" s="180"/>
      <c r="ASZ20" s="180"/>
      <c r="ATA20" s="180"/>
      <c r="ATB20" s="180"/>
      <c r="ATC20" s="180"/>
      <c r="ATD20" s="180"/>
      <c r="ATE20" s="180"/>
      <c r="ATF20" s="180"/>
      <c r="ATG20" s="180"/>
      <c r="ATH20" s="180"/>
      <c r="ATI20" s="180"/>
      <c r="ATJ20" s="180"/>
      <c r="ATK20" s="180"/>
      <c r="ATL20" s="180"/>
      <c r="ATM20" s="180"/>
      <c r="ATN20" s="180"/>
      <c r="ATO20" s="180"/>
      <c r="ATP20" s="180"/>
      <c r="ATQ20" s="180"/>
      <c r="ATR20" s="180"/>
      <c r="ATS20" s="180"/>
      <c r="ATT20" s="180"/>
      <c r="ATU20" s="180"/>
      <c r="ATV20" s="180"/>
      <c r="ATW20" s="180"/>
      <c r="ATX20" s="180"/>
      <c r="ATY20" s="180"/>
      <c r="ATZ20" s="180"/>
      <c r="AUA20" s="180"/>
      <c r="AUB20" s="180"/>
      <c r="AUC20" s="180"/>
      <c r="AUD20" s="180"/>
      <c r="AUE20" s="180"/>
      <c r="AUF20" s="180"/>
      <c r="AUG20" s="180"/>
      <c r="AUH20" s="180"/>
      <c r="AUI20" s="180"/>
      <c r="AUJ20" s="180"/>
      <c r="AUK20" s="180"/>
      <c r="AUL20" s="180"/>
      <c r="AUM20" s="180"/>
      <c r="AUN20" s="180"/>
      <c r="AUO20" s="180"/>
      <c r="AUP20" s="180"/>
      <c r="AUQ20" s="180"/>
      <c r="AUR20" s="180"/>
      <c r="AUS20" s="180"/>
      <c r="AUT20" s="180"/>
      <c r="AUU20" s="180"/>
      <c r="AUV20" s="180"/>
      <c r="AUW20" s="180"/>
      <c r="AUX20" s="180"/>
      <c r="AUY20" s="180"/>
      <c r="AUZ20" s="180"/>
      <c r="AVA20" s="180"/>
      <c r="AVB20" s="180"/>
      <c r="AVC20" s="180"/>
      <c r="AVD20" s="180"/>
      <c r="AVE20" s="180"/>
      <c r="AVF20" s="180"/>
      <c r="AVG20" s="180"/>
      <c r="AVH20" s="180"/>
      <c r="AVI20" s="180"/>
      <c r="AVJ20" s="180"/>
      <c r="AVK20" s="180"/>
      <c r="AVL20" s="180"/>
      <c r="AVM20" s="180"/>
      <c r="AVN20" s="180"/>
      <c r="AVO20" s="180"/>
      <c r="AVP20" s="180"/>
      <c r="AVQ20" s="180"/>
      <c r="AVR20" s="180"/>
      <c r="AVS20" s="180"/>
      <c r="AVT20" s="180"/>
      <c r="AVU20" s="180"/>
      <c r="AVV20" s="180"/>
      <c r="AVW20" s="180"/>
      <c r="AVX20" s="180"/>
      <c r="AVY20" s="180"/>
      <c r="AVZ20" s="180"/>
      <c r="AWA20" s="180"/>
      <c r="AWB20" s="180"/>
      <c r="AWC20" s="180"/>
      <c r="AWD20" s="180"/>
      <c r="AWE20" s="180"/>
      <c r="AWF20" s="180"/>
      <c r="AWG20" s="180"/>
      <c r="AWH20" s="180"/>
      <c r="AWI20" s="180"/>
      <c r="AWJ20" s="180"/>
      <c r="AWK20" s="180"/>
      <c r="AWL20" s="180"/>
      <c r="AWM20" s="180"/>
      <c r="AWN20" s="180"/>
      <c r="AWO20" s="180"/>
      <c r="AWP20" s="180"/>
      <c r="AWQ20" s="180"/>
      <c r="AWR20" s="180"/>
      <c r="AWS20" s="180"/>
      <c r="AWT20" s="180"/>
      <c r="AWU20" s="180"/>
      <c r="AWV20" s="180"/>
      <c r="AWW20" s="180"/>
      <c r="AWX20" s="180"/>
      <c r="AWY20" s="180"/>
      <c r="AWZ20" s="180"/>
      <c r="AXA20" s="180"/>
      <c r="AXB20" s="180"/>
      <c r="AXC20" s="180"/>
      <c r="AXD20" s="180"/>
      <c r="AXE20" s="180"/>
      <c r="AXF20" s="180"/>
      <c r="AXG20" s="180"/>
      <c r="AXH20" s="180"/>
      <c r="AXI20" s="180"/>
      <c r="AXJ20" s="180"/>
      <c r="AXK20" s="180"/>
      <c r="AXL20" s="180"/>
      <c r="AXM20" s="180"/>
      <c r="AXN20" s="180"/>
      <c r="AXO20" s="180"/>
      <c r="AXP20" s="180"/>
      <c r="AXQ20" s="180"/>
      <c r="AXR20" s="180"/>
      <c r="AXS20" s="180"/>
      <c r="AXT20" s="180"/>
      <c r="AXU20" s="180"/>
      <c r="AXV20" s="180"/>
      <c r="AXW20" s="180"/>
      <c r="AXX20" s="180"/>
      <c r="AXY20" s="180"/>
      <c r="AXZ20" s="180"/>
      <c r="AYA20" s="180"/>
      <c r="AYB20" s="180"/>
      <c r="AYC20" s="180"/>
      <c r="AYD20" s="180"/>
      <c r="AYE20" s="180"/>
      <c r="AYF20" s="180"/>
      <c r="AYG20" s="180"/>
      <c r="AYH20" s="180"/>
      <c r="AYI20" s="180"/>
      <c r="AYJ20" s="180"/>
      <c r="AYK20" s="180"/>
      <c r="AYL20" s="180"/>
      <c r="AYM20" s="180"/>
      <c r="AYN20" s="180"/>
      <c r="AYO20" s="180"/>
      <c r="AYP20" s="180"/>
      <c r="AYQ20" s="180"/>
      <c r="AYR20" s="180"/>
      <c r="AYS20" s="180"/>
      <c r="AYT20" s="180"/>
      <c r="AYU20" s="180"/>
      <c r="AYV20" s="180"/>
      <c r="AYW20" s="180"/>
      <c r="AYX20" s="180"/>
      <c r="AYY20" s="180"/>
      <c r="AYZ20" s="180"/>
      <c r="AZA20" s="180"/>
      <c r="AZB20" s="180"/>
      <c r="AZC20" s="180"/>
      <c r="AZD20" s="180"/>
      <c r="AZE20" s="180"/>
      <c r="AZF20" s="180"/>
      <c r="AZG20" s="180"/>
      <c r="AZH20" s="180"/>
      <c r="AZI20" s="180"/>
      <c r="AZJ20" s="180"/>
      <c r="AZK20" s="180"/>
      <c r="AZL20" s="180"/>
      <c r="AZM20" s="180"/>
      <c r="AZN20" s="180"/>
      <c r="AZO20" s="180"/>
      <c r="AZP20" s="180"/>
      <c r="AZQ20" s="180"/>
      <c r="AZR20" s="180"/>
      <c r="AZS20" s="180"/>
      <c r="AZT20" s="180"/>
      <c r="AZU20" s="180"/>
      <c r="AZV20" s="180"/>
      <c r="AZW20" s="180"/>
      <c r="AZX20" s="180"/>
      <c r="AZY20" s="180"/>
      <c r="AZZ20" s="180"/>
      <c r="BAA20" s="180"/>
      <c r="BAB20" s="180"/>
      <c r="BAC20" s="180"/>
      <c r="BAD20" s="180"/>
      <c r="BAE20" s="180"/>
      <c r="BAF20" s="180"/>
      <c r="BAG20" s="180"/>
      <c r="BAH20" s="180"/>
      <c r="BAI20" s="180"/>
      <c r="BAJ20" s="180"/>
      <c r="BAK20" s="180"/>
      <c r="BAL20" s="180"/>
      <c r="BAM20" s="180"/>
      <c r="BAN20" s="180"/>
      <c r="BAO20" s="180"/>
      <c r="BAP20" s="180"/>
      <c r="BAQ20" s="180"/>
      <c r="BAR20" s="180"/>
      <c r="BAS20" s="180"/>
      <c r="BAT20" s="180"/>
      <c r="BAU20" s="180"/>
      <c r="BAV20" s="180"/>
      <c r="BAW20" s="180"/>
      <c r="BAX20" s="180"/>
      <c r="BAY20" s="180"/>
      <c r="BAZ20" s="180"/>
      <c r="BBA20" s="180"/>
      <c r="BBB20" s="180"/>
      <c r="BBC20" s="180"/>
      <c r="BBD20" s="180"/>
      <c r="BBE20" s="180"/>
      <c r="BBF20" s="180"/>
      <c r="BBG20" s="180"/>
      <c r="BBH20" s="180"/>
      <c r="BBI20" s="180"/>
      <c r="BBJ20" s="180"/>
      <c r="BBK20" s="180"/>
      <c r="BBL20" s="180"/>
      <c r="BBM20" s="180"/>
      <c r="BBN20" s="180"/>
      <c r="BBO20" s="180"/>
      <c r="BBP20" s="180"/>
      <c r="BBQ20" s="180"/>
      <c r="BBR20" s="180"/>
      <c r="BBS20" s="180"/>
      <c r="BBT20" s="180"/>
      <c r="BBU20" s="180"/>
      <c r="BBV20" s="180"/>
      <c r="BBW20" s="180"/>
      <c r="BBX20" s="180"/>
      <c r="BBY20" s="180"/>
      <c r="BBZ20" s="180"/>
      <c r="BCA20" s="180"/>
      <c r="BCB20" s="180"/>
      <c r="BCC20" s="180"/>
      <c r="BCD20" s="180"/>
      <c r="BCE20" s="180"/>
      <c r="BCF20" s="180"/>
      <c r="BCG20" s="180"/>
      <c r="BCH20" s="180"/>
      <c r="BCI20" s="180"/>
      <c r="BCJ20" s="180"/>
      <c r="BCK20" s="180"/>
      <c r="BCL20" s="180"/>
      <c r="BCM20" s="180"/>
      <c r="BCN20" s="180"/>
      <c r="BCO20" s="180"/>
      <c r="BCP20" s="180"/>
      <c r="BCQ20" s="180"/>
      <c r="BCR20" s="180"/>
      <c r="BCS20" s="180"/>
      <c r="BCT20" s="180"/>
      <c r="BCU20" s="180"/>
      <c r="BCV20" s="180"/>
      <c r="BCW20" s="180"/>
      <c r="BCX20" s="180"/>
      <c r="BCY20" s="180"/>
      <c r="BCZ20" s="180"/>
      <c r="BDA20" s="180"/>
      <c r="BDB20" s="180"/>
      <c r="BDC20" s="180"/>
      <c r="BDD20" s="180"/>
      <c r="BDE20" s="180"/>
      <c r="BDF20" s="180"/>
      <c r="BDG20" s="180"/>
      <c r="BDH20" s="180"/>
      <c r="BDI20" s="180"/>
      <c r="BDJ20" s="180"/>
      <c r="BDK20" s="180"/>
      <c r="BDL20" s="180"/>
      <c r="BDM20" s="180"/>
      <c r="BDN20" s="180"/>
      <c r="BDO20" s="180"/>
      <c r="BDP20" s="180"/>
      <c r="BDQ20" s="180"/>
      <c r="BDR20" s="180"/>
      <c r="BDS20" s="180"/>
      <c r="BDT20" s="180"/>
      <c r="BDU20" s="180"/>
      <c r="BDV20" s="180"/>
      <c r="BDW20" s="180"/>
      <c r="BDX20" s="180"/>
      <c r="BDY20" s="180"/>
      <c r="BDZ20" s="180"/>
      <c r="BEA20" s="180"/>
      <c r="BEB20" s="180"/>
      <c r="BEC20" s="180"/>
      <c r="BED20" s="180"/>
      <c r="BEE20" s="180"/>
      <c r="BEF20" s="180"/>
      <c r="BEG20" s="180"/>
      <c r="BEH20" s="180"/>
      <c r="BEI20" s="180"/>
      <c r="BEJ20" s="180"/>
      <c r="BEK20" s="180"/>
      <c r="BEL20" s="180"/>
      <c r="BEM20" s="180"/>
      <c r="BEN20" s="180"/>
      <c r="BEO20" s="180"/>
      <c r="BEP20" s="180"/>
      <c r="BEQ20" s="180"/>
      <c r="BER20" s="180"/>
      <c r="BES20" s="180"/>
      <c r="BET20" s="180"/>
      <c r="BEU20" s="180"/>
      <c r="BEV20" s="180"/>
      <c r="BEW20" s="180"/>
      <c r="BEX20" s="180"/>
      <c r="BEY20" s="180"/>
      <c r="BEZ20" s="180"/>
      <c r="BFA20" s="180"/>
      <c r="BFB20" s="180"/>
      <c r="BFC20" s="180"/>
      <c r="BFD20" s="180"/>
      <c r="BFE20" s="180"/>
      <c r="BFF20" s="180"/>
      <c r="BFG20" s="180"/>
      <c r="BFH20" s="180"/>
      <c r="BFI20" s="180"/>
      <c r="BFJ20" s="180"/>
      <c r="BFK20" s="180"/>
      <c r="BFL20" s="180"/>
      <c r="BFM20" s="180"/>
      <c r="BFN20" s="180"/>
      <c r="BFO20" s="180"/>
      <c r="BFP20" s="180"/>
      <c r="BFQ20" s="180"/>
      <c r="BFR20" s="180"/>
      <c r="BFS20" s="180"/>
      <c r="BFT20" s="180"/>
      <c r="BFU20" s="180"/>
      <c r="BFV20" s="180"/>
      <c r="BFW20" s="180"/>
      <c r="BFX20" s="180"/>
      <c r="BFY20" s="180"/>
      <c r="BFZ20" s="180"/>
      <c r="BGA20" s="180"/>
      <c r="BGB20" s="180"/>
      <c r="BGC20" s="180"/>
      <c r="BGD20" s="180"/>
      <c r="BGE20" s="180"/>
      <c r="BGF20" s="180"/>
      <c r="BGG20" s="180"/>
      <c r="BGH20" s="180"/>
      <c r="BGI20" s="180"/>
      <c r="BGJ20" s="180"/>
      <c r="BGK20" s="180"/>
      <c r="BGL20" s="180"/>
      <c r="BGM20" s="180"/>
      <c r="BGN20" s="180"/>
      <c r="BGO20" s="180"/>
      <c r="BGP20" s="180"/>
      <c r="BGQ20" s="180"/>
      <c r="BGR20" s="180"/>
      <c r="BGS20" s="180"/>
      <c r="BGT20" s="180"/>
      <c r="BGU20" s="180"/>
      <c r="BGV20" s="180"/>
      <c r="BGW20" s="180"/>
      <c r="BGX20" s="180"/>
      <c r="BGY20" s="180"/>
      <c r="BGZ20" s="180"/>
      <c r="BHA20" s="180"/>
      <c r="BHB20" s="180"/>
      <c r="BHC20" s="180"/>
      <c r="BHD20" s="180"/>
      <c r="BHE20" s="180"/>
      <c r="BHF20" s="180"/>
      <c r="BHG20" s="180"/>
      <c r="BHH20" s="180"/>
      <c r="BHI20" s="180"/>
      <c r="BHJ20" s="180"/>
      <c r="BHK20" s="180"/>
      <c r="BHL20" s="180"/>
      <c r="BHM20" s="180"/>
      <c r="BHN20" s="180"/>
      <c r="BHO20" s="180"/>
      <c r="BHP20" s="180"/>
      <c r="BHQ20" s="180"/>
      <c r="BHR20" s="180"/>
      <c r="BHS20" s="180"/>
      <c r="BHT20" s="180"/>
      <c r="BHU20" s="180"/>
      <c r="BHV20" s="180"/>
      <c r="BHW20" s="180"/>
      <c r="BHX20" s="180"/>
      <c r="BHY20" s="180"/>
      <c r="BHZ20" s="180"/>
      <c r="BIA20" s="180"/>
      <c r="BIB20" s="180"/>
      <c r="BIC20" s="180"/>
      <c r="BID20" s="180"/>
      <c r="BIE20" s="180"/>
      <c r="BIF20" s="180"/>
      <c r="BIG20" s="180"/>
      <c r="BIH20" s="180"/>
      <c r="BII20" s="180"/>
      <c r="BIJ20" s="180"/>
      <c r="BIK20" s="180"/>
      <c r="BIL20" s="180"/>
      <c r="BIM20" s="180"/>
      <c r="BIN20" s="180"/>
      <c r="BIO20" s="180"/>
      <c r="BIP20" s="180"/>
      <c r="BIQ20" s="180"/>
      <c r="BIR20" s="180"/>
      <c r="BIS20" s="180"/>
      <c r="BIT20" s="180"/>
      <c r="BIU20" s="180"/>
      <c r="BIV20" s="180"/>
      <c r="BIW20" s="180"/>
      <c r="BIX20" s="180"/>
      <c r="BIY20" s="180"/>
      <c r="BIZ20" s="180"/>
      <c r="BJA20" s="180"/>
      <c r="BJB20" s="180"/>
      <c r="BJC20" s="180"/>
      <c r="BJD20" s="180"/>
      <c r="BJE20" s="180"/>
      <c r="BJF20" s="180"/>
      <c r="BJG20" s="180"/>
      <c r="BJH20" s="180"/>
      <c r="BJI20" s="180"/>
      <c r="BJJ20" s="180"/>
      <c r="BJK20" s="180"/>
      <c r="BJL20" s="180"/>
      <c r="BJM20" s="180"/>
      <c r="BJN20" s="180"/>
      <c r="BJO20" s="180"/>
      <c r="BJP20" s="180"/>
      <c r="BJQ20" s="180"/>
      <c r="BJR20" s="180"/>
      <c r="BJS20" s="180"/>
      <c r="BJT20" s="180"/>
      <c r="BJU20" s="180"/>
      <c r="BJV20" s="180"/>
      <c r="BJW20" s="180"/>
      <c r="BJX20" s="180"/>
      <c r="BJY20" s="180"/>
      <c r="BJZ20" s="180"/>
      <c r="BKA20" s="180"/>
      <c r="BKB20" s="180"/>
      <c r="BKC20" s="180"/>
      <c r="BKD20" s="180"/>
      <c r="BKE20" s="180"/>
      <c r="BKF20" s="180"/>
      <c r="BKG20" s="180"/>
      <c r="BKH20" s="180"/>
      <c r="BKI20" s="180"/>
      <c r="BKJ20" s="180"/>
      <c r="BKK20" s="180"/>
      <c r="BKL20" s="180"/>
      <c r="BKM20" s="180"/>
      <c r="BKN20" s="180"/>
      <c r="BKO20" s="180"/>
      <c r="BKP20" s="180"/>
      <c r="BKQ20" s="180"/>
      <c r="BKR20" s="180"/>
      <c r="BKS20" s="180"/>
      <c r="BKT20" s="180"/>
      <c r="BKU20" s="180"/>
      <c r="BKV20" s="180"/>
      <c r="BKW20" s="180"/>
      <c r="BKX20" s="180"/>
      <c r="BKY20" s="180"/>
      <c r="BKZ20" s="180"/>
      <c r="BLA20" s="180"/>
      <c r="BLB20" s="180"/>
      <c r="BLC20" s="180"/>
      <c r="BLD20" s="180"/>
      <c r="BLE20" s="180"/>
      <c r="BLF20" s="180"/>
      <c r="BLG20" s="180"/>
      <c r="BLH20" s="180"/>
      <c r="BLI20" s="180"/>
      <c r="BLJ20" s="180"/>
      <c r="BLK20" s="180"/>
      <c r="BLL20" s="180"/>
      <c r="BLM20" s="180"/>
      <c r="BLN20" s="180"/>
      <c r="BLO20" s="180"/>
      <c r="BLP20" s="180"/>
      <c r="BLQ20" s="180"/>
      <c r="BLR20" s="180"/>
      <c r="BLS20" s="180"/>
      <c r="BLT20" s="180"/>
      <c r="BLU20" s="180"/>
      <c r="BLV20" s="180"/>
      <c r="BLW20" s="180"/>
      <c r="BLX20" s="180"/>
      <c r="BLY20" s="180"/>
      <c r="BLZ20" s="180"/>
      <c r="BMA20" s="180"/>
      <c r="BMB20" s="180"/>
      <c r="BMC20" s="180"/>
      <c r="BMD20" s="180"/>
      <c r="BME20" s="180"/>
      <c r="BMF20" s="180"/>
      <c r="BMG20" s="180"/>
      <c r="BMH20" s="180"/>
      <c r="BMI20" s="180"/>
      <c r="BMJ20" s="180"/>
      <c r="BMK20" s="180"/>
      <c r="BML20" s="180"/>
      <c r="BMM20" s="180"/>
      <c r="BMN20" s="180"/>
      <c r="BMO20" s="180"/>
      <c r="BMP20" s="180"/>
      <c r="BMQ20" s="180"/>
      <c r="BMR20" s="180"/>
      <c r="BMS20" s="180"/>
      <c r="BMT20" s="180"/>
      <c r="BMU20" s="180"/>
      <c r="BMV20" s="180"/>
      <c r="BMW20" s="180"/>
      <c r="BMX20" s="180"/>
      <c r="BMY20" s="180"/>
      <c r="BMZ20" s="180"/>
      <c r="BNA20" s="180"/>
      <c r="BNB20" s="180"/>
      <c r="BNC20" s="180"/>
      <c r="BND20" s="180"/>
      <c r="BNE20" s="180"/>
      <c r="BNF20" s="180"/>
      <c r="BNG20" s="180"/>
      <c r="BNH20" s="180"/>
      <c r="BNI20" s="180"/>
      <c r="BNJ20" s="180"/>
      <c r="BNK20" s="180"/>
      <c r="BNL20" s="180"/>
      <c r="BNM20" s="180"/>
      <c r="BNN20" s="180"/>
      <c r="BNO20" s="180"/>
      <c r="BNP20" s="180"/>
      <c r="BNQ20" s="180"/>
      <c r="BNR20" s="180"/>
      <c r="BNS20" s="180"/>
      <c r="BNT20" s="180"/>
      <c r="BNU20" s="180"/>
      <c r="BNV20" s="180"/>
      <c r="BNW20" s="180"/>
      <c r="BNX20" s="180"/>
      <c r="BNY20" s="180"/>
      <c r="BNZ20" s="180"/>
      <c r="BOA20" s="180"/>
      <c r="BOB20" s="180"/>
      <c r="BOC20" s="180"/>
      <c r="BOD20" s="180"/>
      <c r="BOE20" s="180"/>
      <c r="BOF20" s="180"/>
      <c r="BOG20" s="180"/>
      <c r="BOH20" s="180"/>
      <c r="BOI20" s="180"/>
      <c r="BOJ20" s="180"/>
      <c r="BOK20" s="180"/>
      <c r="BOL20" s="180"/>
      <c r="BOM20" s="180"/>
      <c r="BON20" s="180"/>
      <c r="BOO20" s="180"/>
      <c r="BOP20" s="180"/>
      <c r="BOQ20" s="180"/>
      <c r="BOR20" s="180"/>
      <c r="BOS20" s="180"/>
      <c r="BOT20" s="180"/>
      <c r="BOU20" s="180"/>
      <c r="BOV20" s="180"/>
      <c r="BOW20" s="180"/>
      <c r="BOX20" s="180"/>
      <c r="BOY20" s="180"/>
      <c r="BOZ20" s="180"/>
      <c r="BPA20" s="180"/>
      <c r="BPB20" s="180"/>
      <c r="BPC20" s="180"/>
      <c r="BPD20" s="180"/>
      <c r="BPE20" s="180"/>
      <c r="BPF20" s="180"/>
      <c r="BPG20" s="180"/>
      <c r="BPH20" s="180"/>
      <c r="BPI20" s="180"/>
      <c r="BPJ20" s="180"/>
      <c r="BPK20" s="180"/>
      <c r="BPL20" s="180"/>
      <c r="BPM20" s="180"/>
      <c r="BPN20" s="180"/>
      <c r="BPO20" s="180"/>
      <c r="BPP20" s="180"/>
      <c r="BPQ20" s="180"/>
      <c r="BPR20" s="180"/>
      <c r="BPS20" s="180"/>
      <c r="BPT20" s="180"/>
      <c r="BPU20" s="180"/>
      <c r="BPV20" s="180"/>
      <c r="BPW20" s="180"/>
      <c r="BPX20" s="180"/>
      <c r="BPY20" s="180"/>
      <c r="BPZ20" s="180"/>
      <c r="BQA20" s="180"/>
      <c r="BQB20" s="180"/>
      <c r="BQC20" s="180"/>
      <c r="BQD20" s="180"/>
      <c r="BQE20" s="180"/>
      <c r="BQF20" s="180"/>
      <c r="BQG20" s="180"/>
      <c r="BQH20" s="180"/>
      <c r="BQI20" s="180"/>
      <c r="BQJ20" s="180"/>
      <c r="BQK20" s="180"/>
      <c r="BQL20" s="180"/>
      <c r="BQM20" s="180"/>
      <c r="BQN20" s="180"/>
      <c r="BQO20" s="180"/>
      <c r="BQP20" s="180"/>
      <c r="BQQ20" s="180"/>
      <c r="BQR20" s="180"/>
      <c r="BQS20" s="180"/>
      <c r="BQT20" s="180"/>
      <c r="BQU20" s="180"/>
      <c r="BQV20" s="180"/>
      <c r="BQW20" s="180"/>
      <c r="BQX20" s="180"/>
      <c r="BQY20" s="180"/>
      <c r="BQZ20" s="180"/>
      <c r="BRA20" s="180"/>
      <c r="BRB20" s="180"/>
      <c r="BRC20" s="180"/>
      <c r="BRD20" s="180"/>
      <c r="BRE20" s="180"/>
      <c r="BRF20" s="180"/>
      <c r="BRG20" s="180"/>
      <c r="BRH20" s="180"/>
      <c r="BRI20" s="180"/>
      <c r="BRJ20" s="180"/>
      <c r="BRK20" s="180"/>
      <c r="BRL20" s="180"/>
      <c r="BRM20" s="180"/>
      <c r="BRN20" s="180"/>
      <c r="BRO20" s="180"/>
      <c r="BRP20" s="180"/>
      <c r="BRQ20" s="180"/>
      <c r="BRR20" s="180"/>
      <c r="BRS20" s="180"/>
      <c r="BRT20" s="180"/>
      <c r="BRU20" s="180"/>
      <c r="BRV20" s="180"/>
      <c r="BRW20" s="180"/>
      <c r="BRX20" s="180"/>
      <c r="BRY20" s="180"/>
      <c r="BRZ20" s="180"/>
      <c r="BSA20" s="180"/>
      <c r="BSB20" s="180"/>
      <c r="BSC20" s="180"/>
      <c r="BSD20" s="180"/>
      <c r="BSE20" s="180"/>
      <c r="BSF20" s="180"/>
      <c r="BSG20" s="180"/>
      <c r="BSH20" s="180"/>
      <c r="BSI20" s="180"/>
      <c r="BSJ20" s="180"/>
      <c r="BSK20" s="180"/>
      <c r="BSL20" s="180"/>
      <c r="BSM20" s="180"/>
      <c r="BSN20" s="180"/>
      <c r="BSO20" s="180"/>
      <c r="BSP20" s="180"/>
      <c r="BSQ20" s="180"/>
      <c r="BSR20" s="180"/>
      <c r="BSS20" s="180"/>
      <c r="BST20" s="180"/>
      <c r="BSU20" s="180"/>
      <c r="BSV20" s="180"/>
      <c r="BSW20" s="180"/>
      <c r="BSX20" s="180"/>
      <c r="BSY20" s="180"/>
      <c r="BSZ20" s="180"/>
      <c r="BTA20" s="180"/>
      <c r="BTB20" s="180"/>
      <c r="BTC20" s="180"/>
      <c r="BTD20" s="180"/>
      <c r="BTE20" s="180"/>
      <c r="BTF20" s="180"/>
      <c r="BTG20" s="180"/>
      <c r="BTH20" s="180"/>
      <c r="BTI20" s="180"/>
      <c r="BTJ20" s="180"/>
      <c r="BTK20" s="180"/>
      <c r="BTL20" s="180"/>
      <c r="BTM20" s="180"/>
      <c r="BTN20" s="180"/>
      <c r="BTO20" s="180"/>
      <c r="BTP20" s="180"/>
      <c r="BTQ20" s="180"/>
      <c r="BTR20" s="180"/>
      <c r="BTS20" s="180"/>
      <c r="BTT20" s="180"/>
      <c r="BTU20" s="180"/>
      <c r="BTV20" s="180"/>
      <c r="BTW20" s="180"/>
      <c r="BTX20" s="180"/>
      <c r="BTY20" s="180"/>
      <c r="BTZ20" s="180"/>
      <c r="BUA20" s="180"/>
      <c r="BUB20" s="180"/>
      <c r="BUC20" s="180"/>
      <c r="BUD20" s="180"/>
      <c r="BUE20" s="180"/>
      <c r="BUF20" s="180"/>
      <c r="BUG20" s="180"/>
      <c r="BUH20" s="180"/>
      <c r="BUI20" s="180"/>
      <c r="BUJ20" s="180"/>
      <c r="BUK20" s="180"/>
      <c r="BUL20" s="180"/>
      <c r="BUM20" s="180"/>
      <c r="BUN20" s="180"/>
      <c r="BUO20" s="180"/>
      <c r="BUP20" s="180"/>
      <c r="BUQ20" s="180"/>
      <c r="BUR20" s="180"/>
      <c r="BUS20" s="180"/>
      <c r="BUT20" s="180"/>
      <c r="BUU20" s="180"/>
      <c r="BUV20" s="180"/>
      <c r="BUW20" s="180"/>
      <c r="BUX20" s="180"/>
      <c r="BUY20" s="180"/>
      <c r="BUZ20" s="180"/>
      <c r="BVA20" s="180"/>
      <c r="BVB20" s="180"/>
      <c r="BVC20" s="180"/>
      <c r="BVD20" s="180"/>
      <c r="BVE20" s="180"/>
      <c r="BVF20" s="180"/>
      <c r="BVG20" s="180"/>
      <c r="BVH20" s="180"/>
      <c r="BVI20" s="180"/>
      <c r="BVJ20" s="180"/>
      <c r="BVK20" s="180"/>
      <c r="BVL20" s="180"/>
      <c r="BVM20" s="180"/>
      <c r="BVN20" s="180"/>
      <c r="BVO20" s="180"/>
      <c r="BVP20" s="180"/>
      <c r="BVQ20" s="180"/>
      <c r="BVR20" s="180"/>
      <c r="BVS20" s="180"/>
      <c r="BVT20" s="180"/>
      <c r="BVU20" s="180"/>
      <c r="BVV20" s="180"/>
      <c r="BVW20" s="180"/>
      <c r="BVX20" s="180"/>
      <c r="BVY20" s="180"/>
      <c r="BVZ20" s="180"/>
      <c r="BWA20" s="180"/>
      <c r="BWB20" s="180"/>
      <c r="BWC20" s="180"/>
      <c r="BWD20" s="180"/>
      <c r="BWE20" s="180"/>
      <c r="BWF20" s="180"/>
      <c r="BWG20" s="180"/>
      <c r="BWH20" s="180"/>
      <c r="BWI20" s="180"/>
      <c r="BWJ20" s="180"/>
      <c r="BWK20" s="180"/>
      <c r="BWL20" s="180"/>
      <c r="BWM20" s="180"/>
      <c r="BWN20" s="180"/>
      <c r="BWO20" s="180"/>
      <c r="BWP20" s="180"/>
      <c r="BWQ20" s="180"/>
      <c r="BWR20" s="180"/>
      <c r="BWS20" s="180"/>
      <c r="BWT20" s="180"/>
      <c r="BWU20" s="180"/>
      <c r="BWV20" s="180"/>
      <c r="BWW20" s="180"/>
      <c r="BWX20" s="180"/>
      <c r="BWY20" s="180"/>
      <c r="BWZ20" s="180"/>
      <c r="BXA20" s="180"/>
      <c r="BXB20" s="180"/>
      <c r="BXC20" s="180"/>
      <c r="BXD20" s="180"/>
      <c r="BXE20" s="180"/>
      <c r="BXF20" s="180"/>
      <c r="BXG20" s="180"/>
      <c r="BXH20" s="180"/>
      <c r="BXI20" s="180"/>
      <c r="BXJ20" s="180"/>
      <c r="BXK20" s="180"/>
      <c r="BXL20" s="180"/>
      <c r="BXM20" s="180"/>
      <c r="BXN20" s="180"/>
      <c r="BXO20" s="180"/>
      <c r="BXP20" s="180"/>
      <c r="BXQ20" s="180"/>
      <c r="BXR20" s="180"/>
      <c r="BXS20" s="180"/>
      <c r="BXT20" s="180"/>
      <c r="BXU20" s="180"/>
      <c r="BXV20" s="180"/>
      <c r="BXW20" s="180"/>
      <c r="BXX20" s="180"/>
      <c r="BXY20" s="180"/>
      <c r="BXZ20" s="180"/>
      <c r="BYA20" s="180"/>
      <c r="BYB20" s="180"/>
      <c r="BYC20" s="180"/>
    </row>
    <row r="21" spans="1:2005" ht="15" customHeight="1">
      <c r="A21" s="1882"/>
      <c r="B21" s="406" t="s">
        <v>814</v>
      </c>
      <c r="C21" s="1322">
        <f>C9*C20/100</f>
        <v>35077.314106480189</v>
      </c>
      <c r="D21" s="1493">
        <f>C21*SQRT(D20^2/C20^2+D9^2/C9^2)</f>
        <v>5287.6271019826809</v>
      </c>
      <c r="E21" s="1322">
        <f>E9*E20/100</f>
        <v>315.76500922909088</v>
      </c>
      <c r="F21" s="1493">
        <f>E21*SQRT(F20^2/E20^2+F9^2/E9^2)</f>
        <v>100.84528248458842</v>
      </c>
      <c r="G21" s="1322">
        <f>G9*G20/100</f>
        <v>177.37259829545451</v>
      </c>
      <c r="H21" s="1493">
        <f>G21*SQRT(H20^2/G20^2+H9^2/G9^2)</f>
        <v>96.728392003638987</v>
      </c>
      <c r="I21" s="1322">
        <f>I9*I20/100</f>
        <v>202.86168021818182</v>
      </c>
      <c r="J21" s="1493">
        <f>I21*SQRT(J20^2/I20^2+J9^2/I9^2)</f>
        <v>47.875545080410895</v>
      </c>
      <c r="K21" s="413">
        <f>C21+E21+G21+I21</f>
        <v>35773.313394222918</v>
      </c>
      <c r="L21" s="1323">
        <f>SQRT(D21^2+F21^2+H21^2+J21^2)</f>
        <v>5289.6898387577994</v>
      </c>
      <c r="M21" s="1331">
        <f>M9*M20/100</f>
        <v>13244.54102297323</v>
      </c>
      <c r="N21" s="1493">
        <f>M21*SQRT(N20^2/M20^2+N9^2/M9^2)</f>
        <v>1558.757450881317</v>
      </c>
      <c r="O21" s="1331">
        <f>O9*O20/100</f>
        <v>981.69439500000021</v>
      </c>
      <c r="P21" s="1493">
        <f>O21*SQRT(P20^2/O20^2+P9^2/O9^2)</f>
        <v>343.45599623489835</v>
      </c>
      <c r="Q21" s="1324">
        <f>O21+M21+K21</f>
        <v>49999.548812196146</v>
      </c>
      <c r="R21" s="1494">
        <f>SQRT(L21^2+N21^2+P21^2)</f>
        <v>5525.2606637411454</v>
      </c>
      <c r="S21" s="1322">
        <f>S9*S20/100</f>
        <v>3039.0895920000012</v>
      </c>
      <c r="T21" s="1493">
        <f>S21*SQRT(T20^2/S20^2+T9^2/S9^2)</f>
        <v>654.6936369307391</v>
      </c>
      <c r="U21" s="1322">
        <f>U9*U20/100</f>
        <v>140.159424</v>
      </c>
      <c r="V21" s="1493">
        <f>U21*SQRT(V20^2/U20^2+V9^2/U9^2)</f>
        <v>31.558628536126204</v>
      </c>
      <c r="W21" s="1322">
        <f>W9*W20/100</f>
        <v>39346.136265085719</v>
      </c>
      <c r="X21" s="1493">
        <f>W21*SQRT(X20^2/W20^2+X9^2/W9^2)</f>
        <v>6814.9507092656822</v>
      </c>
      <c r="Y21" s="1328">
        <f>W21+U21+S21</f>
        <v>42525.385281085721</v>
      </c>
      <c r="Z21" s="1495">
        <f>SQRT(T21^2+V21^2+X21^2)</f>
        <v>6846.398533170086</v>
      </c>
      <c r="AA21" s="1328">
        <f>Y21+W21+U21</f>
        <v>82011.680970171437</v>
      </c>
      <c r="AB21" s="1493">
        <f>AA21*SQRT(AB20^2/AA20^2+AB9^2/AA9^2)</f>
        <v>27122.217831540271</v>
      </c>
      <c r="AC21" s="1328">
        <f>AA21+Y21</f>
        <v>124537.06625125716</v>
      </c>
      <c r="AD21" s="772">
        <f>SQRT(AB21^2+Z21^2)</f>
        <v>27972.984699107717</v>
      </c>
      <c r="AE21" s="1329">
        <f>AA21+Y21+Q21</f>
        <v>174536.6150634533</v>
      </c>
    </row>
    <row r="22" spans="1:2005" ht="29.25" customHeight="1">
      <c r="A22" s="1145"/>
      <c r="B22" s="1145"/>
      <c r="C22" s="176"/>
      <c r="D22" s="1147"/>
      <c r="E22" s="1147"/>
      <c r="F22" s="1100"/>
      <c r="G22" s="1085"/>
      <c r="H22" s="1148"/>
      <c r="I22" s="1148"/>
      <c r="J22" s="176"/>
      <c r="K22" s="1149"/>
      <c r="L22" s="1087"/>
      <c r="M22" s="1088"/>
      <c r="N22" s="176"/>
      <c r="O22" s="176">
        <f>O19/(O21/2.2)</f>
        <v>33.301127214170691</v>
      </c>
      <c r="P22" s="179"/>
      <c r="Q22" s="1150"/>
      <c r="R22" s="1151"/>
      <c r="S22" s="1085"/>
      <c r="T22" s="179"/>
      <c r="U22" s="180"/>
      <c r="Y22" s="180"/>
      <c r="Z22" s="180"/>
      <c r="AA22" s="180"/>
      <c r="AB22" s="180"/>
    </row>
    <row r="23" spans="1:2005" ht="30" customHeight="1">
      <c r="A23" s="1145"/>
      <c r="B23" s="1145"/>
      <c r="C23" s="1423"/>
      <c r="D23" s="1152"/>
      <c r="E23" s="1152"/>
      <c r="F23" s="1152"/>
      <c r="G23" s="1085"/>
      <c r="H23" s="1153"/>
      <c r="I23" s="1423"/>
      <c r="J23" s="176"/>
      <c r="K23" s="1149"/>
      <c r="L23" s="1370"/>
      <c r="M23" s="1088"/>
      <c r="N23" s="534"/>
      <c r="O23" s="482"/>
      <c r="P23" s="179"/>
      <c r="Q23" s="1151"/>
      <c r="R23" s="1151"/>
      <c r="S23" s="1085"/>
      <c r="T23" s="179"/>
      <c r="U23" s="180"/>
      <c r="W23" s="1151"/>
      <c r="Y23" s="1151"/>
    </row>
    <row r="24" spans="1:2005" ht="17" customHeight="1">
      <c r="B24" s="1154"/>
      <c r="C24" s="1425"/>
      <c r="D24" s="1085"/>
      <c r="E24" s="1085"/>
      <c r="F24" s="1085"/>
      <c r="G24" s="1085"/>
      <c r="H24" s="1153"/>
      <c r="I24" s="1424"/>
      <c r="J24" s="176"/>
      <c r="K24" s="1155"/>
      <c r="L24" s="1370"/>
      <c r="M24" s="1088"/>
      <c r="N24" s="176"/>
      <c r="O24" s="176"/>
      <c r="P24" s="179"/>
      <c r="Q24" s="1424"/>
      <c r="R24" s="1151"/>
      <c r="S24" s="1085"/>
      <c r="T24" s="179"/>
      <c r="U24" s="180"/>
      <c r="W24" s="1151"/>
    </row>
    <row r="25" spans="1:2005" ht="16">
      <c r="B25" s="1086"/>
      <c r="C25" s="1085"/>
      <c r="D25" s="1085"/>
      <c r="E25" s="1085"/>
      <c r="F25" s="1085"/>
      <c r="G25" s="1085"/>
      <c r="H25" s="482"/>
      <c r="I25" s="1090"/>
      <c r="J25" s="176"/>
      <c r="K25" s="342"/>
      <c r="L25" s="1371"/>
      <c r="M25" s="176"/>
      <c r="N25" s="176"/>
      <c r="O25" s="176"/>
      <c r="P25" s="179"/>
      <c r="Q25" s="180"/>
      <c r="R25" s="180"/>
      <c r="S25" s="1085"/>
      <c r="T25" s="179"/>
      <c r="U25" s="180"/>
      <c r="V25" s="180"/>
    </row>
    <row r="26" spans="1:2005" ht="24" customHeight="1">
      <c r="B26" s="1084"/>
      <c r="C26" s="1096"/>
      <c r="D26" s="1096"/>
      <c r="E26" s="1096"/>
      <c r="F26" s="1096"/>
      <c r="G26" s="1096"/>
      <c r="H26" s="1089"/>
      <c r="I26" s="1156"/>
      <c r="J26" s="1078"/>
      <c r="K26" s="1146"/>
      <c r="L26" s="1147"/>
      <c r="M26" s="1100"/>
      <c r="N26" s="1157"/>
      <c r="O26" s="1157"/>
      <c r="P26" s="1078"/>
      <c r="Q26" s="1099"/>
      <c r="R26" s="1099"/>
      <c r="S26" s="1099"/>
      <c r="T26" s="1078"/>
      <c r="U26" s="180"/>
    </row>
    <row r="27" spans="1:2005" ht="16">
      <c r="B27" s="1084"/>
      <c r="C27" s="1085"/>
      <c r="D27" s="1085"/>
      <c r="E27" s="1085"/>
      <c r="F27" s="1085"/>
      <c r="G27" s="1085"/>
      <c r="H27" s="180"/>
      <c r="I27" s="180"/>
      <c r="J27" s="180"/>
      <c r="K27" s="1152"/>
      <c r="L27" s="1152"/>
      <c r="M27" s="1152"/>
      <c r="N27" s="1080"/>
      <c r="O27" s="1080"/>
      <c r="P27" s="180"/>
      <c r="Q27" s="1099"/>
      <c r="R27" s="1099"/>
      <c r="S27" s="1099"/>
      <c r="T27" s="180"/>
      <c r="U27" s="180"/>
    </row>
    <row r="28" spans="1:2005" ht="16">
      <c r="B28" s="1084"/>
      <c r="C28" s="1085"/>
      <c r="D28" s="1085"/>
      <c r="E28" s="1085"/>
      <c r="F28" s="1085"/>
      <c r="G28" s="1085"/>
      <c r="H28" s="482"/>
      <c r="I28" s="482"/>
      <c r="J28" s="180"/>
      <c r="K28" s="1092"/>
      <c r="L28" s="1092"/>
      <c r="M28" s="1092"/>
      <c r="N28" s="1089"/>
      <c r="O28" s="1080"/>
      <c r="P28" s="180"/>
      <c r="Q28" s="180"/>
      <c r="R28" s="180"/>
      <c r="S28" s="180"/>
      <c r="T28" s="180"/>
      <c r="U28" s="180"/>
    </row>
    <row r="29" spans="1:2005" ht="16">
      <c r="B29" s="1084"/>
      <c r="C29" s="1091"/>
      <c r="D29" s="1091"/>
      <c r="E29" s="1091"/>
      <c r="F29" s="1158"/>
      <c r="G29" s="1085"/>
      <c r="H29" s="180"/>
      <c r="I29" s="1089"/>
      <c r="J29" s="180"/>
      <c r="K29" s="1092"/>
      <c r="L29" s="1092"/>
      <c r="M29" s="1092"/>
      <c r="N29" s="1089"/>
      <c r="O29" s="1080"/>
      <c r="P29" s="180"/>
      <c r="Q29" s="180"/>
      <c r="R29" s="180"/>
      <c r="S29" s="180"/>
      <c r="T29" s="180"/>
      <c r="U29" s="180"/>
    </row>
    <row r="30" spans="1:2005" ht="16">
      <c r="B30" s="1084"/>
      <c r="C30" s="1091"/>
      <c r="D30" s="1091"/>
      <c r="E30" s="1091"/>
      <c r="F30" s="1158"/>
      <c r="G30" s="1085"/>
      <c r="H30" s="180"/>
      <c r="I30" s="482"/>
      <c r="J30" s="180"/>
      <c r="K30" s="180"/>
      <c r="L30" s="180"/>
      <c r="M30" s="180"/>
      <c r="N30" s="180"/>
      <c r="O30" s="180"/>
      <c r="P30" s="180"/>
      <c r="Q30" s="180"/>
      <c r="R30" s="180"/>
      <c r="S30" s="180"/>
      <c r="T30" s="180"/>
      <c r="U30" s="180"/>
    </row>
    <row r="31" spans="1:2005" ht="16">
      <c r="A31" s="1083"/>
      <c r="B31" s="1081"/>
      <c r="C31" s="1083"/>
      <c r="D31" s="1083"/>
      <c r="E31" s="1083"/>
      <c r="F31" s="1083"/>
      <c r="G31" s="1082"/>
      <c r="H31" s="180"/>
      <c r="I31" s="180"/>
      <c r="J31" s="180"/>
      <c r="K31" s="180"/>
      <c r="L31" s="180"/>
      <c r="M31" s="180"/>
      <c r="N31" s="180"/>
      <c r="O31" s="180"/>
      <c r="P31" s="180"/>
      <c r="Q31" s="180"/>
      <c r="R31" s="180"/>
      <c r="S31" s="180"/>
      <c r="T31" s="180"/>
      <c r="U31" s="180"/>
    </row>
    <row r="32" spans="1:2005" ht="18" customHeight="1">
      <c r="A32" s="1083"/>
      <c r="B32" s="1159"/>
      <c r="C32" s="1160"/>
      <c r="D32" s="1160"/>
      <c r="E32" s="1160"/>
      <c r="F32" s="1160"/>
      <c r="G32" s="1160"/>
      <c r="H32" s="1160"/>
      <c r="I32" s="1160"/>
      <c r="J32" s="1160"/>
      <c r="K32" s="1160"/>
      <c r="L32" s="1160"/>
      <c r="M32" s="1161"/>
      <c r="N32" s="180"/>
      <c r="O32" s="1162"/>
      <c r="P32" s="1162"/>
      <c r="Q32" s="1162"/>
      <c r="R32" s="180"/>
      <c r="S32" s="180"/>
      <c r="T32" s="180"/>
      <c r="U32" s="180"/>
    </row>
    <row r="33" spans="1:21" ht="15" customHeight="1">
      <c r="A33" s="1083"/>
      <c r="B33" s="1159"/>
      <c r="C33" s="1146"/>
      <c r="D33" s="1147"/>
      <c r="E33" s="1147"/>
      <c r="F33" s="1100"/>
      <c r="G33" s="1100"/>
      <c r="H33" s="1146"/>
      <c r="I33" s="1146"/>
      <c r="J33" s="1147"/>
      <c r="K33" s="1100"/>
      <c r="L33" s="1100"/>
      <c r="M33" s="1161"/>
      <c r="N33" s="180"/>
      <c r="O33" s="1162"/>
      <c r="P33" s="1162"/>
      <c r="Q33" s="1162"/>
      <c r="R33" s="180"/>
      <c r="S33" s="180"/>
      <c r="T33" s="180"/>
      <c r="U33" s="180"/>
    </row>
    <row r="34" spans="1:21" ht="16" customHeight="1">
      <c r="A34" s="1083"/>
      <c r="B34" s="1086"/>
      <c r="C34" s="1152"/>
      <c r="D34" s="1152"/>
      <c r="E34" s="1152"/>
      <c r="F34" s="1152"/>
      <c r="G34" s="1152"/>
      <c r="H34" s="1152"/>
      <c r="I34" s="1152"/>
      <c r="J34" s="1152"/>
      <c r="K34" s="1152"/>
      <c r="L34" s="1152"/>
      <c r="M34" s="1161"/>
      <c r="N34" s="180"/>
      <c r="O34" s="1163"/>
      <c r="P34" s="1164"/>
      <c r="Q34" s="1163"/>
      <c r="R34" s="180"/>
      <c r="S34" s="180"/>
      <c r="T34" s="180"/>
      <c r="U34" s="180"/>
    </row>
    <row r="35" spans="1:21" ht="15" customHeight="1">
      <c r="A35" s="1083"/>
      <c r="B35" s="1154"/>
      <c r="C35" s="1165"/>
      <c r="D35" s="1093"/>
      <c r="E35" s="1165"/>
      <c r="F35" s="1083"/>
      <c r="G35" s="1085"/>
      <c r="H35" s="1093"/>
      <c r="I35" s="1093"/>
      <c r="J35" s="1093"/>
      <c r="K35" s="1093"/>
      <c r="L35" s="1085"/>
      <c r="M35" s="1161"/>
      <c r="N35" s="180"/>
      <c r="O35" s="1163"/>
      <c r="P35" s="1163"/>
      <c r="Q35" s="1163"/>
      <c r="R35" s="180"/>
      <c r="S35" s="180"/>
      <c r="T35" s="180"/>
      <c r="U35" s="180"/>
    </row>
    <row r="36" spans="1:21" ht="15" customHeight="1">
      <c r="A36" s="1083"/>
      <c r="B36" s="1086"/>
      <c r="C36" s="1165"/>
      <c r="D36" s="1093"/>
      <c r="E36" s="1165"/>
      <c r="F36" s="1083"/>
      <c r="G36" s="1085"/>
      <c r="H36" s="1093"/>
      <c r="I36" s="1093"/>
      <c r="J36" s="1093"/>
      <c r="K36" s="1093"/>
      <c r="L36" s="1085"/>
      <c r="M36" s="1161"/>
      <c r="N36" s="180"/>
      <c r="O36" s="1163"/>
      <c r="P36" s="1163"/>
      <c r="Q36" s="1163"/>
      <c r="R36" s="180"/>
      <c r="S36" s="180"/>
      <c r="T36" s="180"/>
      <c r="U36" s="180"/>
    </row>
    <row r="37" spans="1:21" ht="15" customHeight="1">
      <c r="A37" s="1083"/>
      <c r="B37" s="1084"/>
      <c r="C37" s="1166"/>
      <c r="D37" s="1095"/>
      <c r="E37" s="1166"/>
      <c r="F37" s="1166"/>
      <c r="G37" s="1096"/>
      <c r="H37" s="1095"/>
      <c r="I37" s="1095"/>
      <c r="J37" s="1095"/>
      <c r="K37" s="1095"/>
      <c r="L37" s="1096"/>
      <c r="M37" s="1161"/>
      <c r="N37" s="180"/>
      <c r="O37" s="1163"/>
      <c r="P37" s="1163"/>
      <c r="Q37" s="1163"/>
      <c r="R37" s="180"/>
      <c r="S37" s="180"/>
      <c r="T37" s="180"/>
      <c r="U37" s="180"/>
    </row>
    <row r="38" spans="1:21" ht="15" customHeight="1">
      <c r="A38" s="1083"/>
      <c r="B38" s="1084"/>
      <c r="C38" s="1165"/>
      <c r="D38" s="1093"/>
      <c r="E38" s="1165"/>
      <c r="F38" s="1083"/>
      <c r="G38" s="1096"/>
      <c r="H38" s="1093"/>
      <c r="I38" s="1093"/>
      <c r="J38" s="1093"/>
      <c r="K38" s="1093"/>
      <c r="L38" s="1096"/>
      <c r="M38" s="1161"/>
      <c r="N38" s="180"/>
      <c r="O38" s="1163"/>
      <c r="P38" s="1163"/>
      <c r="Q38" s="1163"/>
      <c r="R38" s="180"/>
      <c r="S38" s="180"/>
      <c r="T38" s="180"/>
      <c r="U38" s="180"/>
    </row>
    <row r="39" spans="1:21" ht="16" customHeight="1">
      <c r="A39" s="1082"/>
      <c r="B39" s="1084"/>
      <c r="C39" s="1165"/>
      <c r="D39" s="1093"/>
      <c r="E39" s="1165"/>
      <c r="F39" s="1083"/>
      <c r="G39" s="1096"/>
      <c r="H39" s="1093"/>
      <c r="I39" s="1093"/>
      <c r="J39" s="1093"/>
      <c r="K39" s="1093"/>
      <c r="L39" s="1096"/>
      <c r="M39" s="1161"/>
      <c r="N39" s="180"/>
      <c r="O39" s="180"/>
      <c r="P39" s="180"/>
      <c r="Q39" s="180"/>
      <c r="R39" s="180"/>
      <c r="S39" s="180"/>
      <c r="T39" s="180"/>
      <c r="U39" s="180"/>
    </row>
    <row r="40" spans="1:21">
      <c r="C40" s="180"/>
      <c r="D40" s="180"/>
      <c r="E40" s="180"/>
      <c r="F40" s="180"/>
      <c r="G40" s="1094"/>
      <c r="H40" s="180"/>
      <c r="I40" s="180"/>
      <c r="J40" s="180"/>
      <c r="K40" s="180"/>
      <c r="L40" s="180"/>
      <c r="M40" s="180"/>
      <c r="N40" s="180"/>
      <c r="O40" s="180"/>
      <c r="P40" s="180"/>
      <c r="Q40" s="180"/>
      <c r="R40" s="180"/>
      <c r="S40" s="180"/>
      <c r="T40" s="180"/>
      <c r="U40" s="180"/>
    </row>
    <row r="41" spans="1:21" ht="16">
      <c r="B41" s="1098"/>
      <c r="C41" s="1098"/>
      <c r="D41" s="1098"/>
      <c r="E41" s="1098"/>
      <c r="F41" s="1098"/>
      <c r="G41" s="1098"/>
      <c r="H41" s="1098"/>
      <c r="I41" s="1098"/>
      <c r="J41" s="1098"/>
      <c r="K41" s="1098"/>
      <c r="L41" s="180"/>
      <c r="M41" s="180"/>
      <c r="N41" s="180"/>
      <c r="O41" s="180"/>
      <c r="P41" s="180"/>
      <c r="Q41" s="180"/>
      <c r="R41" s="180"/>
      <c r="S41" s="180"/>
      <c r="T41" s="180"/>
      <c r="U41" s="180"/>
    </row>
    <row r="42" spans="1:21" ht="16">
      <c r="C42" s="180"/>
      <c r="D42" s="180"/>
      <c r="E42" s="180"/>
      <c r="F42" s="180"/>
      <c r="G42" s="1097"/>
      <c r="H42" s="180"/>
      <c r="I42" s="180"/>
      <c r="J42" s="180"/>
      <c r="K42" s="180"/>
      <c r="L42" s="180"/>
      <c r="M42" s="180"/>
      <c r="N42" s="180"/>
      <c r="O42" s="180"/>
      <c r="P42" s="180"/>
      <c r="Q42" s="180"/>
      <c r="R42" s="180"/>
      <c r="S42" s="180"/>
      <c r="T42" s="180"/>
      <c r="U42" s="180"/>
    </row>
    <row r="43" spans="1:21">
      <c r="C43" s="180"/>
      <c r="D43" s="180"/>
      <c r="E43" s="180"/>
      <c r="F43" s="180"/>
      <c r="G43" s="180"/>
      <c r="H43" s="180"/>
      <c r="I43" s="180"/>
      <c r="J43" s="180"/>
      <c r="K43" s="180"/>
      <c r="L43" s="180"/>
      <c r="M43" s="180"/>
      <c r="N43" s="180"/>
      <c r="O43" s="180"/>
      <c r="P43" s="180"/>
      <c r="Q43" s="180"/>
      <c r="R43" s="180"/>
      <c r="S43" s="180"/>
      <c r="T43" s="180"/>
      <c r="U43" s="180"/>
    </row>
    <row r="44" spans="1:21">
      <c r="C44" s="180"/>
      <c r="D44" s="180"/>
      <c r="E44" s="180"/>
      <c r="F44" s="180"/>
      <c r="G44" s="180"/>
      <c r="H44" s="180"/>
      <c r="I44" s="180"/>
      <c r="J44" s="180"/>
      <c r="K44" s="180"/>
      <c r="L44" s="180"/>
    </row>
    <row r="45" spans="1:21">
      <c r="C45" s="180"/>
      <c r="D45" s="180"/>
      <c r="E45" s="180"/>
      <c r="F45" s="180"/>
      <c r="G45" s="180"/>
      <c r="H45" s="180"/>
      <c r="I45" s="180"/>
      <c r="J45" s="180"/>
      <c r="K45" s="180"/>
      <c r="L45" s="180"/>
    </row>
    <row r="46" spans="1:21">
      <c r="C46" s="180"/>
    </row>
    <row r="47" spans="1:21">
      <c r="C47" s="180"/>
    </row>
    <row r="48" spans="1:21">
      <c r="C48" s="180"/>
    </row>
    <row r="49" spans="3:3">
      <c r="C49" s="180"/>
    </row>
    <row r="50" spans="3:3">
      <c r="C50" s="180"/>
    </row>
    <row r="51" spans="3:3">
      <c r="C51" s="180"/>
    </row>
    <row r="52" spans="3:3">
      <c r="C52" s="180"/>
    </row>
    <row r="53" spans="3:3">
      <c r="C53" s="180"/>
    </row>
    <row r="54" spans="3:3">
      <c r="C54" s="180"/>
    </row>
    <row r="55" spans="3:3">
      <c r="C55" s="180"/>
    </row>
    <row r="56" spans="3:3">
      <c r="C56" s="180"/>
    </row>
  </sheetData>
  <mergeCells count="24">
    <mergeCell ref="M2:N2"/>
    <mergeCell ref="A10:A12"/>
    <mergeCell ref="T1:Z1"/>
    <mergeCell ref="A16:A17"/>
    <mergeCell ref="A13:A15"/>
    <mergeCell ref="Y2:Z2"/>
    <mergeCell ref="Q1:R2"/>
    <mergeCell ref="E2:F2"/>
    <mergeCell ref="A20:A21"/>
    <mergeCell ref="AE1:AE2"/>
    <mergeCell ref="A4:A9"/>
    <mergeCell ref="AA1:AB1"/>
    <mergeCell ref="O2:P2"/>
    <mergeCell ref="C1:P1"/>
    <mergeCell ref="S2:T2"/>
    <mergeCell ref="U2:V2"/>
    <mergeCell ref="W2:X2"/>
    <mergeCell ref="K2:L2"/>
    <mergeCell ref="C2:D2"/>
    <mergeCell ref="I2:J2"/>
    <mergeCell ref="G2:H2"/>
    <mergeCell ref="AA2:AB2"/>
    <mergeCell ref="AC1:AD2"/>
    <mergeCell ref="A18:A19"/>
  </mergeCells>
  <phoneticPr fontId="107" type="noConversion"/>
  <pageMargins left="0.7" right="0.7" top="0.75" bottom="0.75" header="0.3" footer="0.3"/>
  <pageSetup orientation="portrait" verticalDpi="0"/>
  <ignoredErrors>
    <ignoredError sqref="D4:E4 D10:E10 J4 M10:M11 O10:O11 N10 N16 C10 S11 S6:S7 C4:C7 O6:O7 M5:M7 C16 C14 D14:E14 M14:M17 O13:O16 S13:S17 D16:E16 E15 G15 I15 E7 E5 G5 I5 E6 E11 E13 G6 G7 G11 G13 I6 I7 I13 H10:I10 F4:G4 F10:G10 F14:G14 F16:G16 H4:I4 H14:I14 H16" unlockedFormula="1"/>
  </ignoredErrors>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U96"/>
  <sheetViews>
    <sheetView topLeftCell="A16" zoomScale="110" zoomScaleNormal="110" zoomScalePageLayoutView="110" workbookViewId="0">
      <selection activeCell="D20" sqref="D20"/>
    </sheetView>
  </sheetViews>
  <sheetFormatPr baseColWidth="10" defaultColWidth="8.6640625" defaultRowHeight="15"/>
  <cols>
    <col min="1" max="1" width="7.5" customWidth="1"/>
    <col min="2" max="2" width="30.5" customWidth="1"/>
    <col min="3" max="3" width="17.83203125" customWidth="1"/>
    <col min="4" max="5" width="12" customWidth="1"/>
    <col min="6" max="6" width="12.33203125" customWidth="1"/>
    <col min="7" max="7" width="11.5" bestFit="1" customWidth="1"/>
    <col min="8" max="8" width="21.5" customWidth="1"/>
    <col min="9" max="9" width="11.1640625" customWidth="1"/>
    <col min="10" max="10" width="16.83203125" customWidth="1"/>
    <col min="11" max="11" width="13.83203125" customWidth="1"/>
    <col min="14" max="14" width="8.1640625" customWidth="1"/>
    <col min="15" max="15" width="9.1640625" customWidth="1"/>
    <col min="16" max="16" width="8.6640625" bestFit="1" customWidth="1"/>
    <col min="17" max="17" width="11.6640625" bestFit="1" customWidth="1"/>
  </cols>
  <sheetData>
    <row r="1" spans="1:15" s="931" customFormat="1" ht="6" customHeight="1" thickBot="1">
      <c r="B1" s="976"/>
    </row>
    <row r="2" spans="1:15" s="931" customFormat="1" ht="17" customHeight="1" thickBot="1">
      <c r="B2" s="1934" t="s">
        <v>34</v>
      </c>
      <c r="C2" s="940" t="s">
        <v>233</v>
      </c>
      <c r="D2" s="941">
        <v>4.1867999999999999</v>
      </c>
      <c r="E2" s="942" t="s">
        <v>234</v>
      </c>
      <c r="F2" s="177"/>
      <c r="G2" s="177"/>
      <c r="H2" s="177"/>
      <c r="I2" s="177"/>
    </row>
    <row r="3" spans="1:15" s="931" customFormat="1" ht="23.25" customHeight="1" thickBot="1">
      <c r="B3" s="1934"/>
      <c r="C3" s="973"/>
      <c r="D3" s="974"/>
      <c r="E3" s="975"/>
      <c r="F3" s="934" t="s">
        <v>661</v>
      </c>
      <c r="G3" s="177"/>
      <c r="H3" s="919" t="s">
        <v>662</v>
      </c>
      <c r="I3" s="177"/>
    </row>
    <row r="4" spans="1:15" s="931" customFormat="1" ht="16" customHeight="1" thickBot="1">
      <c r="B4" s="1934"/>
      <c r="C4" s="1932" t="s">
        <v>37</v>
      </c>
      <c r="D4" s="1933"/>
      <c r="E4" s="1933"/>
      <c r="F4" s="946">
        <f>4.63</f>
        <v>4.63</v>
      </c>
      <c r="G4" s="946"/>
      <c r="H4" s="945">
        <f>F4/D2</f>
        <v>1.1058565013853061</v>
      </c>
      <c r="I4" s="947"/>
      <c r="J4" s="931" t="s">
        <v>50</v>
      </c>
    </row>
    <row r="5" spans="1:15" ht="19.5" customHeight="1">
      <c r="B5" s="177"/>
      <c r="C5" s="939"/>
      <c r="D5" s="934"/>
      <c r="E5" s="934"/>
      <c r="G5" s="934"/>
      <c r="J5" s="177"/>
      <c r="K5" s="904"/>
      <c r="L5" s="177"/>
      <c r="M5" s="177"/>
      <c r="N5" s="177"/>
      <c r="O5" s="177"/>
    </row>
    <row r="6" spans="1:15" s="938" customFormat="1" ht="15.75" hidden="1" customHeight="1">
      <c r="B6" s="1298"/>
      <c r="C6" s="934"/>
      <c r="D6" s="934"/>
      <c r="E6" s="934"/>
      <c r="F6" s="929"/>
      <c r="G6" s="929"/>
      <c r="H6" s="1299"/>
      <c r="I6" s="929"/>
    </row>
    <row r="7" spans="1:15" s="938" customFormat="1" ht="106.5" customHeight="1">
      <c r="A7" s="1300"/>
      <c r="B7" s="1303" t="s">
        <v>812</v>
      </c>
      <c r="C7" s="1366" t="s">
        <v>838</v>
      </c>
      <c r="D7" s="1301"/>
      <c r="E7" s="1302" t="s">
        <v>807</v>
      </c>
      <c r="F7" s="1303" t="s">
        <v>811</v>
      </c>
      <c r="G7" s="1303" t="s">
        <v>808</v>
      </c>
      <c r="H7" s="1304" t="s">
        <v>937</v>
      </c>
      <c r="I7" s="1304" t="s">
        <v>809</v>
      </c>
      <c r="J7" s="1367" t="s">
        <v>839</v>
      </c>
      <c r="K7" s="1367" t="s">
        <v>911</v>
      </c>
      <c r="L7" s="1305" t="s">
        <v>810</v>
      </c>
      <c r="M7"/>
    </row>
    <row r="8" spans="1:15" s="938" customFormat="1" ht="16" customHeight="1">
      <c r="A8" s="1306" t="s">
        <v>465</v>
      </c>
      <c r="B8" s="919"/>
      <c r="C8" s="1311">
        <f>C44</f>
        <v>0.61</v>
      </c>
      <c r="D8" s="919"/>
      <c r="E8" s="919"/>
      <c r="F8" s="919"/>
      <c r="G8" s="919"/>
      <c r="H8" s="919"/>
      <c r="I8" s="919"/>
      <c r="J8" s="1368">
        <f>C8</f>
        <v>0.61</v>
      </c>
      <c r="K8" s="959">
        <f>10%*J8</f>
        <v>6.0999999999999999E-2</v>
      </c>
      <c r="L8" s="1312">
        <f>'USA Cal-Protein Intake'!N22*365.2</f>
        <v>33697.976197740216</v>
      </c>
      <c r="M8"/>
    </row>
    <row r="9" spans="1:15" s="938" customFormat="1" ht="16" customHeight="1">
      <c r="A9" s="1306" t="s">
        <v>464</v>
      </c>
      <c r="B9" s="919">
        <v>0.43</v>
      </c>
      <c r="C9" s="919"/>
      <c r="D9" s="919"/>
      <c r="E9" s="971">
        <v>43617.40597</v>
      </c>
      <c r="F9" s="971">
        <v>27145</v>
      </c>
      <c r="G9" s="971">
        <v>91</v>
      </c>
      <c r="H9" s="1311">
        <v>1.52</v>
      </c>
      <c r="I9" s="1311">
        <v>0.69364884864692522</v>
      </c>
      <c r="J9" s="1368">
        <f>H9*2.204</f>
        <v>3.3500800000000002</v>
      </c>
      <c r="K9" s="959">
        <f t="shared" ref="K9:K12" si="0">10%*J9</f>
        <v>0.33500800000000003</v>
      </c>
      <c r="L9" s="1307">
        <f>'USA Cal-Protein Intake'!F22*365.2</f>
        <v>21266.654791881298</v>
      </c>
      <c r="M9"/>
    </row>
    <row r="10" spans="1:15" s="938" customFormat="1" ht="16" customHeight="1">
      <c r="A10" s="1306" t="s">
        <v>110</v>
      </c>
      <c r="B10" s="919">
        <v>0.56000000000000005</v>
      </c>
      <c r="C10" s="919"/>
      <c r="D10" s="919"/>
      <c r="E10" s="971">
        <v>53127.078124665917</v>
      </c>
      <c r="F10" s="971">
        <v>34951.859930466075</v>
      </c>
      <c r="G10" s="971">
        <v>112.44358408761995</v>
      </c>
      <c r="H10" s="1311">
        <v>1.04</v>
      </c>
      <c r="I10" s="1311">
        <v>0.62934881592492598</v>
      </c>
      <c r="J10" s="1368">
        <f>H10*2.204</f>
        <v>2.2921600000000004</v>
      </c>
      <c r="K10" s="959">
        <f t="shared" si="0"/>
        <v>0.22921600000000006</v>
      </c>
      <c r="L10" s="1307">
        <f>'USA Cal-Protein Intake'!H22*365.2</f>
        <v>17109.03764652654</v>
      </c>
      <c r="M10"/>
    </row>
    <row r="11" spans="1:15" s="938" customFormat="1" ht="16" customHeight="1">
      <c r="A11" s="1306" t="s">
        <v>222</v>
      </c>
      <c r="B11" s="919">
        <v>0.53</v>
      </c>
      <c r="C11" s="919"/>
      <c r="D11" s="919"/>
      <c r="E11" s="971">
        <v>28580.311967361111</v>
      </c>
      <c r="F11" s="971">
        <v>19109.090261307181</v>
      </c>
      <c r="G11" s="971">
        <v>64.223387114404915</v>
      </c>
      <c r="H11" s="1311">
        <v>1.32</v>
      </c>
      <c r="I11" s="1311">
        <v>0.73075650799655334</v>
      </c>
      <c r="J11" s="1368">
        <f>H11*2.204</f>
        <v>2.9092800000000003</v>
      </c>
      <c r="K11" s="959">
        <f t="shared" si="0"/>
        <v>0.29092800000000002</v>
      </c>
      <c r="L11" s="1307">
        <f>'USA Cal-Protein Intake'!J22*365.2</f>
        <v>12398.652307523202</v>
      </c>
      <c r="M11"/>
    </row>
    <row r="12" spans="1:15" s="938" customFormat="1" ht="16" customHeight="1">
      <c r="A12" s="1308" t="s">
        <v>223</v>
      </c>
      <c r="B12" s="1309"/>
      <c r="C12" s="1309">
        <f>C38</f>
        <v>1.43</v>
      </c>
      <c r="D12" s="1309"/>
      <c r="E12" s="1309"/>
      <c r="F12" s="1309"/>
      <c r="G12" s="1309"/>
      <c r="H12" s="1309"/>
      <c r="I12" s="1309"/>
      <c r="J12" s="1369">
        <f>C12</f>
        <v>1.43</v>
      </c>
      <c r="K12" s="1529">
        <f t="shared" si="0"/>
        <v>0.14299999999999999</v>
      </c>
      <c r="L12" s="1310">
        <f>'USA Cal-Protein Intake'!L22*365.2</f>
        <v>3757.8863428063009</v>
      </c>
      <c r="M12"/>
    </row>
    <row r="13" spans="1:15" ht="16" thickBot="1">
      <c r="A13" s="915"/>
      <c r="B13" s="915"/>
      <c r="C13" s="915"/>
      <c r="D13" s="915"/>
      <c r="E13" s="915"/>
      <c r="F13" s="915"/>
      <c r="G13" s="915"/>
      <c r="H13" s="915"/>
      <c r="I13" s="915"/>
      <c r="J13" s="915"/>
      <c r="K13" s="915"/>
      <c r="L13" s="915"/>
    </row>
    <row r="14" spans="1:15" ht="15" customHeight="1">
      <c r="B14" s="1780" t="s">
        <v>464</v>
      </c>
      <c r="C14" s="1935"/>
      <c r="D14" s="935"/>
      <c r="E14" s="177"/>
      <c r="F14" s="943"/>
      <c r="G14" s="943"/>
      <c r="H14" s="177"/>
      <c r="I14" s="919"/>
      <c r="J14" s="177"/>
      <c r="K14" s="177"/>
      <c r="L14" s="177"/>
      <c r="M14" s="930"/>
      <c r="N14" s="177"/>
      <c r="O14" s="177"/>
    </row>
    <row r="15" spans="1:15" s="931" customFormat="1" ht="15" customHeight="1">
      <c r="B15" s="948" t="s">
        <v>3</v>
      </c>
      <c r="C15" s="949">
        <f>0.43</f>
        <v>0.43</v>
      </c>
      <c r="D15" s="931" t="s">
        <v>49</v>
      </c>
      <c r="E15" s="177"/>
      <c r="F15" s="943"/>
      <c r="G15" s="943"/>
      <c r="H15" s="177"/>
      <c r="I15" s="919"/>
      <c r="M15" s="933"/>
      <c r="N15" s="177"/>
      <c r="O15" s="177"/>
    </row>
    <row r="16" spans="1:15" s="925" customFormat="1">
      <c r="B16" s="948" t="s">
        <v>30</v>
      </c>
      <c r="C16" s="950">
        <f>5.7+0.2+6.9+1.6</f>
        <v>14.4</v>
      </c>
      <c r="D16" s="935" t="s">
        <v>917</v>
      </c>
      <c r="E16" s="944"/>
      <c r="F16" s="944"/>
      <c r="G16" s="944"/>
      <c r="H16" s="944"/>
      <c r="I16" s="919"/>
      <c r="J16" s="919"/>
      <c r="K16" s="177"/>
      <c r="L16" s="930"/>
      <c r="M16" s="177"/>
      <c r="N16" s="177"/>
      <c r="O16" s="177"/>
    </row>
    <row r="17" spans="1:17">
      <c r="B17" s="948" t="s">
        <v>31</v>
      </c>
      <c r="C17" s="950">
        <f>15.5</f>
        <v>15.5</v>
      </c>
      <c r="D17" s="920" t="s">
        <v>2</v>
      </c>
      <c r="E17" s="915"/>
      <c r="F17" s="915"/>
      <c r="G17" s="915"/>
      <c r="H17" s="915"/>
      <c r="I17" s="919"/>
      <c r="J17" s="919"/>
      <c r="K17" s="177"/>
      <c r="L17" s="927"/>
      <c r="M17" s="177"/>
      <c r="N17" s="177"/>
      <c r="O17" s="177"/>
    </row>
    <row r="18" spans="1:17" s="931" customFormat="1">
      <c r="B18" s="948" t="s">
        <v>32</v>
      </c>
      <c r="C18" s="950">
        <f>AVERAGE(14.8,16.2)</f>
        <v>15.5</v>
      </c>
      <c r="D18" s="920" t="s">
        <v>51</v>
      </c>
      <c r="E18" s="917"/>
      <c r="F18"/>
      <c r="G18"/>
      <c r="H18"/>
      <c r="I18"/>
      <c r="J18"/>
      <c r="K18"/>
      <c r="L18" s="930"/>
      <c r="M18" s="177"/>
      <c r="N18" s="177"/>
      <c r="O18" s="177"/>
    </row>
    <row r="19" spans="1:17">
      <c r="B19" s="948" t="s">
        <v>33</v>
      </c>
      <c r="C19" s="950">
        <f>AVERAGE(14,32)</f>
        <v>23</v>
      </c>
      <c r="D19" s="954" t="s">
        <v>52</v>
      </c>
      <c r="E19" s="936"/>
      <c r="F19" s="915"/>
      <c r="G19" s="915"/>
      <c r="H19" s="915"/>
      <c r="I19" s="919"/>
      <c r="J19" s="919"/>
      <c r="K19" s="177"/>
      <c r="L19" s="927"/>
      <c r="M19" s="177"/>
      <c r="N19" s="177"/>
      <c r="O19" s="177"/>
    </row>
    <row r="20" spans="1:17" ht="16" thickBot="1">
      <c r="B20" s="948" t="s">
        <v>41</v>
      </c>
      <c r="C20" s="951">
        <f>AVERAGE(C19,C18/C15,C17/C15,C16/C15)</f>
        <v>32.145348837209305</v>
      </c>
      <c r="D20" s="850" t="s">
        <v>795</v>
      </c>
      <c r="E20" s="917"/>
    </row>
    <row r="21" spans="1:17" ht="16" customHeight="1" thickBot="1">
      <c r="B21" s="952" t="s">
        <v>4</v>
      </c>
      <c r="C21" s="983">
        <f>C20/(H9*2.204)</f>
        <v>9.5953973747520376</v>
      </c>
      <c r="D21" s="987">
        <f>STDEV(C19,C18/C15,C17/C15,C16/C15)/(H9*2.204)</f>
        <v>1.8551842530913583</v>
      </c>
      <c r="E21" s="990" t="s">
        <v>664</v>
      </c>
    </row>
    <row r="22" spans="1:17" ht="6" customHeight="1" thickBot="1">
      <c r="A22" s="177"/>
      <c r="B22" s="915"/>
      <c r="C22" s="915"/>
      <c r="D22" s="955"/>
      <c r="E22" s="967"/>
      <c r="F22" s="919"/>
      <c r="G22" s="919"/>
      <c r="H22" s="919"/>
      <c r="I22" s="915"/>
      <c r="J22" s="915"/>
      <c r="K22" s="915"/>
      <c r="L22" s="915"/>
    </row>
    <row r="23" spans="1:17" ht="15" customHeight="1">
      <c r="B23" s="1922" t="s">
        <v>110</v>
      </c>
      <c r="C23" s="1923"/>
      <c r="D23" s="915"/>
      <c r="E23" s="991"/>
      <c r="F23" s="915"/>
      <c r="G23" s="915"/>
      <c r="H23" s="915"/>
      <c r="I23" s="915"/>
      <c r="J23" s="915"/>
      <c r="K23" s="915"/>
      <c r="L23" s="915"/>
    </row>
    <row r="24" spans="1:17" s="931" customFormat="1" ht="15" customHeight="1">
      <c r="B24" s="948" t="s">
        <v>42</v>
      </c>
      <c r="C24" s="963">
        <f>0.56</f>
        <v>0.56000000000000005</v>
      </c>
      <c r="D24" s="953" t="s">
        <v>35</v>
      </c>
      <c r="E24" s="991"/>
      <c r="F24" s="915"/>
      <c r="G24" s="915"/>
      <c r="H24" s="915"/>
      <c r="I24" s="915"/>
      <c r="J24" s="915"/>
      <c r="K24" s="915"/>
      <c r="L24" s="915"/>
    </row>
    <row r="25" spans="1:17" s="931" customFormat="1" ht="15" customHeight="1">
      <c r="B25" s="948" t="s">
        <v>36</v>
      </c>
      <c r="C25" s="964">
        <f>AVERAGE(3.7,6.9)</f>
        <v>5.3000000000000007</v>
      </c>
      <c r="D25" s="954" t="s">
        <v>43</v>
      </c>
      <c r="E25" s="991"/>
      <c r="F25" s="915"/>
      <c r="G25" s="915"/>
      <c r="H25" s="915"/>
      <c r="I25" s="915"/>
      <c r="J25" s="915"/>
      <c r="K25" s="915"/>
      <c r="L25" s="915"/>
    </row>
    <row r="26" spans="1:17" ht="17" customHeight="1">
      <c r="B26" s="948" t="s">
        <v>45</v>
      </c>
      <c r="C26" s="951">
        <f>1.395+0.017</f>
        <v>1.4119999999999999</v>
      </c>
      <c r="D26" s="915" t="s">
        <v>75</v>
      </c>
      <c r="E26" s="991"/>
      <c r="F26" s="915"/>
      <c r="G26" s="915"/>
      <c r="H26" s="915"/>
      <c r="I26" s="915"/>
      <c r="J26" s="915"/>
      <c r="K26" s="915"/>
      <c r="L26" s="915"/>
    </row>
    <row r="27" spans="1:17" ht="15" customHeight="1" thickBot="1">
      <c r="B27" s="948" t="s">
        <v>40</v>
      </c>
      <c r="C27" s="965">
        <f>AVERAGE(C25,C26/C24)</f>
        <v>3.9107142857142856</v>
      </c>
      <c r="D27" s="985" t="s">
        <v>1</v>
      </c>
      <c r="E27" s="992"/>
      <c r="F27" s="915"/>
      <c r="G27" s="915"/>
      <c r="H27" s="915"/>
      <c r="I27" s="915"/>
      <c r="J27" s="915"/>
      <c r="K27" s="915"/>
      <c r="L27" s="915"/>
      <c r="Q27" s="177"/>
    </row>
    <row r="28" spans="1:17" ht="15" customHeight="1" thickBot="1">
      <c r="B28" s="952" t="s">
        <v>46</v>
      </c>
      <c r="C28" s="983">
        <f>C27/(H10*2.204)</f>
        <v>1.7061262240481838</v>
      </c>
      <c r="D28" s="988">
        <f>0.1*C28</f>
        <v>0.17061262240481839</v>
      </c>
      <c r="E28" s="990" t="s">
        <v>664</v>
      </c>
      <c r="F28" s="915"/>
      <c r="G28" s="915"/>
      <c r="H28" s="915"/>
      <c r="I28" s="915"/>
      <c r="J28" s="915"/>
      <c r="K28" s="915"/>
      <c r="L28" s="915"/>
      <c r="Q28" s="177"/>
    </row>
    <row r="29" spans="1:17" ht="7" customHeight="1" thickBot="1">
      <c r="B29" s="919"/>
      <c r="C29" s="956"/>
      <c r="D29" s="915"/>
      <c r="E29" s="991"/>
      <c r="F29" s="915"/>
      <c r="G29" s="915"/>
      <c r="H29" s="915"/>
      <c r="I29" s="915"/>
      <c r="J29" s="915"/>
      <c r="K29" s="915"/>
      <c r="L29" s="915"/>
      <c r="M29" s="915"/>
      <c r="Q29" s="923"/>
    </row>
    <row r="30" spans="1:17" ht="15" customHeight="1">
      <c r="B30" s="1922" t="s">
        <v>38</v>
      </c>
      <c r="C30" s="1923"/>
      <c r="D30" s="915"/>
      <c r="E30" s="991"/>
      <c r="F30" s="915"/>
      <c r="G30" s="915"/>
      <c r="H30" s="915"/>
      <c r="I30" s="915"/>
      <c r="J30" s="915"/>
      <c r="K30" s="915"/>
      <c r="L30" s="915"/>
      <c r="M30" s="915"/>
      <c r="Q30" s="923"/>
    </row>
    <row r="31" spans="1:17" s="931" customFormat="1" ht="15" customHeight="1">
      <c r="B31" s="948" t="s">
        <v>42</v>
      </c>
      <c r="C31" s="977">
        <f>0.53</f>
        <v>0.53</v>
      </c>
      <c r="D31" s="953" t="s">
        <v>35</v>
      </c>
      <c r="E31" s="991"/>
      <c r="F31" s="915"/>
      <c r="G31" s="915"/>
      <c r="H31" s="915"/>
      <c r="I31" s="915"/>
      <c r="J31" s="915"/>
      <c r="K31" s="915"/>
      <c r="L31" s="915"/>
      <c r="M31" s="915"/>
      <c r="Q31" s="932"/>
    </row>
    <row r="32" spans="1:17" s="914" customFormat="1" ht="15" customHeight="1">
      <c r="B32" s="948" t="s">
        <v>29</v>
      </c>
      <c r="C32" s="951">
        <f>(8*2.47+2*3.05)/10</f>
        <v>2.5859999999999999</v>
      </c>
      <c r="D32" s="920" t="s">
        <v>11</v>
      </c>
      <c r="E32" s="986"/>
      <c r="F32" s="915"/>
      <c r="G32" s="915"/>
      <c r="H32" s="915"/>
      <c r="I32" s="915"/>
      <c r="J32" s="915"/>
      <c r="K32" s="915"/>
      <c r="L32" s="915"/>
      <c r="M32" s="915"/>
      <c r="Q32" s="921"/>
    </row>
    <row r="33" spans="1:21" ht="15" customHeight="1">
      <c r="B33" s="948" t="s">
        <v>39</v>
      </c>
      <c r="C33" s="951">
        <f>AVERAGE(3.9,10)</f>
        <v>6.95</v>
      </c>
      <c r="D33" s="954" t="s">
        <v>52</v>
      </c>
      <c r="E33" s="991"/>
      <c r="F33" s="915"/>
      <c r="G33" s="915"/>
      <c r="H33" s="915"/>
      <c r="I33" s="915"/>
      <c r="J33" s="915"/>
      <c r="K33" s="915"/>
      <c r="L33" s="915"/>
      <c r="M33" s="915"/>
      <c r="Q33" s="177"/>
    </row>
    <row r="34" spans="1:21" ht="16" thickBot="1">
      <c r="B34" s="948" t="s">
        <v>40</v>
      </c>
      <c r="C34" s="978">
        <f>AVERAGE(C33,C32/C31)</f>
        <v>5.9146226415094336</v>
      </c>
      <c r="D34" s="985" t="s">
        <v>0</v>
      </c>
      <c r="E34" s="991"/>
      <c r="F34" s="915"/>
      <c r="G34" s="915"/>
      <c r="H34" s="915"/>
      <c r="I34" s="915"/>
      <c r="J34" s="915"/>
      <c r="K34" s="915"/>
      <c r="L34" s="915"/>
      <c r="M34" s="915"/>
      <c r="Q34" s="177"/>
    </row>
    <row r="35" spans="1:21" ht="16" thickBot="1">
      <c r="B35" s="952" t="s">
        <v>47</v>
      </c>
      <c r="C35" s="983">
        <f>C34/(H11*2.204)</f>
        <v>2.0330193867587281</v>
      </c>
      <c r="D35" s="989">
        <f>C35*0.1</f>
        <v>0.20330193867587282</v>
      </c>
      <c r="E35" s="990" t="s">
        <v>664</v>
      </c>
      <c r="F35" s="915"/>
      <c r="G35" s="915"/>
      <c r="H35" s="915"/>
      <c r="I35" s="915"/>
      <c r="J35" s="915"/>
      <c r="K35" s="915"/>
      <c r="L35" s="915"/>
      <c r="M35" s="915"/>
      <c r="Q35" s="177"/>
    </row>
    <row r="36" spans="1:21" ht="8" customHeight="1" thickBot="1">
      <c r="B36" s="919"/>
      <c r="C36" s="956"/>
      <c r="D36" s="953"/>
      <c r="E36" s="953"/>
      <c r="F36" s="915"/>
      <c r="G36" s="915"/>
      <c r="H36" s="915"/>
      <c r="I36" s="915"/>
      <c r="J36" s="915"/>
      <c r="K36" s="915"/>
      <c r="L36" s="915"/>
      <c r="M36" s="915"/>
      <c r="Q36" s="177"/>
    </row>
    <row r="37" spans="1:21">
      <c r="B37" s="1922" t="s">
        <v>12</v>
      </c>
      <c r="C37" s="1923"/>
      <c r="D37" s="915"/>
      <c r="E37" s="915"/>
      <c r="F37" s="915"/>
      <c r="G37" s="915"/>
      <c r="H37" s="915"/>
      <c r="I37" s="915"/>
      <c r="J37" s="915"/>
      <c r="K37" s="915"/>
      <c r="L37" s="915"/>
      <c r="M37" s="915"/>
    </row>
    <row r="38" spans="1:21" s="914" customFormat="1">
      <c r="B38" s="948" t="s">
        <v>158</v>
      </c>
      <c r="C38" s="980">
        <f>1.43</f>
        <v>1.43</v>
      </c>
      <c r="D38" s="953" t="s">
        <v>841</v>
      </c>
      <c r="E38" s="915"/>
      <c r="F38" s="915"/>
      <c r="G38" s="915"/>
      <c r="H38" s="915"/>
      <c r="I38" s="915"/>
      <c r="J38" s="915"/>
      <c r="K38" s="915"/>
      <c r="L38" s="915"/>
      <c r="M38" s="915"/>
    </row>
    <row r="39" spans="1:21" s="938" customFormat="1">
      <c r="B39" s="948" t="s">
        <v>729</v>
      </c>
      <c r="C39" s="984">
        <v>2.08</v>
      </c>
      <c r="D39" s="1271" t="s">
        <v>928</v>
      </c>
      <c r="E39" s="915"/>
      <c r="F39" s="915"/>
      <c r="G39" s="915"/>
      <c r="H39" s="915"/>
      <c r="I39" s="915"/>
      <c r="J39" s="915"/>
      <c r="K39" s="915"/>
      <c r="L39" s="915"/>
      <c r="M39" s="915"/>
      <c r="N39" s="915"/>
    </row>
    <row r="40" spans="1:21" ht="16" thickBot="1">
      <c r="B40" s="948"/>
      <c r="C40" s="951"/>
      <c r="D40" s="979"/>
      <c r="E40" s="920"/>
      <c r="F40" s="920"/>
      <c r="G40" s="915"/>
      <c r="H40" s="915"/>
      <c r="I40" s="915"/>
      <c r="J40" s="915"/>
      <c r="K40" s="915"/>
      <c r="L40" s="915"/>
      <c r="M40" s="915"/>
      <c r="N40" s="915"/>
      <c r="O40" s="931"/>
      <c r="P40" s="914"/>
    </row>
    <row r="41" spans="1:21" ht="16" thickBot="1">
      <c r="B41" s="952" t="s">
        <v>83</v>
      </c>
      <c r="C41" s="983">
        <f>C39/C38</f>
        <v>1.4545454545454546</v>
      </c>
      <c r="D41" s="993">
        <f>C41*0.1</f>
        <v>0.14545454545454548</v>
      </c>
      <c r="E41" s="990" t="s">
        <v>664</v>
      </c>
      <c r="F41" s="915"/>
      <c r="G41" s="915"/>
      <c r="H41" s="915"/>
      <c r="I41" s="915"/>
      <c r="J41" s="915"/>
      <c r="K41" s="915"/>
      <c r="L41" s="915"/>
      <c r="M41" s="915"/>
      <c r="N41" s="915"/>
    </row>
    <row r="42" spans="1:21" ht="8" customHeight="1" thickBot="1">
      <c r="B42" s="953"/>
      <c r="C42" s="953"/>
      <c r="D42" s="915"/>
      <c r="E42" s="937"/>
      <c r="F42" s="915"/>
      <c r="G42" s="915"/>
      <c r="H42" s="915"/>
      <c r="I42" s="915"/>
      <c r="J42" s="915"/>
      <c r="K42" s="919"/>
      <c r="L42" s="919"/>
      <c r="M42" s="919"/>
      <c r="N42" s="919"/>
      <c r="O42" s="177"/>
      <c r="P42" s="177"/>
      <c r="Q42" s="966"/>
      <c r="R42" s="966"/>
      <c r="S42" s="177"/>
      <c r="T42" s="177"/>
      <c r="U42" s="177"/>
    </row>
    <row r="43" spans="1:21">
      <c r="B43" s="1922" t="s">
        <v>465</v>
      </c>
      <c r="C43" s="1923"/>
      <c r="D43" s="915"/>
      <c r="E43" s="953"/>
      <c r="F43" s="915"/>
      <c r="G43" s="915"/>
      <c r="H43" s="915"/>
      <c r="I43" s="915"/>
      <c r="J43" s="915"/>
      <c r="K43" s="919"/>
      <c r="L43" s="967"/>
      <c r="M43" s="967"/>
      <c r="N43" s="967"/>
      <c r="O43" s="929"/>
      <c r="P43" s="177"/>
      <c r="Q43" s="966"/>
      <c r="R43" s="966"/>
      <c r="S43" s="177"/>
      <c r="T43" s="177"/>
      <c r="U43" s="177"/>
    </row>
    <row r="44" spans="1:21" s="914" customFormat="1">
      <c r="B44" s="981" t="s">
        <v>660</v>
      </c>
      <c r="C44" s="982">
        <f>0.61</f>
        <v>0.61</v>
      </c>
      <c r="D44" s="953" t="s">
        <v>840</v>
      </c>
      <c r="E44" s="953"/>
      <c r="F44" s="915"/>
      <c r="G44" s="915"/>
      <c r="H44" s="915"/>
      <c r="I44" s="915"/>
      <c r="J44" s="915"/>
      <c r="K44" s="919"/>
      <c r="L44" s="958"/>
      <c r="M44" s="958"/>
      <c r="N44" s="957"/>
      <c r="O44" s="904"/>
      <c r="P44" s="177"/>
      <c r="Q44" s="966"/>
      <c r="R44" s="966"/>
      <c r="S44" s="177"/>
      <c r="T44" s="177"/>
      <c r="U44" s="177"/>
    </row>
    <row r="45" spans="1:21" s="931" customFormat="1">
      <c r="B45" s="948" t="s">
        <v>63</v>
      </c>
      <c r="C45" s="964">
        <f>AVERAGE(0.84,1.3)</f>
        <v>1.07</v>
      </c>
      <c r="D45" s="979" t="s">
        <v>64</v>
      </c>
      <c r="E45" s="953"/>
      <c r="F45" s="915"/>
      <c r="G45" s="915"/>
      <c r="H45" s="915"/>
      <c r="I45" s="915"/>
      <c r="J45" s="915"/>
      <c r="K45" s="919"/>
      <c r="L45" s="958"/>
      <c r="M45" s="958"/>
      <c r="N45" s="957"/>
      <c r="O45" s="904"/>
      <c r="P45" s="177"/>
      <c r="Q45" s="966"/>
      <c r="R45" s="966"/>
      <c r="S45" s="177"/>
      <c r="T45" s="177"/>
      <c r="U45" s="177"/>
    </row>
    <row r="46" spans="1:21" s="938" customFormat="1">
      <c r="B46" s="948" t="s">
        <v>63</v>
      </c>
      <c r="C46" s="965">
        <v>1.23</v>
      </c>
      <c r="D46" s="979" t="s">
        <v>768</v>
      </c>
      <c r="E46" s="953"/>
      <c r="F46" s="915"/>
      <c r="G46" s="915"/>
      <c r="H46" s="915"/>
      <c r="I46" s="915"/>
      <c r="J46" s="915"/>
      <c r="K46" s="919"/>
      <c r="L46" s="958"/>
      <c r="M46" s="958"/>
      <c r="N46" s="957"/>
      <c r="O46" s="904"/>
      <c r="P46" s="177"/>
      <c r="Q46" s="966"/>
      <c r="R46" s="966"/>
      <c r="S46" s="177"/>
      <c r="T46" s="177"/>
      <c r="U46" s="177"/>
    </row>
    <row r="47" spans="1:21" ht="16" thickBot="1">
      <c r="A47" s="566"/>
      <c r="B47" s="948" t="s">
        <v>63</v>
      </c>
      <c r="C47" s="951">
        <f>1.09</f>
        <v>1.0900000000000001</v>
      </c>
      <c r="D47" s="953" t="s">
        <v>26</v>
      </c>
      <c r="E47" s="915"/>
      <c r="F47" s="915"/>
      <c r="G47" s="915"/>
      <c r="H47" s="915"/>
      <c r="I47" s="915"/>
      <c r="J47" s="915"/>
      <c r="K47" s="919"/>
      <c r="L47" s="958"/>
      <c r="M47" s="958"/>
      <c r="N47" s="959"/>
      <c r="O47" s="930"/>
      <c r="P47" s="929"/>
      <c r="Q47" s="966"/>
      <c r="R47" s="966"/>
      <c r="S47" s="177"/>
      <c r="T47" s="177"/>
      <c r="U47" s="177"/>
    </row>
    <row r="48" spans="1:21" s="914" customFormat="1" ht="16" thickBot="1">
      <c r="A48"/>
      <c r="B48" s="952" t="s">
        <v>48</v>
      </c>
      <c r="C48" s="983">
        <f>AVERAGE(C47/C44,C45/C44,C46/C44)</f>
        <v>1.8524590163934427</v>
      </c>
      <c r="D48" s="994">
        <f>0.1*C48</f>
        <v>0.18524590163934429</v>
      </c>
      <c r="E48" s="990" t="s">
        <v>664</v>
      </c>
      <c r="F48" s="915"/>
      <c r="G48" s="915"/>
      <c r="H48" s="915"/>
      <c r="I48" s="915"/>
      <c r="J48" s="915"/>
      <c r="K48" s="919"/>
      <c r="L48" s="968"/>
      <c r="M48" s="957"/>
      <c r="N48" s="957"/>
      <c r="O48" s="904"/>
      <c r="P48" s="177"/>
      <c r="Q48" s="966"/>
      <c r="R48" s="966"/>
      <c r="S48" s="177"/>
      <c r="T48" s="177"/>
      <c r="U48" s="177"/>
    </row>
    <row r="49" spans="1:21" ht="8" customHeight="1">
      <c r="B49" s="915"/>
      <c r="C49" s="915"/>
      <c r="D49" s="953"/>
      <c r="E49" s="915"/>
      <c r="F49" s="915"/>
      <c r="G49" s="915"/>
      <c r="H49" s="915"/>
      <c r="I49" s="915"/>
      <c r="J49" s="915"/>
      <c r="K49" s="919"/>
      <c r="L49" s="968"/>
      <c r="M49" s="960"/>
      <c r="N49" s="960"/>
      <c r="O49" s="932"/>
      <c r="P49" s="177"/>
      <c r="Q49" s="177"/>
      <c r="R49" s="177"/>
      <c r="S49" s="177"/>
      <c r="T49" s="177"/>
      <c r="U49" s="177"/>
    </row>
    <row r="50" spans="1:21">
      <c r="A50" s="125">
        <v>1</v>
      </c>
      <c r="B50" s="961" t="s">
        <v>13</v>
      </c>
      <c r="C50" s="962"/>
      <c r="D50" s="915"/>
      <c r="E50" s="915"/>
      <c r="F50" s="915"/>
      <c r="G50" s="915"/>
      <c r="H50" s="915"/>
      <c r="I50" s="915"/>
      <c r="J50" s="915"/>
      <c r="K50" s="919"/>
      <c r="L50" s="967"/>
      <c r="M50" s="971"/>
      <c r="N50" s="971"/>
      <c r="O50" s="972"/>
      <c r="P50" s="177"/>
      <c r="Q50" s="969"/>
      <c r="R50" s="969"/>
      <c r="S50" s="177"/>
      <c r="T50" s="177"/>
      <c r="U50" s="177"/>
    </row>
    <row r="51" spans="1:21">
      <c r="A51" s="125">
        <v>2</v>
      </c>
      <c r="B51" s="961" t="s">
        <v>328</v>
      </c>
      <c r="C51" s="936"/>
      <c r="D51" s="962"/>
      <c r="E51" s="915"/>
      <c r="F51" s="915"/>
      <c r="G51" s="915"/>
      <c r="H51" s="915"/>
      <c r="I51" s="915"/>
      <c r="J51" s="915"/>
      <c r="K51" s="919"/>
      <c r="L51" s="919"/>
      <c r="M51" s="919"/>
      <c r="N51" s="919"/>
      <c r="O51" s="177"/>
      <c r="P51" s="932"/>
      <c r="Q51" s="932"/>
      <c r="R51" s="932"/>
      <c r="S51" s="177"/>
      <c r="T51" s="177"/>
      <c r="U51" s="177"/>
    </row>
    <row r="52" spans="1:21">
      <c r="A52" s="125">
        <v>3</v>
      </c>
      <c r="B52" s="961" t="s">
        <v>759</v>
      </c>
      <c r="C52" s="936"/>
      <c r="D52" s="936"/>
      <c r="E52" s="915"/>
      <c r="F52" s="915"/>
      <c r="G52" s="915"/>
      <c r="H52" s="915"/>
      <c r="I52" s="915"/>
      <c r="J52" s="915"/>
      <c r="K52" s="919"/>
      <c r="L52" s="919"/>
      <c r="M52" s="919"/>
      <c r="N52" s="919"/>
      <c r="O52" s="177"/>
      <c r="P52" s="932"/>
      <c r="Q52" s="904"/>
      <c r="R52" s="970"/>
      <c r="S52" s="177"/>
      <c r="T52" s="177"/>
      <c r="U52" s="177"/>
    </row>
    <row r="53" spans="1:21">
      <c r="A53" s="125">
        <v>4</v>
      </c>
      <c r="B53" s="961" t="s">
        <v>764</v>
      </c>
      <c r="C53" s="936"/>
      <c r="D53" s="936"/>
      <c r="E53" s="915"/>
      <c r="F53" s="915"/>
      <c r="G53" s="915"/>
      <c r="H53" s="915"/>
      <c r="I53" s="915"/>
      <c r="J53" s="915"/>
      <c r="K53" s="919"/>
      <c r="L53" s="919"/>
      <c r="M53" s="919"/>
      <c r="N53" s="919"/>
      <c r="O53" s="177"/>
      <c r="P53" s="928"/>
      <c r="Q53" s="966"/>
      <c r="R53" s="966"/>
      <c r="S53" s="177"/>
      <c r="T53" s="177"/>
      <c r="U53" s="177"/>
    </row>
    <row r="54" spans="1:21">
      <c r="A54" s="125">
        <v>5</v>
      </c>
      <c r="B54" s="961" t="s">
        <v>765</v>
      </c>
      <c r="C54" s="936"/>
      <c r="D54" s="936"/>
      <c r="E54" s="915"/>
      <c r="F54" s="915"/>
      <c r="G54" s="915"/>
      <c r="H54" s="915"/>
      <c r="I54" s="915"/>
      <c r="J54" s="915"/>
      <c r="K54" s="915"/>
      <c r="L54" s="915"/>
      <c r="M54" s="915"/>
      <c r="N54" s="915"/>
      <c r="P54" s="904"/>
      <c r="Q54" s="932"/>
      <c r="R54" s="932"/>
      <c r="S54" s="177"/>
      <c r="T54" s="177"/>
      <c r="U54" s="177"/>
    </row>
    <row r="55" spans="1:21">
      <c r="A55" s="850">
        <v>6</v>
      </c>
      <c r="B55" s="953" t="s">
        <v>766</v>
      </c>
      <c r="C55" s="936"/>
      <c r="D55" s="936"/>
      <c r="E55" s="915"/>
      <c r="F55" s="915"/>
      <c r="G55" s="915"/>
      <c r="H55" s="915"/>
      <c r="I55" s="915"/>
      <c r="J55" s="915"/>
      <c r="K55" s="915"/>
      <c r="L55" s="915"/>
      <c r="M55" s="915"/>
      <c r="N55" s="915"/>
      <c r="P55" s="922"/>
      <c r="Q55" s="904"/>
      <c r="R55" s="904"/>
      <c r="S55" s="177"/>
      <c r="T55" s="177"/>
      <c r="U55" s="177"/>
    </row>
    <row r="56" spans="1:21">
      <c r="A56" s="917">
        <v>7</v>
      </c>
      <c r="B56" s="954" t="s">
        <v>767</v>
      </c>
      <c r="C56" s="936"/>
      <c r="D56" s="936"/>
      <c r="E56" s="962"/>
      <c r="F56" s="915"/>
      <c r="G56" s="915"/>
      <c r="H56" s="915"/>
      <c r="I56" s="915"/>
      <c r="J56" s="915"/>
      <c r="K56" s="915"/>
      <c r="L56" s="915"/>
      <c r="M56" s="915"/>
      <c r="N56" s="915"/>
      <c r="P56" s="177"/>
      <c r="Q56" s="177"/>
      <c r="R56" s="177"/>
      <c r="S56" s="177"/>
      <c r="T56" s="177"/>
      <c r="U56" s="177"/>
    </row>
    <row r="57" spans="1:21">
      <c r="A57" s="125">
        <v>8</v>
      </c>
      <c r="B57" s="920" t="s">
        <v>936</v>
      </c>
      <c r="C57" s="915"/>
      <c r="D57" s="936"/>
      <c r="E57" s="936"/>
      <c r="F57" s="915"/>
      <c r="G57" s="915"/>
      <c r="H57" s="915"/>
      <c r="I57" s="915"/>
      <c r="J57" s="915"/>
      <c r="K57" s="915"/>
      <c r="L57" s="915"/>
      <c r="M57" s="915"/>
      <c r="N57" s="915"/>
      <c r="P57" s="177"/>
      <c r="Q57" s="177"/>
      <c r="R57" s="177"/>
      <c r="S57" s="177"/>
      <c r="T57" s="177"/>
      <c r="U57" s="177"/>
    </row>
    <row r="58" spans="1:21">
      <c r="A58" s="125">
        <v>9</v>
      </c>
      <c r="B58" t="s">
        <v>935</v>
      </c>
      <c r="C58" s="915"/>
      <c r="D58" s="915"/>
      <c r="E58" s="936"/>
      <c r="F58" s="915"/>
      <c r="G58" s="915"/>
      <c r="H58" s="915"/>
      <c r="I58" s="915"/>
      <c r="J58" s="915"/>
      <c r="K58" s="915"/>
      <c r="L58" s="915"/>
      <c r="M58" s="915"/>
      <c r="N58" s="915"/>
      <c r="P58" s="177"/>
      <c r="Q58" s="177"/>
      <c r="R58" s="177"/>
      <c r="S58" s="177"/>
      <c r="T58" s="177"/>
      <c r="U58" s="177"/>
    </row>
    <row r="59" spans="1:21" ht="16" thickBot="1"/>
    <row r="60" spans="1:21" ht="17" thickBot="1">
      <c r="C60" s="1929" t="s">
        <v>28</v>
      </c>
      <c r="D60" s="1930"/>
      <c r="E60" s="1930"/>
      <c r="F60" s="1931"/>
    </row>
    <row r="61" spans="1:21" ht="15" customHeight="1">
      <c r="C61" s="1926" t="s">
        <v>27</v>
      </c>
      <c r="D61" s="995"/>
      <c r="E61" s="1924" t="s">
        <v>666</v>
      </c>
      <c r="F61" s="1925"/>
    </row>
    <row r="62" spans="1:21" ht="15" customHeight="1">
      <c r="C62" s="1927"/>
      <c r="D62" s="996"/>
      <c r="E62" s="997" t="s">
        <v>665</v>
      </c>
      <c r="F62" s="998" t="s">
        <v>663</v>
      </c>
    </row>
    <row r="63" spans="1:21" ht="15" customHeight="1">
      <c r="B63" s="915"/>
      <c r="C63" s="1927"/>
      <c r="D63" s="999" t="str">
        <f>B14</f>
        <v>beef</v>
      </c>
      <c r="E63" s="1000">
        <f>C21</f>
        <v>9.5953973747520376</v>
      </c>
      <c r="F63" s="1000">
        <f>D21</f>
        <v>1.8551842530913583</v>
      </c>
      <c r="G63" s="915"/>
      <c r="H63" s="915"/>
      <c r="I63" s="915"/>
      <c r="J63" s="915"/>
      <c r="K63" s="915"/>
      <c r="L63" s="915"/>
      <c r="M63" s="915"/>
      <c r="N63" s="915"/>
    </row>
    <row r="64" spans="1:21" ht="15" customHeight="1">
      <c r="B64" s="915"/>
      <c r="C64" s="1927"/>
      <c r="D64" s="999" t="str">
        <f>B23</f>
        <v>poultry</v>
      </c>
      <c r="E64" s="1000">
        <f>C28</f>
        <v>1.7061262240481838</v>
      </c>
      <c r="F64" s="1000">
        <f>D28</f>
        <v>0.17061262240481839</v>
      </c>
      <c r="G64" s="915"/>
      <c r="H64" s="915"/>
      <c r="I64" s="915"/>
      <c r="J64" s="915"/>
      <c r="K64" s="915"/>
      <c r="L64" s="915"/>
      <c r="M64" s="915"/>
      <c r="N64" s="915"/>
    </row>
    <row r="65" spans="2:14" ht="15" customHeight="1">
      <c r="B65" s="915"/>
      <c r="C65" s="1927"/>
      <c r="D65" s="999" t="str">
        <f>B30</f>
        <v>pork</v>
      </c>
      <c r="E65" s="1000">
        <f>C35</f>
        <v>2.0330193867587281</v>
      </c>
      <c r="F65" s="1000">
        <f>D35</f>
        <v>0.20330193867587282</v>
      </c>
      <c r="G65" s="915"/>
      <c r="H65" s="915"/>
      <c r="I65" s="915"/>
      <c r="J65" s="915"/>
      <c r="K65" s="915"/>
      <c r="L65" s="915"/>
      <c r="M65" s="915"/>
      <c r="N65" s="915"/>
    </row>
    <row r="66" spans="2:14" ht="15" customHeight="1">
      <c r="B66" s="915"/>
      <c r="C66" s="1927"/>
      <c r="D66" s="999" t="str">
        <f>B37</f>
        <v>eggs</v>
      </c>
      <c r="E66" s="1000">
        <f>C41</f>
        <v>1.4545454545454546</v>
      </c>
      <c r="F66" s="1000">
        <f>D41</f>
        <v>0.14545454545454548</v>
      </c>
      <c r="G66" s="915"/>
      <c r="H66" s="915"/>
      <c r="I66" s="915"/>
      <c r="J66" s="915"/>
      <c r="K66" s="915"/>
      <c r="L66" s="915"/>
      <c r="M66" s="915"/>
      <c r="N66" s="915"/>
    </row>
    <row r="67" spans="2:14" ht="16" customHeight="1" thickBot="1">
      <c r="B67" s="915"/>
      <c r="C67" s="1928"/>
      <c r="D67" s="1001" t="str">
        <f>B43</f>
        <v>dairy</v>
      </c>
      <c r="E67" s="1002">
        <f>C48</f>
        <v>1.8524590163934427</v>
      </c>
      <c r="F67" s="1002">
        <f>D48</f>
        <v>0.18524590163934429</v>
      </c>
      <c r="G67" s="915"/>
      <c r="H67" s="915"/>
      <c r="I67" s="915"/>
      <c r="J67" s="915"/>
      <c r="K67" s="915"/>
      <c r="L67" s="915"/>
      <c r="M67" s="915"/>
      <c r="N67" s="915"/>
    </row>
    <row r="68" spans="2:14">
      <c r="B68" s="915"/>
      <c r="C68" s="915"/>
      <c r="D68" s="915"/>
      <c r="E68" s="915"/>
      <c r="F68" s="915"/>
      <c r="G68" s="915"/>
      <c r="H68" s="915"/>
      <c r="I68" s="915"/>
      <c r="J68" s="915"/>
      <c r="K68" s="915"/>
      <c r="L68" s="915"/>
      <c r="M68" s="915"/>
      <c r="N68" s="915"/>
    </row>
    <row r="69" spans="2:14">
      <c r="B69" s="915"/>
      <c r="C69" s="915"/>
      <c r="D69" s="915"/>
      <c r="E69" s="915"/>
      <c r="F69" s="915"/>
      <c r="G69" s="915"/>
      <c r="H69" s="915"/>
      <c r="I69" s="915"/>
      <c r="J69" s="915"/>
      <c r="K69" s="915"/>
      <c r="L69" s="915"/>
      <c r="M69" s="915"/>
      <c r="N69" s="915"/>
    </row>
    <row r="70" spans="2:14">
      <c r="B70" s="915"/>
      <c r="C70" s="915"/>
      <c r="D70" s="915"/>
      <c r="E70" s="915"/>
      <c r="F70" s="915"/>
      <c r="G70" s="915"/>
      <c r="H70" s="915"/>
      <c r="I70" s="915"/>
      <c r="J70" s="915"/>
      <c r="K70" s="915"/>
      <c r="L70" s="915"/>
      <c r="M70" s="915"/>
      <c r="N70" s="915"/>
    </row>
    <row r="71" spans="2:14">
      <c r="B71" s="915"/>
    </row>
    <row r="72" spans="2:14">
      <c r="B72" s="915"/>
    </row>
    <row r="73" spans="2:14">
      <c r="B73" s="915"/>
    </row>
    <row r="74" spans="2:14">
      <c r="B74" s="915"/>
    </row>
    <row r="75" spans="2:14">
      <c r="B75" s="915"/>
    </row>
    <row r="76" spans="2:14">
      <c r="B76" s="915"/>
    </row>
    <row r="77" spans="2:14">
      <c r="B77" s="915"/>
    </row>
    <row r="78" spans="2:14">
      <c r="B78" s="915"/>
      <c r="C78" s="915"/>
      <c r="D78" s="915"/>
      <c r="E78" s="915"/>
      <c r="F78" s="915"/>
      <c r="G78" s="915"/>
      <c r="H78" s="915"/>
      <c r="I78" s="915"/>
      <c r="J78" s="915"/>
      <c r="K78" s="915"/>
      <c r="L78" s="915"/>
      <c r="M78" s="915"/>
      <c r="N78" s="915"/>
    </row>
    <row r="79" spans="2:14">
      <c r="B79" s="915"/>
      <c r="C79" s="915"/>
      <c r="D79" s="915"/>
      <c r="E79" s="915"/>
      <c r="F79" s="915"/>
      <c r="G79" s="915"/>
      <c r="H79" s="915"/>
      <c r="I79" s="915"/>
      <c r="J79" s="915"/>
      <c r="K79" s="915"/>
      <c r="L79" s="915"/>
      <c r="M79" s="915"/>
      <c r="N79" s="915"/>
    </row>
    <row r="80" spans="2:14">
      <c r="B80" s="915"/>
      <c r="C80" s="915"/>
      <c r="D80" s="915"/>
      <c r="E80" s="915"/>
      <c r="F80" s="915"/>
      <c r="G80" s="915"/>
      <c r="H80" s="915"/>
      <c r="I80" s="915"/>
      <c r="J80" s="915"/>
      <c r="K80" s="915"/>
      <c r="L80" s="915"/>
      <c r="M80" s="915"/>
      <c r="N80" s="915"/>
    </row>
    <row r="81" spans="2:14">
      <c r="B81" s="915"/>
      <c r="C81" s="915"/>
      <c r="D81" s="915"/>
      <c r="E81" s="915"/>
      <c r="F81" s="915"/>
      <c r="G81" s="915"/>
      <c r="H81" s="915"/>
      <c r="I81" s="915"/>
      <c r="J81" s="915"/>
      <c r="K81" s="915"/>
      <c r="L81" s="915"/>
      <c r="M81" s="915"/>
      <c r="N81" s="915"/>
    </row>
    <row r="82" spans="2:14">
      <c r="B82" s="915"/>
      <c r="C82" s="915"/>
      <c r="D82" s="915"/>
      <c r="E82" s="915"/>
      <c r="F82" s="915"/>
      <c r="G82" s="915"/>
      <c r="H82" s="915"/>
      <c r="I82" s="915"/>
      <c r="J82" s="915"/>
      <c r="K82" s="915"/>
      <c r="L82" s="915"/>
      <c r="M82" s="915"/>
      <c r="N82" s="915"/>
    </row>
    <row r="83" spans="2:14">
      <c r="B83" s="915"/>
      <c r="C83" s="915"/>
      <c r="D83" s="915"/>
      <c r="E83" s="915"/>
      <c r="F83" s="915"/>
      <c r="G83" s="915"/>
      <c r="H83" s="915"/>
      <c r="I83" s="915"/>
      <c r="J83" s="915"/>
      <c r="K83" s="915"/>
      <c r="L83" s="915"/>
      <c r="M83" s="915"/>
      <c r="N83" s="915"/>
    </row>
    <row r="84" spans="2:14">
      <c r="B84" s="915"/>
      <c r="C84" s="915"/>
      <c r="D84" s="915"/>
      <c r="E84" s="915"/>
      <c r="F84" s="915"/>
      <c r="G84" s="915"/>
      <c r="H84" s="915"/>
      <c r="I84" s="915"/>
      <c r="J84" s="915"/>
      <c r="K84" s="915"/>
      <c r="L84" s="915"/>
      <c r="M84" s="915"/>
      <c r="N84" s="915"/>
    </row>
    <row r="85" spans="2:14">
      <c r="B85" s="915"/>
      <c r="C85" s="915"/>
      <c r="D85" s="915"/>
      <c r="E85" s="915"/>
      <c r="F85" s="915"/>
      <c r="G85" s="915"/>
      <c r="H85" s="915"/>
      <c r="I85" s="915"/>
      <c r="J85" s="915"/>
      <c r="K85" s="915"/>
      <c r="L85" s="915"/>
      <c r="M85" s="915"/>
      <c r="N85" s="915"/>
    </row>
    <row r="86" spans="2:14">
      <c r="B86" s="915"/>
      <c r="C86" s="915"/>
      <c r="D86" s="915"/>
      <c r="E86" s="915"/>
      <c r="F86" s="915"/>
      <c r="G86" s="915"/>
      <c r="H86" s="915"/>
      <c r="I86" s="915"/>
      <c r="J86" s="915"/>
      <c r="K86" s="915"/>
      <c r="L86" s="915"/>
      <c r="M86" s="915"/>
      <c r="N86" s="915"/>
    </row>
    <row r="87" spans="2:14">
      <c r="B87" s="915"/>
      <c r="C87" s="915"/>
      <c r="D87" s="915"/>
      <c r="E87" s="915"/>
      <c r="F87" s="915"/>
      <c r="G87" s="915"/>
      <c r="H87" s="915"/>
      <c r="I87" s="915"/>
      <c r="J87" s="915"/>
      <c r="K87" s="915"/>
      <c r="L87" s="915"/>
      <c r="M87" s="915"/>
      <c r="N87" s="915"/>
    </row>
    <row r="88" spans="2:14">
      <c r="B88" s="915"/>
      <c r="C88" s="915"/>
      <c r="D88" s="915"/>
      <c r="E88" s="915"/>
      <c r="F88" s="915"/>
      <c r="G88" s="915"/>
      <c r="H88" s="915"/>
      <c r="I88" s="915"/>
      <c r="J88" s="915"/>
      <c r="K88" s="915"/>
      <c r="L88" s="915"/>
      <c r="M88" s="915"/>
      <c r="N88" s="915"/>
    </row>
    <row r="89" spans="2:14">
      <c r="B89" s="915"/>
      <c r="C89" s="915"/>
      <c r="D89" s="915"/>
      <c r="E89" s="915"/>
      <c r="F89" s="915"/>
      <c r="G89" s="915"/>
      <c r="H89" s="915"/>
      <c r="I89" s="915"/>
      <c r="J89" s="915"/>
      <c r="K89" s="915"/>
      <c r="L89" s="915"/>
      <c r="M89" s="915"/>
      <c r="N89" s="915"/>
    </row>
    <row r="90" spans="2:14">
      <c r="B90" s="915"/>
      <c r="C90" s="915"/>
      <c r="D90" s="915"/>
      <c r="E90" s="915"/>
      <c r="F90" s="915"/>
      <c r="G90" s="915"/>
      <c r="H90" s="915"/>
      <c r="I90" s="915"/>
      <c r="J90" s="915"/>
      <c r="K90" s="915"/>
      <c r="L90" s="915"/>
      <c r="M90" s="915"/>
      <c r="N90" s="915"/>
    </row>
    <row r="91" spans="2:14">
      <c r="B91" s="915"/>
      <c r="C91" s="915"/>
      <c r="D91" s="915"/>
      <c r="E91" s="915"/>
      <c r="F91" s="915"/>
      <c r="G91" s="915"/>
      <c r="H91" s="915"/>
      <c r="I91" s="915"/>
      <c r="J91" s="915"/>
      <c r="K91" s="915"/>
      <c r="L91" s="915"/>
      <c r="M91" s="915"/>
      <c r="N91" s="915"/>
    </row>
    <row r="92" spans="2:14">
      <c r="B92" s="915"/>
      <c r="C92" s="915"/>
      <c r="D92" s="915"/>
      <c r="E92" s="915"/>
      <c r="F92" s="915"/>
      <c r="G92" s="915"/>
      <c r="H92" s="915"/>
      <c r="I92" s="915"/>
      <c r="J92" s="915"/>
      <c r="K92" s="915"/>
      <c r="L92" s="915"/>
      <c r="M92" s="915"/>
      <c r="N92" s="915"/>
    </row>
    <row r="93" spans="2:14">
      <c r="B93" s="915"/>
      <c r="C93" s="915"/>
      <c r="D93" s="915"/>
      <c r="E93" s="915"/>
      <c r="F93" s="915"/>
      <c r="G93" s="915"/>
      <c r="H93" s="915"/>
      <c r="I93" s="915"/>
      <c r="J93" s="915"/>
      <c r="K93" s="915"/>
      <c r="L93" s="915"/>
      <c r="M93" s="915"/>
      <c r="N93" s="915"/>
    </row>
    <row r="94" spans="2:14">
      <c r="B94" s="915"/>
      <c r="C94" s="915"/>
      <c r="D94" s="915"/>
      <c r="E94" s="915"/>
      <c r="F94" s="915"/>
      <c r="G94" s="915"/>
      <c r="H94" s="915"/>
      <c r="I94" s="915"/>
      <c r="J94" s="915"/>
      <c r="K94" s="915"/>
      <c r="L94" s="915"/>
      <c r="M94" s="915"/>
      <c r="N94" s="915"/>
    </row>
    <row r="95" spans="2:14">
      <c r="B95" s="915"/>
      <c r="C95" s="915"/>
      <c r="D95" s="915"/>
      <c r="E95" s="915"/>
      <c r="F95" s="915"/>
      <c r="G95" s="915"/>
      <c r="H95" s="915"/>
      <c r="I95" s="915"/>
      <c r="J95" s="915"/>
      <c r="K95" s="915"/>
      <c r="L95" s="915"/>
      <c r="M95" s="915"/>
      <c r="N95" s="915"/>
    </row>
    <row r="96" spans="2:14">
      <c r="B96" s="915"/>
      <c r="C96" s="915"/>
      <c r="D96" s="915"/>
      <c r="E96" s="915"/>
      <c r="F96" s="915"/>
      <c r="G96" s="915"/>
      <c r="H96" s="915"/>
      <c r="I96" s="915"/>
      <c r="J96" s="915"/>
      <c r="K96" s="915"/>
      <c r="L96" s="915"/>
      <c r="M96" s="915"/>
      <c r="N96" s="915"/>
    </row>
  </sheetData>
  <mergeCells count="10">
    <mergeCell ref="B43:C43"/>
    <mergeCell ref="E61:F61"/>
    <mergeCell ref="C61:C67"/>
    <mergeCell ref="C60:F60"/>
    <mergeCell ref="C4:E4"/>
    <mergeCell ref="B2:B4"/>
    <mergeCell ref="B37:C37"/>
    <mergeCell ref="B14:C14"/>
    <mergeCell ref="B23:C23"/>
    <mergeCell ref="B30:C30"/>
  </mergeCells>
  <phoneticPr fontId="107" type="noConversion"/>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249977111117893"/>
  </sheetPr>
  <dimension ref="A3:AB59"/>
  <sheetViews>
    <sheetView topLeftCell="D1" zoomScale="70" zoomScaleNormal="70" zoomScalePageLayoutView="70" workbookViewId="0">
      <selection activeCell="P21" sqref="P21"/>
    </sheetView>
  </sheetViews>
  <sheetFormatPr baseColWidth="10" defaultColWidth="8.83203125" defaultRowHeight="15"/>
  <cols>
    <col min="1" max="1" width="8.83203125" style="288"/>
    <col min="3" max="3" width="25.6640625" customWidth="1"/>
    <col min="4" max="4" width="27.5" customWidth="1"/>
    <col min="5" max="5" width="13.33203125" bestFit="1" customWidth="1"/>
    <col min="6" max="6" width="19.1640625" style="288" customWidth="1"/>
    <col min="7" max="7" width="26.33203125" customWidth="1"/>
    <col min="8" max="8" width="19.1640625" style="288" customWidth="1"/>
    <col min="9" max="9" width="16.83203125" customWidth="1"/>
    <col min="10" max="10" width="17" style="288" customWidth="1"/>
    <col min="11" max="11" width="11.6640625" style="288" customWidth="1"/>
    <col min="12" max="12" width="18.83203125" style="288" customWidth="1"/>
    <col min="13" max="13" width="11.1640625" customWidth="1"/>
    <col min="14" max="14" width="16.6640625" style="288" customWidth="1"/>
    <col min="16" max="16" width="9.83203125" customWidth="1"/>
    <col min="17" max="17" width="11.83203125" customWidth="1"/>
    <col min="18" max="18" width="20.5" customWidth="1"/>
    <col min="19" max="19" width="21" customWidth="1"/>
    <col min="20" max="20" width="12.33203125" customWidth="1"/>
    <col min="21" max="21" width="12.6640625" bestFit="1" customWidth="1"/>
    <col min="22" max="22" width="11.83203125" customWidth="1"/>
    <col min="23" max="23" width="11.5" customWidth="1"/>
    <col min="25" max="25" width="11.5" customWidth="1"/>
    <col min="27" max="27" width="12.33203125" customWidth="1"/>
  </cols>
  <sheetData>
    <row r="3" spans="3:28">
      <c r="C3" s="624" t="s">
        <v>285</v>
      </c>
      <c r="D3" s="623"/>
      <c r="E3" s="621"/>
      <c r="F3" s="621"/>
      <c r="G3" s="621"/>
      <c r="H3" s="621"/>
      <c r="I3" s="621"/>
      <c r="J3" s="621"/>
      <c r="K3" s="621"/>
      <c r="L3" s="621"/>
      <c r="M3" s="621"/>
      <c r="N3" s="621"/>
      <c r="P3" s="621"/>
    </row>
    <row r="4" spans="3:28">
      <c r="C4" s="248" t="s">
        <v>284</v>
      </c>
      <c r="D4" s="623"/>
      <c r="E4" s="621"/>
      <c r="F4" s="621"/>
      <c r="G4" s="621"/>
      <c r="H4" s="621"/>
      <c r="I4" s="621"/>
      <c r="J4" s="621"/>
      <c r="K4" s="621"/>
      <c r="L4" s="621"/>
      <c r="M4" s="621"/>
      <c r="N4" s="621"/>
      <c r="P4" s="621"/>
    </row>
    <row r="5" spans="3:28">
      <c r="C5" s="622" t="s">
        <v>232</v>
      </c>
      <c r="D5" s="621"/>
      <c r="E5" s="621"/>
      <c r="F5" s="621"/>
      <c r="G5" s="621"/>
      <c r="H5" s="621"/>
      <c r="I5" s="621"/>
      <c r="J5" s="621"/>
      <c r="K5" s="621"/>
      <c r="L5" s="621"/>
      <c r="M5" s="621"/>
      <c r="N5" s="621"/>
      <c r="P5" s="621"/>
    </row>
    <row r="6" spans="3:28">
      <c r="C6" s="621"/>
      <c r="D6" s="623"/>
      <c r="E6" s="621"/>
      <c r="F6" s="621"/>
      <c r="G6" s="621"/>
      <c r="H6" s="621"/>
      <c r="I6" s="621"/>
      <c r="J6" s="621"/>
      <c r="K6" s="621"/>
      <c r="L6" s="621"/>
      <c r="M6" s="621"/>
      <c r="N6" s="621"/>
      <c r="P6" s="621"/>
    </row>
    <row r="7" spans="3:28" ht="28.25" customHeight="1">
      <c r="C7" s="621"/>
      <c r="D7" s="621"/>
      <c r="E7" s="1950" t="s">
        <v>799</v>
      </c>
      <c r="F7" s="1951"/>
      <c r="G7" s="1950" t="s">
        <v>800</v>
      </c>
      <c r="H7" s="1951"/>
      <c r="I7" s="1950" t="s">
        <v>801</v>
      </c>
      <c r="J7" s="1951"/>
      <c r="K7" s="1952" t="s">
        <v>802</v>
      </c>
      <c r="L7" s="1952"/>
      <c r="M7" s="1955" t="s">
        <v>803</v>
      </c>
      <c r="N7" s="1956"/>
      <c r="O7" s="1936" t="s">
        <v>586</v>
      </c>
      <c r="P7" s="1953" t="s">
        <v>53</v>
      </c>
      <c r="R7" s="1945" t="s">
        <v>819</v>
      </c>
      <c r="S7" s="1946"/>
      <c r="T7" s="1945" t="s">
        <v>820</v>
      </c>
      <c r="U7" s="1946"/>
      <c r="V7" s="1945" t="s">
        <v>821</v>
      </c>
      <c r="W7" s="1946"/>
      <c r="X7" s="1947" t="s">
        <v>822</v>
      </c>
      <c r="Y7" s="1947"/>
      <c r="Z7" s="1948" t="s">
        <v>823</v>
      </c>
      <c r="AA7" s="1949"/>
      <c r="AB7" s="1936" t="s">
        <v>586</v>
      </c>
    </row>
    <row r="8" spans="3:28" ht="26.5" customHeight="1">
      <c r="C8" s="621"/>
      <c r="D8" s="1961" t="s">
        <v>939</v>
      </c>
      <c r="E8" s="1939" t="s">
        <v>940</v>
      </c>
      <c r="F8" s="1940" t="s">
        <v>941</v>
      </c>
      <c r="G8" s="1939" t="s">
        <v>940</v>
      </c>
      <c r="H8" s="1940" t="s">
        <v>941</v>
      </c>
      <c r="I8" s="1939" t="s">
        <v>940</v>
      </c>
      <c r="J8" s="1940" t="s">
        <v>941</v>
      </c>
      <c r="K8" s="1939" t="s">
        <v>940</v>
      </c>
      <c r="L8" s="1940" t="s">
        <v>941</v>
      </c>
      <c r="M8" s="1939" t="s">
        <v>940</v>
      </c>
      <c r="N8" s="1940" t="s">
        <v>941</v>
      </c>
      <c r="O8" s="1937"/>
      <c r="P8" s="1954"/>
      <c r="R8" s="1939" t="s">
        <v>54</v>
      </c>
      <c r="S8" s="1940" t="s">
        <v>804</v>
      </c>
      <c r="T8" s="1939" t="s">
        <v>54</v>
      </c>
      <c r="U8" s="1940" t="s">
        <v>804</v>
      </c>
      <c r="V8" s="1939" t="s">
        <v>54</v>
      </c>
      <c r="W8" s="1940" t="s">
        <v>804</v>
      </c>
      <c r="X8" s="1941" t="s">
        <v>54</v>
      </c>
      <c r="Y8" s="1942" t="s">
        <v>804</v>
      </c>
      <c r="Z8" s="1943" t="s">
        <v>54</v>
      </c>
      <c r="AA8" s="1942" t="s">
        <v>804</v>
      </c>
      <c r="AB8" s="1937"/>
    </row>
    <row r="9" spans="3:28">
      <c r="C9" s="621"/>
      <c r="D9" s="1962"/>
      <c r="E9" s="1939"/>
      <c r="F9" s="1940"/>
      <c r="G9" s="1939"/>
      <c r="H9" s="1940"/>
      <c r="I9" s="1939"/>
      <c r="J9" s="1940"/>
      <c r="K9" s="1939"/>
      <c r="L9" s="1940"/>
      <c r="M9" s="1939"/>
      <c r="N9" s="1940"/>
      <c r="O9" s="1938"/>
      <c r="P9" s="1954"/>
      <c r="R9" s="1939"/>
      <c r="S9" s="1940"/>
      <c r="T9" s="1939"/>
      <c r="U9" s="1940"/>
      <c r="V9" s="1939"/>
      <c r="W9" s="1940"/>
      <c r="X9" s="1941"/>
      <c r="Y9" s="1942"/>
      <c r="Z9" s="1944"/>
      <c r="AA9" s="1942"/>
      <c r="AB9" s="1938"/>
    </row>
    <row r="10" spans="3:28" s="674" customFormat="1">
      <c r="C10" s="675"/>
      <c r="D10" s="1293">
        <v>2000</v>
      </c>
      <c r="E10" s="1282">
        <v>209.41604455678856</v>
      </c>
      <c r="F10" s="1283">
        <f t="shared" ref="F10:F20" si="0">E10*P10/1000</f>
        <v>59138.72450475912</v>
      </c>
      <c r="G10" s="620">
        <v>149.85265846992959</v>
      </c>
      <c r="H10" s="832">
        <f t="shared" ref="H10:H20" si="1">G10*P10/1000</f>
        <v>42318.128509755799</v>
      </c>
      <c r="I10" s="676">
        <v>113.86505836889303</v>
      </c>
      <c r="J10" s="832">
        <f t="shared" ref="J10:J20" si="2">I10*P10/1000</f>
        <v>32155.293219523246</v>
      </c>
      <c r="K10" s="620">
        <v>34.997742290580476</v>
      </c>
      <c r="L10" s="832">
        <f t="shared" ref="L10:L20" si="3">K10*P10/1000</f>
        <v>9883.3011768109191</v>
      </c>
      <c r="M10" s="841">
        <v>305.44888809674518</v>
      </c>
      <c r="N10" s="834">
        <f t="shared" ref="N10:N20" si="4">M10*P10/1000</f>
        <v>86258.231462966665</v>
      </c>
      <c r="O10" s="380"/>
      <c r="P10" s="844">
        <v>282398.25</v>
      </c>
      <c r="Q10" s="677"/>
      <c r="R10" s="1282"/>
      <c r="S10" s="1283"/>
      <c r="T10" s="620"/>
      <c r="U10" s="832"/>
      <c r="V10" s="676"/>
      <c r="W10" s="832"/>
      <c r="X10" s="620"/>
      <c r="Y10" s="832"/>
      <c r="Z10" s="841"/>
      <c r="AA10" s="834"/>
      <c r="AB10" s="380"/>
    </row>
    <row r="11" spans="3:28" s="177" customFormat="1">
      <c r="C11" s="669"/>
      <c r="D11" s="1294">
        <v>2001</v>
      </c>
      <c r="E11" s="619">
        <v>199.91937016533976</v>
      </c>
      <c r="F11" s="1284">
        <f t="shared" si="0"/>
        <v>57022.102315094111</v>
      </c>
      <c r="G11" s="619">
        <v>149.55413658109703</v>
      </c>
      <c r="H11" s="833">
        <f t="shared" si="1"/>
        <v>42656.653383411693</v>
      </c>
      <c r="I11" s="668">
        <v>113.99275400973572</v>
      </c>
      <c r="J11" s="833">
        <f t="shared" si="2"/>
        <v>32513.640258803873</v>
      </c>
      <c r="K11" s="619">
        <v>35.196384688519757</v>
      </c>
      <c r="L11" s="833">
        <f t="shared" si="3"/>
        <v>10038.906420975392</v>
      </c>
      <c r="M11" s="842">
        <v>306.33366784252553</v>
      </c>
      <c r="N11" s="835">
        <f t="shared" si="4"/>
        <v>87374.173577218258</v>
      </c>
      <c r="O11" s="381"/>
      <c r="P11" s="845">
        <v>285225.5</v>
      </c>
      <c r="Q11" s="671"/>
      <c r="R11" s="619"/>
      <c r="S11" s="1284"/>
      <c r="T11" s="619"/>
      <c r="U11" s="833"/>
      <c r="V11" s="668"/>
      <c r="W11" s="833"/>
      <c r="X11" s="619"/>
      <c r="Y11" s="833"/>
      <c r="Z11" s="842"/>
      <c r="AA11" s="835"/>
      <c r="AB11" s="381"/>
    </row>
    <row r="12" spans="3:28" s="177" customFormat="1">
      <c r="C12" s="669"/>
      <c r="D12" s="1294">
        <v>2002</v>
      </c>
      <c r="E12" s="619">
        <v>205.83679572688578</v>
      </c>
      <c r="F12" s="1284">
        <f t="shared" si="0"/>
        <v>59271.683054336463</v>
      </c>
      <c r="G12" s="619">
        <v>156.40299605315462</v>
      </c>
      <c r="H12" s="833">
        <f t="shared" si="1"/>
        <v>45036.985627737129</v>
      </c>
      <c r="I12" s="668">
        <v>117.65557037348272</v>
      </c>
      <c r="J12" s="833">
        <f t="shared" si="2"/>
        <v>33879.480353003622</v>
      </c>
      <c r="K12" s="619">
        <v>35.505860575295024</v>
      </c>
      <c r="L12" s="833">
        <f t="shared" si="3"/>
        <v>10224.081205493934</v>
      </c>
      <c r="M12" s="842">
        <v>305.22566865686844</v>
      </c>
      <c r="N12" s="835">
        <f t="shared" si="4"/>
        <v>87891.181111671394</v>
      </c>
      <c r="O12" s="381"/>
      <c r="P12" s="845">
        <v>287954.75</v>
      </c>
      <c r="Q12" s="671"/>
      <c r="R12" s="619"/>
      <c r="S12" s="1284"/>
      <c r="T12" s="619"/>
      <c r="U12" s="833"/>
      <c r="V12" s="668"/>
      <c r="W12" s="833"/>
      <c r="X12" s="619"/>
      <c r="Y12" s="833"/>
      <c r="Z12" s="842"/>
      <c r="AA12" s="835"/>
      <c r="AB12" s="381"/>
    </row>
    <row r="13" spans="3:28" s="177" customFormat="1">
      <c r="C13" s="669"/>
      <c r="D13" s="1294">
        <v>2003</v>
      </c>
      <c r="E13" s="619">
        <v>200.81964701679379</v>
      </c>
      <c r="F13" s="1284">
        <f t="shared" si="0"/>
        <v>58363.460938814467</v>
      </c>
      <c r="G13" s="619">
        <v>157.83016000583444</v>
      </c>
      <c r="H13" s="833">
        <f t="shared" si="1"/>
        <v>45869.587539395645</v>
      </c>
      <c r="I13" s="668">
        <v>118.17358560929608</v>
      </c>
      <c r="J13" s="833">
        <f t="shared" si="2"/>
        <v>34344.34603468368</v>
      </c>
      <c r="K13" s="619">
        <v>35.500688827507204</v>
      </c>
      <c r="L13" s="833">
        <f t="shared" si="3"/>
        <v>10317.432066355315</v>
      </c>
      <c r="M13" s="842">
        <v>308.66478066438253</v>
      </c>
      <c r="N13" s="835">
        <f t="shared" si="4"/>
        <v>89706.08771156201</v>
      </c>
      <c r="O13" s="381"/>
      <c r="P13" s="845">
        <v>290626.25</v>
      </c>
      <c r="Q13" s="671"/>
      <c r="R13" s="619"/>
      <c r="S13" s="1284"/>
      <c r="T13" s="619"/>
      <c r="U13" s="833"/>
      <c r="V13" s="668"/>
      <c r="W13" s="833"/>
      <c r="X13" s="619"/>
      <c r="Y13" s="833"/>
      <c r="Z13" s="842"/>
      <c r="AA13" s="835"/>
      <c r="AB13" s="381"/>
    </row>
    <row r="14" spans="3:28" s="177" customFormat="1">
      <c r="C14" s="669"/>
      <c r="D14" s="1294">
        <v>2004</v>
      </c>
      <c r="E14" s="619">
        <v>204.66522638207189</v>
      </c>
      <c r="F14" s="1284">
        <f t="shared" si="0"/>
        <v>60020.58478556577</v>
      </c>
      <c r="G14" s="619">
        <v>161.53928125214097</v>
      </c>
      <c r="H14" s="833">
        <f t="shared" si="1"/>
        <v>47373.373083385683</v>
      </c>
      <c r="I14" s="668">
        <v>114.01297313283926</v>
      </c>
      <c r="J14" s="833">
        <f t="shared" si="2"/>
        <v>33435.701030126002</v>
      </c>
      <c r="K14" s="619">
        <v>35.794882972507899</v>
      </c>
      <c r="L14" s="833">
        <f t="shared" si="3"/>
        <v>10497.287919004357</v>
      </c>
      <c r="M14" s="842">
        <v>311.94986982821598</v>
      </c>
      <c r="N14" s="835">
        <f t="shared" si="4"/>
        <v>91483.120713029755</v>
      </c>
      <c r="O14" s="381"/>
      <c r="P14" s="845">
        <v>293262.25000000006</v>
      </c>
      <c r="Q14" s="671"/>
      <c r="R14" s="619"/>
      <c r="S14" s="1284"/>
      <c r="T14" s="619"/>
      <c r="U14" s="833"/>
      <c r="V14" s="668"/>
      <c r="W14" s="833"/>
      <c r="X14" s="619"/>
      <c r="Y14" s="833"/>
      <c r="Z14" s="842"/>
      <c r="AA14" s="835"/>
      <c r="AB14" s="381"/>
    </row>
    <row r="15" spans="3:28" s="177" customFormat="1">
      <c r="C15" s="669"/>
      <c r="D15" s="1294">
        <v>2005</v>
      </c>
      <c r="E15" s="619">
        <v>201.93829009414267</v>
      </c>
      <c r="F15" s="1284">
        <f t="shared" si="0"/>
        <v>59772.269815263047</v>
      </c>
      <c r="G15" s="619">
        <v>163.91442639369308</v>
      </c>
      <c r="H15" s="833">
        <f t="shared" si="1"/>
        <v>48517.48183294179</v>
      </c>
      <c r="I15" s="668">
        <v>115.49858306136011</v>
      </c>
      <c r="J15" s="833">
        <f t="shared" si="2"/>
        <v>34186.743221435398</v>
      </c>
      <c r="K15" s="619">
        <v>35.278612856843154</v>
      </c>
      <c r="L15" s="833">
        <f t="shared" si="3"/>
        <v>10442.213635682361</v>
      </c>
      <c r="M15" s="842">
        <v>313.0295301581703</v>
      </c>
      <c r="N15" s="835">
        <f t="shared" si="4"/>
        <v>92654.471462724759</v>
      </c>
      <c r="O15" s="381"/>
      <c r="P15" s="845">
        <v>295992.75</v>
      </c>
      <c r="Q15" s="671"/>
      <c r="R15" s="619"/>
      <c r="S15" s="1284"/>
      <c r="T15" s="619"/>
      <c r="U15" s="833"/>
      <c r="V15" s="668"/>
      <c r="W15" s="833"/>
      <c r="X15" s="619"/>
      <c r="Y15" s="833"/>
      <c r="Z15" s="842"/>
      <c r="AA15" s="835"/>
      <c r="AB15" s="381"/>
    </row>
    <row r="16" spans="3:28" s="177" customFormat="1">
      <c r="C16" s="669"/>
      <c r="D16" s="1294">
        <v>2006</v>
      </c>
      <c r="E16" s="619">
        <v>203.39620738182475</v>
      </c>
      <c r="F16" s="1284">
        <f t="shared" si="0"/>
        <v>60778.346199318417</v>
      </c>
      <c r="G16" s="619">
        <v>165.01161048592877</v>
      </c>
      <c r="H16" s="833">
        <f t="shared" si="1"/>
        <v>49308.356916379016</v>
      </c>
      <c r="I16" s="668">
        <v>114.75246167154</v>
      </c>
      <c r="J16" s="833">
        <f t="shared" si="2"/>
        <v>34290.043715535401</v>
      </c>
      <c r="K16" s="619">
        <v>35.22325511071098</v>
      </c>
      <c r="L16" s="833">
        <f t="shared" si="3"/>
        <v>10525.325034044879</v>
      </c>
      <c r="M16" s="842">
        <v>314.5570939877183</v>
      </c>
      <c r="N16" s="835">
        <f t="shared" si="4"/>
        <v>93995.164432675025</v>
      </c>
      <c r="O16" s="381"/>
      <c r="P16" s="845">
        <v>298817.5</v>
      </c>
      <c r="Q16" s="671"/>
      <c r="R16" s="619"/>
      <c r="S16" s="1284"/>
      <c r="T16" s="619"/>
      <c r="U16" s="833"/>
      <c r="V16" s="668"/>
      <c r="W16" s="833"/>
      <c r="X16" s="619"/>
      <c r="Y16" s="833"/>
      <c r="Z16" s="842"/>
      <c r="AA16" s="835"/>
      <c r="AB16" s="381"/>
    </row>
    <row r="17" spans="2:28" s="177" customFormat="1">
      <c r="C17" s="669"/>
      <c r="D17" s="1294">
        <v>2007</v>
      </c>
      <c r="E17" s="619">
        <v>196.23371155565025</v>
      </c>
      <c r="F17" s="1284">
        <f t="shared" si="0"/>
        <v>59202.925841493459</v>
      </c>
      <c r="G17" s="619">
        <v>163.36608761288164</v>
      </c>
      <c r="H17" s="833">
        <f t="shared" si="1"/>
        <v>49286.895168455943</v>
      </c>
      <c r="I17" s="668">
        <v>117.23066878060142</v>
      </c>
      <c r="J17" s="833">
        <f t="shared" si="2"/>
        <v>35368.023848432327</v>
      </c>
      <c r="K17" s="619">
        <v>34.116915439063234</v>
      </c>
      <c r="L17" s="833">
        <f t="shared" si="3"/>
        <v>10292.936920303622</v>
      </c>
      <c r="M17" s="842">
        <v>314.38924294215303</v>
      </c>
      <c r="N17" s="835">
        <f t="shared" si="4"/>
        <v>94849.977038675803</v>
      </c>
      <c r="O17" s="381"/>
      <c r="P17" s="845">
        <v>301696</v>
      </c>
      <c r="Q17" s="671"/>
      <c r="R17" s="619"/>
      <c r="S17" s="1284"/>
      <c r="T17" s="619"/>
      <c r="U17" s="833"/>
      <c r="V17" s="668"/>
      <c r="W17" s="833"/>
      <c r="X17" s="619"/>
      <c r="Y17" s="833"/>
      <c r="Z17" s="842"/>
      <c r="AA17" s="835"/>
      <c r="AB17" s="381"/>
    </row>
    <row r="18" spans="2:28" s="177" customFormat="1">
      <c r="C18" s="669"/>
      <c r="D18" s="1294">
        <v>2008</v>
      </c>
      <c r="E18" s="619">
        <v>189.0553228355019</v>
      </c>
      <c r="F18" s="1284">
        <f t="shared" si="0"/>
        <v>57575.475182292255</v>
      </c>
      <c r="G18" s="619">
        <v>160.74409896242631</v>
      </c>
      <c r="H18" s="833">
        <f t="shared" si="1"/>
        <v>48953.490130314196</v>
      </c>
      <c r="I18" s="668">
        <v>111.05195739282004</v>
      </c>
      <c r="J18" s="833">
        <f t="shared" si="2"/>
        <v>33820.096260281593</v>
      </c>
      <c r="K18" s="619">
        <v>33.640782829231327</v>
      </c>
      <c r="L18" s="833">
        <f t="shared" si="3"/>
        <v>10245.064925162596</v>
      </c>
      <c r="M18" s="842">
        <v>314.37778671685868</v>
      </c>
      <c r="N18" s="835">
        <f t="shared" si="4"/>
        <v>95741.554300112286</v>
      </c>
      <c r="O18" s="381"/>
      <c r="P18" s="845">
        <v>304543</v>
      </c>
      <c r="Q18" s="671"/>
      <c r="R18" s="619"/>
      <c r="S18" s="1284"/>
      <c r="T18" s="619"/>
      <c r="U18" s="833"/>
      <c r="V18" s="668"/>
      <c r="W18" s="833"/>
      <c r="X18" s="619"/>
      <c r="Y18" s="833"/>
      <c r="Z18" s="842"/>
      <c r="AA18" s="835"/>
      <c r="AB18" s="381"/>
    </row>
    <row r="19" spans="2:28" s="177" customFormat="1">
      <c r="C19" s="669"/>
      <c r="D19" s="1294">
        <v>2009</v>
      </c>
      <c r="E19" s="619">
        <v>172.03612167330073</v>
      </c>
      <c r="F19" s="1284">
        <f t="shared" si="0"/>
        <v>52856.421031935337</v>
      </c>
      <c r="G19" s="619">
        <v>153.58146975653065</v>
      </c>
      <c r="H19" s="833">
        <f t="shared" si="1"/>
        <v>47186.409163363918</v>
      </c>
      <c r="I19" s="668">
        <v>114.85571006410501</v>
      </c>
      <c r="J19" s="833">
        <f t="shared" si="2"/>
        <v>35288.297074023139</v>
      </c>
      <c r="K19" s="619">
        <v>33.637265445195702</v>
      </c>
      <c r="L19" s="833">
        <f t="shared" si="3"/>
        <v>10334.72184469829</v>
      </c>
      <c r="M19" s="842">
        <v>318.9340440647789</v>
      </c>
      <c r="N19" s="835">
        <f t="shared" si="4"/>
        <v>97989.375431973676</v>
      </c>
      <c r="O19" s="381"/>
      <c r="P19" s="845">
        <v>307240.25</v>
      </c>
      <c r="Q19" s="671"/>
      <c r="R19" s="619"/>
      <c r="S19" s="1284"/>
      <c r="T19" s="619"/>
      <c r="U19" s="833"/>
      <c r="V19" s="668"/>
      <c r="W19" s="833"/>
      <c r="X19" s="619"/>
      <c r="Y19" s="833"/>
      <c r="Z19" s="842"/>
      <c r="AA19" s="835"/>
      <c r="AB19" s="381"/>
    </row>
    <row r="20" spans="2:28" s="126" customFormat="1">
      <c r="C20" s="678"/>
      <c r="D20" s="1295">
        <v>2010</v>
      </c>
      <c r="E20" s="1285">
        <v>182.58439266321059</v>
      </c>
      <c r="F20" s="1286">
        <f t="shared" si="0"/>
        <v>56559.897652853397</v>
      </c>
      <c r="G20" s="619">
        <v>157.61522231557942</v>
      </c>
      <c r="H20" s="833">
        <f t="shared" si="1"/>
        <v>48825.097877586297</v>
      </c>
      <c r="I20" s="668">
        <v>110.31176838880842</v>
      </c>
      <c r="J20" s="833">
        <f t="shared" si="2"/>
        <v>34171.717740874738</v>
      </c>
      <c r="K20" s="619">
        <v>33.534371917452425</v>
      </c>
      <c r="L20" s="833">
        <f t="shared" si="3"/>
        <v>10388.076526356908</v>
      </c>
      <c r="M20" s="843">
        <v>313.31211083517218</v>
      </c>
      <c r="N20" s="836">
        <f t="shared" si="4"/>
        <v>97055.945821854621</v>
      </c>
      <c r="O20" s="681"/>
      <c r="P20" s="846">
        <v>309774</v>
      </c>
      <c r="Q20" s="679"/>
      <c r="R20" s="1285"/>
      <c r="S20" s="1286"/>
      <c r="T20" s="619"/>
      <c r="U20" s="833"/>
      <c r="V20" s="668"/>
      <c r="W20" s="833"/>
      <c r="X20" s="619"/>
      <c r="Y20" s="833"/>
      <c r="Z20" s="843"/>
      <c r="AA20" s="836"/>
      <c r="AB20" s="681"/>
    </row>
    <row r="21" spans="2:28" s="177" customFormat="1">
      <c r="C21" s="669"/>
      <c r="D21" s="672" t="s">
        <v>942</v>
      </c>
      <c r="E21" s="1287">
        <f>AVERAGE(E10:E20)</f>
        <v>196.90010273195551</v>
      </c>
      <c r="F21" s="1288">
        <f t="shared" ref="F21:M21" si="5">AVERAGE(F10:F20)</f>
        <v>58232.899211065989</v>
      </c>
      <c r="G21" s="852">
        <f t="shared" si="5"/>
        <v>158.12837708083606</v>
      </c>
      <c r="H21" s="786">
        <f t="shared" si="5"/>
        <v>46848.405384793376</v>
      </c>
      <c r="I21" s="853">
        <f t="shared" si="5"/>
        <v>114.67282644122561</v>
      </c>
      <c r="J21" s="787">
        <f t="shared" si="5"/>
        <v>33950.307523338452</v>
      </c>
      <c r="K21" s="852">
        <f t="shared" si="5"/>
        <v>34.766069359355193</v>
      </c>
      <c r="L21" s="786">
        <f t="shared" si="5"/>
        <v>10289.940697717144</v>
      </c>
      <c r="M21" s="853">
        <f t="shared" si="5"/>
        <v>311.47478943578079</v>
      </c>
      <c r="N21" s="786">
        <f>AVERAGE(N10:N20)</f>
        <v>92272.662096769476</v>
      </c>
      <c r="O21" s="1233">
        <f>SUM(M21,K21,I21,G21,E21)</f>
        <v>815.94216504915312</v>
      </c>
      <c r="P21" s="847">
        <f>AVERAGE(P10:P20)</f>
        <v>296139.13636363635</v>
      </c>
      <c r="R21" s="1287"/>
      <c r="S21" s="1288"/>
      <c r="T21" s="852"/>
      <c r="U21" s="786"/>
      <c r="V21" s="853"/>
      <c r="W21" s="787"/>
      <c r="X21" s="852"/>
      <c r="Y21" s="786"/>
      <c r="Z21" s="853"/>
      <c r="AA21" s="786"/>
      <c r="AB21" s="1233">
        <f>SUM(Z21,X21,V21,T21,R21)</f>
        <v>0</v>
      </c>
    </row>
    <row r="22" spans="2:28" s="177" customFormat="1">
      <c r="C22" s="669"/>
      <c r="D22" s="672" t="s">
        <v>943</v>
      </c>
      <c r="E22" s="839">
        <f>E21/1000</f>
        <v>0.19690010273195552</v>
      </c>
      <c r="F22" s="1289">
        <f t="shared" ref="F22:L22" si="6">F21/1000</f>
        <v>58.232899211065991</v>
      </c>
      <c r="G22" s="839">
        <f t="shared" si="6"/>
        <v>0.15812837708083605</v>
      </c>
      <c r="H22" s="680">
        <f t="shared" si="6"/>
        <v>46.848405384793374</v>
      </c>
      <c r="I22" s="837">
        <f t="shared" si="6"/>
        <v>0.1146728264412256</v>
      </c>
      <c r="J22" s="673">
        <f t="shared" si="6"/>
        <v>33.950307523338452</v>
      </c>
      <c r="K22" s="839">
        <f t="shared" si="6"/>
        <v>3.4766069359355195E-2</v>
      </c>
      <c r="L22" s="680">
        <f t="shared" si="6"/>
        <v>10.289940697717144</v>
      </c>
      <c r="M22" s="837">
        <f>M21/1000</f>
        <v>0.31147478943578077</v>
      </c>
      <c r="N22" s="680">
        <f>N21/1000</f>
        <v>92.27266209676948</v>
      </c>
      <c r="O22" s="381"/>
      <c r="P22" s="848"/>
      <c r="R22" s="450"/>
      <c r="S22" s="1289"/>
      <c r="T22" s="839"/>
      <c r="U22" s="680"/>
      <c r="V22" s="837"/>
      <c r="W22" s="673"/>
      <c r="X22" s="839"/>
      <c r="Y22" s="680"/>
      <c r="Z22" s="837"/>
      <c r="AA22" s="680"/>
      <c r="AB22" s="381"/>
    </row>
    <row r="23" spans="2:28" s="177" customFormat="1">
      <c r="C23" s="669"/>
      <c r="D23" s="672" t="s">
        <v>257</v>
      </c>
      <c r="E23" s="840">
        <f>STDEV(E10:E20)</f>
        <v>11.287221514547612</v>
      </c>
      <c r="F23" s="1290">
        <f>F22*SQRT(E23^2/E21^2+P23^2/P21^2)</f>
        <v>3.7892348786974948</v>
      </c>
      <c r="G23" s="840">
        <f>STDEV(G10:G20)</f>
        <v>5.4108764024199978</v>
      </c>
      <c r="H23" s="789">
        <f>H22*SQRT(G23^2/G21^2+P23^2/P21^2)</f>
        <v>2.1565169697676736</v>
      </c>
      <c r="I23" s="838">
        <f>STDEV(I10:I20)</f>
        <v>2.4919111119392965</v>
      </c>
      <c r="J23" s="788">
        <f>J22*SQRT(I23^2/I21^2+P23^2/P21^2)</f>
        <v>1.2794621340038512</v>
      </c>
      <c r="K23" s="840">
        <f>STDEV(K10:K20)</f>
        <v>0.85644176606087541</v>
      </c>
      <c r="L23" s="789">
        <f>L22*SQRT(K23^2/K21^2+P23^2/P21^2)</f>
        <v>0.40575434751721395</v>
      </c>
      <c r="M23" s="838">
        <f>STDEV(M10:M20)</f>
        <v>4.4471503396317251</v>
      </c>
      <c r="N23" s="788">
        <f>N22*SQRT(M23^2/M21^2+P23^2/P21^2)</f>
        <v>3.1316916749174459</v>
      </c>
      <c r="O23" s="381"/>
      <c r="P23" s="849">
        <f>STDEV(P10:P20)</f>
        <v>9118.1957462562423</v>
      </c>
      <c r="R23" s="1346" t="s">
        <v>184</v>
      </c>
      <c r="S23" s="1290">
        <f>'GHG Animals'!J9</f>
        <v>3.3500800000000002</v>
      </c>
      <c r="T23" s="840"/>
      <c r="U23" s="789">
        <f>'GHG Animals'!J10</f>
        <v>2.2921600000000004</v>
      </c>
      <c r="V23" s="838"/>
      <c r="W23" s="788">
        <f>'GHG Animals'!J11</f>
        <v>2.9092800000000003</v>
      </c>
      <c r="X23" s="840"/>
      <c r="Y23" s="789">
        <f>'GHG Animals'!J12</f>
        <v>1.43</v>
      </c>
      <c r="Z23" s="838"/>
      <c r="AA23" s="788">
        <f>'GHG Animals'!J8</f>
        <v>0.61</v>
      </c>
      <c r="AB23" s="381"/>
    </row>
    <row r="24" spans="2:28" s="177" customFormat="1" ht="38.25" customHeight="1">
      <c r="C24" s="1959" t="s">
        <v>770</v>
      </c>
      <c r="D24" s="1959"/>
      <c r="E24" s="1291">
        <f>E21</f>
        <v>196.90010273195551</v>
      </c>
      <c r="F24" s="911"/>
      <c r="G24" s="1234">
        <f>G21</f>
        <v>158.12837708083606</v>
      </c>
      <c r="H24" s="326"/>
      <c r="I24" s="1235">
        <f>I21</f>
        <v>114.67282644122561</v>
      </c>
      <c r="K24" s="1234">
        <f>K21</f>
        <v>34.766069359355193</v>
      </c>
      <c r="L24" s="326"/>
      <c r="M24" s="1237">
        <f>M21</f>
        <v>311.47478943578079</v>
      </c>
      <c r="O24" s="1236">
        <f>SUM(M24,K24,I24,G24,E24)</f>
        <v>815.94216504915312</v>
      </c>
      <c r="P24" s="381"/>
      <c r="R24" s="1347" t="s">
        <v>835</v>
      </c>
      <c r="S24" s="1344">
        <v>0.15</v>
      </c>
      <c r="T24" s="1234"/>
      <c r="U24" s="1345">
        <v>0.2</v>
      </c>
      <c r="V24" s="1235"/>
      <c r="W24" s="708">
        <v>0.14000000000000001</v>
      </c>
      <c r="X24" s="1234"/>
      <c r="Y24" s="1345">
        <v>0.13</v>
      </c>
      <c r="Z24" s="1237"/>
      <c r="AA24" s="708">
        <v>3.5000000000000003E-2</v>
      </c>
      <c r="AB24" s="1236"/>
    </row>
    <row r="25" spans="2:28" ht="34.5" customHeight="1">
      <c r="B25" s="1958" t="s">
        <v>769</v>
      </c>
      <c r="C25" s="1958"/>
      <c r="D25" s="1958"/>
      <c r="E25" s="912"/>
      <c r="F25" s="1292">
        <f>F22*365.2</f>
        <v>21266.654791881298</v>
      </c>
      <c r="G25" s="863"/>
      <c r="H25" s="864">
        <f>H22*365.2</f>
        <v>17109.03764652654</v>
      </c>
      <c r="I25" s="865"/>
      <c r="J25" s="865">
        <f>J22*365.2</f>
        <v>12398.652307523202</v>
      </c>
      <c r="K25" s="863"/>
      <c r="L25" s="864">
        <f>L22*365.2</f>
        <v>3757.8863428063009</v>
      </c>
      <c r="M25" s="865"/>
      <c r="N25" s="864">
        <f>N22*365.2</f>
        <v>33697.976197740216</v>
      </c>
      <c r="O25" s="682">
        <f>SUM(E25:N25)</f>
        <v>88230.207286477555</v>
      </c>
      <c r="P25" s="682">
        <v>0</v>
      </c>
      <c r="R25" s="1523" t="s">
        <v>827</v>
      </c>
      <c r="S25" s="1524">
        <f>F25/S23*S24</f>
        <v>952.21553478788394</v>
      </c>
      <c r="T25" s="1524"/>
      <c r="U25" s="1524">
        <f>H25/U23*U24</f>
        <v>1492.8310106211204</v>
      </c>
      <c r="V25" s="1524"/>
      <c r="W25" s="1524">
        <f>J25/W23*W24</f>
        <v>596.6463602861354</v>
      </c>
      <c r="X25" s="1524"/>
      <c r="Y25" s="1524">
        <f>L25/Y23*Y24</f>
        <v>341.62603116420917</v>
      </c>
      <c r="Z25" s="1524"/>
      <c r="AA25" s="1524">
        <f>N25/AA23*AA24</f>
        <v>1933.4904375752585</v>
      </c>
      <c r="AB25" s="1526">
        <f>SUM(S25,U25,W25:Y25,AA25)</f>
        <v>5316.8093744346079</v>
      </c>
    </row>
    <row r="26" spans="2:28" ht="27.75" customHeight="1">
      <c r="C26" s="621"/>
      <c r="D26" s="625" t="s">
        <v>213</v>
      </c>
      <c r="E26" s="625"/>
      <c r="F26" s="785">
        <f>F23*365.2</f>
        <v>1383.828577700325</v>
      </c>
      <c r="G26" s="785"/>
      <c r="H26" s="785">
        <f>H23*365.2</f>
        <v>787.55999735915441</v>
      </c>
      <c r="I26" s="785"/>
      <c r="J26" s="785">
        <f>J23*365.2</f>
        <v>467.25957133820646</v>
      </c>
      <c r="K26" s="785"/>
      <c r="L26" s="785">
        <f>L23*365.2</f>
        <v>148.18148771328654</v>
      </c>
      <c r="M26" s="785"/>
      <c r="N26" s="785">
        <f>N23*365.2</f>
        <v>1143.6937996798513</v>
      </c>
      <c r="P26" s="625"/>
      <c r="R26" s="1521" t="s">
        <v>257</v>
      </c>
      <c r="S26" s="1522">
        <f>S25*SQRT(F26^2/F25^2+'GHG Animals'!K9^2/'GHG Animals'!J9^2+(10%*S24)^2/(S24^2))</f>
        <v>148.23445370996333</v>
      </c>
      <c r="T26" s="1522"/>
      <c r="U26" s="1522">
        <f>'USA Cal-Protein Intake'!U25*SQRT(H26^2/H25^2+'GHG Animals'!K10^2/'GHG Animals'!J10^2+('USA Cal-Protein Intake'!U24*10%)^2/'USA Cal-Protein Intake'!U24^2)</f>
        <v>222.02029860270048</v>
      </c>
      <c r="V26" s="1522"/>
      <c r="W26" s="1522">
        <f>W25*SQRT(J26^2/J25^2+'GHG Animals'!K11^2/'GHG Animals'!J11^2+('USA Cal-Protein Intake'!W24*10%)^2/'USA Cal-Protein Intake'!W24^2)</f>
        <v>87.323141475941569</v>
      </c>
      <c r="X26" s="1522"/>
      <c r="Y26" s="1522">
        <f>Y25*SQRT(L26^2/L25^2+'GHG Animals'!K12^2/'GHG Animals'!J12^2+('USA Cal-Protein Intake'!Y24*10%)^2/'USA Cal-Protein Intake'!Y24^2)</f>
        <v>50.156115668231344</v>
      </c>
      <c r="Z26" s="1522"/>
      <c r="AA26" s="1522">
        <f>AA25*SQRT(N26^2/N25^2+'GHG Animals'!K8^2/'GHG Animals'!J8^2+('USA Cal-Protein Intake'!AA24*10%)^2/'USA Cal-Protein Intake'!AA24^2)</f>
        <v>281.20085855030283</v>
      </c>
      <c r="AB26" s="1530">
        <f>SQRT(S26^2+U26^2+W26^2+Y26^2+AA26^2)</f>
        <v>400.60124323808992</v>
      </c>
    </row>
    <row r="27" spans="2:28">
      <c r="C27" s="621"/>
      <c r="D27" s="625" t="s">
        <v>72</v>
      </c>
      <c r="E27" s="625"/>
      <c r="F27" s="1230">
        <f>F25/$O$25</f>
        <v>0.2410359835473343</v>
      </c>
      <c r="G27" s="625"/>
      <c r="H27" s="1230">
        <f>H25/$O$25</f>
        <v>0.19391360592608203</v>
      </c>
      <c r="I27" s="625"/>
      <c r="J27" s="1230">
        <f>J25/$O$25</f>
        <v>0.14052616092429218</v>
      </c>
      <c r="K27" s="625"/>
      <c r="L27" s="1230">
        <f>L25/$O$25</f>
        <v>4.2591834003117508E-2</v>
      </c>
      <c r="M27" s="625"/>
      <c r="N27" s="1230">
        <f>N25/$O$25</f>
        <v>0.38193241559917401</v>
      </c>
      <c r="P27" s="625"/>
      <c r="R27" t="s">
        <v>852</v>
      </c>
      <c r="S27" s="440">
        <f>S25*10^3/$P21</f>
        <v>3.2154329430428126</v>
      </c>
      <c r="U27" s="440">
        <f>U25*10^3/$P21</f>
        <v>5.0409784702959266</v>
      </c>
      <c r="W27" s="440">
        <f>W25*10^3/$P21</f>
        <v>2.0147501191922808</v>
      </c>
      <c r="Y27" s="440">
        <f>Y25*10^3/$P21</f>
        <v>1.1535997415239247</v>
      </c>
      <c r="AA27" s="440">
        <f>AA25*10^3/$P21</f>
        <v>6.5289933013145527</v>
      </c>
      <c r="AB27" s="1527">
        <f>SUM(S27,U27,W27:Y27,AA27)</f>
        <v>17.953754575369498</v>
      </c>
    </row>
    <row r="28" spans="2:28" ht="32">
      <c r="C28" s="621"/>
      <c r="D28" s="625"/>
      <c r="J28" s="625"/>
      <c r="K28" s="625"/>
      <c r="L28" s="625"/>
      <c r="M28" s="625"/>
      <c r="N28" s="625"/>
      <c r="P28" s="625"/>
      <c r="R28" s="1525" t="s">
        <v>910</v>
      </c>
      <c r="S28" s="456">
        <f>S25/AB25</f>
        <v>0.17909529338526323</v>
      </c>
      <c r="U28" s="456">
        <f>U25/AB25</f>
        <v>0.28077572571987663</v>
      </c>
      <c r="V28" s="395"/>
      <c r="W28" s="456">
        <f>W25/AB25</f>
        <v>0.11221887381463307</v>
      </c>
      <c r="X28" s="395"/>
      <c r="Y28" s="456">
        <f>Y25/AB25</f>
        <v>6.4253955164705875E-2</v>
      </c>
      <c r="Z28" s="395"/>
      <c r="AA28" s="456">
        <f>AA25/AB25</f>
        <v>0.36365615191552109</v>
      </c>
      <c r="AB28" s="1528">
        <f>SUM(S28:AA28)</f>
        <v>0.99999999999999978</v>
      </c>
    </row>
    <row r="29" spans="2:28" ht="49.5" customHeight="1">
      <c r="C29" s="621"/>
      <c r="D29" s="625"/>
      <c r="J29" s="625"/>
      <c r="K29" s="625"/>
      <c r="L29" s="625"/>
      <c r="M29" s="625"/>
      <c r="N29" s="625"/>
      <c r="P29" s="625"/>
      <c r="Q29" s="1388" t="s">
        <v>845</v>
      </c>
      <c r="R29" s="1389" t="s">
        <v>847</v>
      </c>
      <c r="S29" s="1391">
        <f>F25/S25</f>
        <v>22.333866666666669</v>
      </c>
      <c r="T29" s="1391"/>
      <c r="U29" s="1391">
        <f>H25/U25</f>
        <v>11.460800000000003</v>
      </c>
      <c r="V29" s="1391"/>
      <c r="W29" s="1391">
        <f>J25/W25</f>
        <v>20.780571428571431</v>
      </c>
      <c r="X29" s="1391"/>
      <c r="Y29" s="1391">
        <f>L25/Y25</f>
        <v>11</v>
      </c>
      <c r="Z29" s="1391"/>
      <c r="AA29" s="1392">
        <f>N25/AA25</f>
        <v>17.428571428571427</v>
      </c>
    </row>
    <row r="30" spans="2:28" ht="16">
      <c r="C30" s="621"/>
      <c r="D30" s="626"/>
      <c r="N30" s="621"/>
      <c r="P30" s="621"/>
      <c r="Q30" s="1278" t="s">
        <v>846</v>
      </c>
      <c r="R30" s="1390" t="s">
        <v>848</v>
      </c>
      <c r="S30" s="1393">
        <f>3/0.15</f>
        <v>20</v>
      </c>
      <c r="T30" s="1393"/>
      <c r="U30" s="1393">
        <f>1.8/0.2</f>
        <v>9</v>
      </c>
      <c r="V30" s="1393"/>
      <c r="W30" s="1393">
        <f>3.1/0.14</f>
        <v>22.142857142857142</v>
      </c>
      <c r="X30" s="1393"/>
      <c r="Y30" s="1393">
        <f>1.6/0.13</f>
        <v>12.307692307692308</v>
      </c>
      <c r="Z30" s="1393"/>
      <c r="AA30" s="1394">
        <f>0.65/0.035</f>
        <v>18.571428571428569</v>
      </c>
    </row>
    <row r="31" spans="2:28" s="938" customFormat="1">
      <c r="C31" s="1274"/>
      <c r="D31" s="626"/>
      <c r="N31" s="1274"/>
      <c r="P31" s="1274"/>
    </row>
    <row r="32" spans="2:28" s="938" customFormat="1">
      <c r="C32" s="1274"/>
      <c r="D32" s="626"/>
      <c r="N32" s="1274"/>
      <c r="P32" s="1274"/>
    </row>
    <row r="33" spans="3:20" s="938" customFormat="1" ht="21">
      <c r="C33" s="1274"/>
      <c r="D33" s="626"/>
      <c r="E33" s="1960" t="s">
        <v>909</v>
      </c>
      <c r="F33" s="1960"/>
      <c r="G33" s="1960"/>
      <c r="N33" s="1274"/>
      <c r="P33" s="1274"/>
    </row>
    <row r="34" spans="3:20" s="938" customFormat="1">
      <c r="C34" s="1274"/>
      <c r="D34" s="626"/>
      <c r="E34" s="1496"/>
      <c r="F34" s="1497"/>
      <c r="G34" s="1498"/>
      <c r="H34" s="1499"/>
      <c r="I34" s="1500"/>
      <c r="J34" s="1500"/>
      <c r="K34" s="1500"/>
      <c r="L34" s="1500"/>
      <c r="M34" s="1500"/>
      <c r="N34" s="1501"/>
      <c r="O34" s="1500"/>
      <c r="P34" s="1501"/>
      <c r="Q34" s="1500"/>
      <c r="R34" s="1500"/>
      <c r="S34" s="1500"/>
      <c r="T34" s="1502"/>
    </row>
    <row r="35" spans="3:20" s="938" customFormat="1">
      <c r="C35" s="1274"/>
      <c r="E35" s="1503"/>
      <c r="F35" s="1275"/>
      <c r="G35" s="1276"/>
      <c r="H35" s="1504"/>
      <c r="I35" s="1505"/>
      <c r="J35" s="1506"/>
      <c r="K35" s="1507"/>
      <c r="L35" s="1508" t="s">
        <v>76</v>
      </c>
      <c r="M35" s="1501"/>
      <c r="N35" s="1509"/>
      <c r="O35" s="177"/>
      <c r="P35" s="669"/>
      <c r="Q35" s="1496" t="s">
        <v>278</v>
      </c>
      <c r="R35" s="1500"/>
      <c r="S35" s="1502"/>
      <c r="T35" s="911"/>
    </row>
    <row r="36" spans="3:20" s="830" customFormat="1" ht="73.5" customHeight="1">
      <c r="C36" s="831"/>
      <c r="D36" s="626"/>
      <c r="E36" s="1510"/>
      <c r="F36" s="1583" t="s">
        <v>797</v>
      </c>
      <c r="G36" s="1584">
        <f>2.617*1389</f>
        <v>3635.0129999999999</v>
      </c>
      <c r="H36" s="823"/>
      <c r="I36" s="177"/>
      <c r="J36" s="1280"/>
      <c r="K36" s="670" t="s">
        <v>80</v>
      </c>
      <c r="L36" s="669" t="s">
        <v>77</v>
      </c>
      <c r="M36" s="669"/>
      <c r="N36" s="910"/>
      <c r="O36" s="177"/>
      <c r="P36" s="669"/>
      <c r="Q36" s="450" t="s">
        <v>74</v>
      </c>
      <c r="R36" s="177"/>
      <c r="S36" s="911"/>
      <c r="T36" s="911"/>
    </row>
    <row r="37" spans="3:20" ht="30" thickBot="1">
      <c r="E37" s="1511"/>
      <c r="F37" s="1585" t="s">
        <v>798</v>
      </c>
      <c r="G37" s="1586">
        <f>34.163*1279</f>
        <v>43694.476999999999</v>
      </c>
      <c r="H37" s="823"/>
      <c r="I37" s="177"/>
      <c r="J37" s="450">
        <v>2001</v>
      </c>
      <c r="K37" s="177">
        <v>165332</v>
      </c>
      <c r="L37" s="177">
        <v>6073</v>
      </c>
      <c r="M37" s="177"/>
      <c r="N37" s="911"/>
      <c r="O37" s="177"/>
      <c r="P37" s="177"/>
      <c r="Q37" s="450">
        <v>2002</v>
      </c>
      <c r="R37" s="177">
        <v>6150</v>
      </c>
      <c r="S37" s="911"/>
      <c r="T37" s="911"/>
    </row>
    <row r="38" spans="3:20" ht="30" thickBot="1">
      <c r="C38" s="621"/>
      <c r="E38" s="1511"/>
      <c r="F38" s="1277" t="s">
        <v>933</v>
      </c>
      <c r="G38" s="1588">
        <f>G36/G37</f>
        <v>8.3191589637289856E-2</v>
      </c>
      <c r="H38" s="1464"/>
      <c r="I38" s="177"/>
      <c r="J38" s="450">
        <v>2002</v>
      </c>
      <c r="K38" s="669">
        <v>170063</v>
      </c>
      <c r="L38" s="669">
        <v>6264</v>
      </c>
      <c r="M38" s="669"/>
      <c r="N38" s="910"/>
      <c r="O38" s="177"/>
      <c r="P38" s="669"/>
      <c r="Q38" s="450">
        <v>2003</v>
      </c>
      <c r="R38" s="177">
        <v>6204</v>
      </c>
      <c r="S38" s="911"/>
      <c r="T38" s="911"/>
    </row>
    <row r="39" spans="3:20" ht="29">
      <c r="C39" s="621"/>
      <c r="E39" s="1511"/>
      <c r="F39" s="1587" t="s">
        <v>931</v>
      </c>
      <c r="G39" s="911">
        <f>144.383*10^6*5.5/10^6</f>
        <v>794.10649999999998</v>
      </c>
      <c r="H39" s="1512"/>
      <c r="I39" s="177"/>
      <c r="J39" s="450">
        <v>2003</v>
      </c>
      <c r="K39" s="669">
        <v>170348</v>
      </c>
      <c r="L39" s="669">
        <v>6247</v>
      </c>
      <c r="M39" s="669"/>
      <c r="N39" s="910"/>
      <c r="O39" s="177"/>
      <c r="P39" s="669"/>
      <c r="Q39" s="450">
        <v>2004</v>
      </c>
      <c r="R39" s="177">
        <v>6306</v>
      </c>
      <c r="S39" s="911"/>
      <c r="T39" s="911"/>
    </row>
    <row r="40" spans="3:20" ht="44" thickBot="1">
      <c r="E40" s="450"/>
      <c r="F40" s="1589" t="s">
        <v>932</v>
      </c>
      <c r="G40" s="1590">
        <f>8684*10^6*5.5/10^6</f>
        <v>47762</v>
      </c>
      <c r="H40" s="1279"/>
      <c r="I40" s="177"/>
      <c r="J40" s="450">
        <v>2004</v>
      </c>
      <c r="K40" s="1281">
        <v>170832</v>
      </c>
      <c r="L40" s="1281">
        <v>6266</v>
      </c>
      <c r="M40" s="177"/>
      <c r="N40" s="911"/>
      <c r="O40" s="177"/>
      <c r="P40" s="177"/>
      <c r="Q40" s="450">
        <v>2005</v>
      </c>
      <c r="R40" s="177">
        <v>6345</v>
      </c>
      <c r="S40" s="911"/>
      <c r="T40" s="911"/>
    </row>
    <row r="41" spans="3:20" ht="30" thickBot="1">
      <c r="E41" s="450"/>
      <c r="F41" s="1277" t="s">
        <v>934</v>
      </c>
      <c r="G41" s="1588">
        <f>G39/G40</f>
        <v>1.6626324274527867E-2</v>
      </c>
      <c r="H41" s="1464"/>
      <c r="I41" s="177"/>
      <c r="J41" s="450">
        <v>2005</v>
      </c>
      <c r="K41" s="1281">
        <v>176931</v>
      </c>
      <c r="L41" s="1281">
        <v>6480</v>
      </c>
      <c r="M41" s="177"/>
      <c r="N41" s="911"/>
      <c r="O41" s="177"/>
      <c r="P41" s="177"/>
      <c r="Q41" s="450">
        <v>2006</v>
      </c>
      <c r="R41" s="177">
        <v>6468</v>
      </c>
      <c r="S41" s="911"/>
      <c r="T41" s="911"/>
    </row>
    <row r="42" spans="3:20">
      <c r="E42" s="450"/>
      <c r="F42" s="177"/>
      <c r="G42" s="1463"/>
      <c r="H42" s="1464"/>
      <c r="I42" s="177"/>
      <c r="J42" s="450">
        <v>2006</v>
      </c>
      <c r="K42" s="1281">
        <v>181782</v>
      </c>
      <c r="L42" s="1281">
        <v>6700</v>
      </c>
      <c r="M42" s="177"/>
      <c r="N42" s="911"/>
      <c r="O42" s="177"/>
      <c r="P42" s="177"/>
      <c r="Q42" s="450">
        <v>2007</v>
      </c>
      <c r="R42" s="177">
        <v>6335</v>
      </c>
      <c r="S42" s="911"/>
      <c r="T42" s="911"/>
    </row>
    <row r="43" spans="3:20">
      <c r="E43" s="450"/>
      <c r="F43" s="177"/>
      <c r="G43" s="1465"/>
      <c r="H43" s="567"/>
      <c r="I43" s="177"/>
      <c r="J43" s="450">
        <v>2007</v>
      </c>
      <c r="K43" s="1281">
        <v>185654</v>
      </c>
      <c r="L43" s="1281">
        <v>6832</v>
      </c>
      <c r="M43" s="177"/>
      <c r="N43" s="911"/>
      <c r="O43" s="177"/>
      <c r="P43" s="177"/>
      <c r="Q43" s="450">
        <v>2008</v>
      </c>
      <c r="R43" s="177">
        <v>6307</v>
      </c>
      <c r="S43" s="911"/>
      <c r="T43" s="911"/>
    </row>
    <row r="44" spans="3:20">
      <c r="E44" s="450"/>
      <c r="F44" s="177"/>
      <c r="G44" s="1465"/>
      <c r="H44" s="568"/>
      <c r="I44" s="177"/>
      <c r="J44" s="450">
        <v>2008</v>
      </c>
      <c r="K44" s="1281">
        <v>189982</v>
      </c>
      <c r="L44" s="1281">
        <v>6998</v>
      </c>
      <c r="M44" s="177"/>
      <c r="N44" s="911"/>
      <c r="O44" s="177"/>
      <c r="P44" s="177"/>
      <c r="Q44" s="450">
        <v>2009</v>
      </c>
      <c r="R44" s="177">
        <v>6358</v>
      </c>
      <c r="S44" s="911"/>
      <c r="T44" s="911"/>
    </row>
    <row r="45" spans="3:20">
      <c r="E45" s="450"/>
      <c r="F45" s="177"/>
      <c r="G45" s="669"/>
      <c r="H45" s="669"/>
      <c r="I45" s="177"/>
      <c r="J45" s="450">
        <v>2009</v>
      </c>
      <c r="K45" s="1281">
        <v>189334</v>
      </c>
      <c r="L45" s="1281">
        <v>6949</v>
      </c>
      <c r="M45" s="177"/>
      <c r="N45" s="911"/>
      <c r="O45" s="177"/>
      <c r="P45" s="177"/>
      <c r="Q45" s="450">
        <v>2010</v>
      </c>
      <c r="R45" s="177">
        <v>6391</v>
      </c>
      <c r="S45" s="911"/>
      <c r="T45" s="911"/>
    </row>
    <row r="46" spans="3:20">
      <c r="E46" s="450"/>
      <c r="F46" s="177"/>
      <c r="G46" s="177"/>
      <c r="H46" s="177"/>
      <c r="I46" s="177"/>
      <c r="J46" s="450">
        <v>2010</v>
      </c>
      <c r="K46" s="1281">
        <v>192819</v>
      </c>
      <c r="L46" s="1281">
        <v>7052</v>
      </c>
      <c r="M46" s="177"/>
      <c r="N46" s="911"/>
      <c r="O46" s="177"/>
      <c r="P46" s="177"/>
      <c r="Q46" s="450"/>
      <c r="R46" s="177"/>
      <c r="S46" s="911"/>
      <c r="T46" s="911"/>
    </row>
    <row r="47" spans="3:20">
      <c r="E47" s="450"/>
      <c r="F47" s="177"/>
      <c r="G47" s="177"/>
      <c r="H47" s="1466"/>
      <c r="I47" s="177"/>
      <c r="J47" s="450" t="s">
        <v>263</v>
      </c>
      <c r="K47" s="177">
        <f>AVERAGE(K37:K46)</f>
        <v>179307.7</v>
      </c>
      <c r="L47" s="177">
        <f>AVERAGE(L37:L46)</f>
        <v>6586.1</v>
      </c>
      <c r="M47" s="177"/>
      <c r="N47" s="911"/>
      <c r="O47" s="177"/>
      <c r="P47" s="177"/>
      <c r="Q47" s="450"/>
      <c r="R47" s="177">
        <f>AVERAGE(R37:R45)</f>
        <v>6318.2222222222226</v>
      </c>
      <c r="S47" s="911"/>
      <c r="T47" s="911"/>
    </row>
    <row r="48" spans="3:20">
      <c r="E48" s="450"/>
      <c r="F48" s="177"/>
      <c r="G48" s="177"/>
      <c r="H48" s="177"/>
      <c r="I48" s="177"/>
      <c r="J48" s="912" t="s">
        <v>81</v>
      </c>
      <c r="K48" s="1957">
        <f>K47+L47</f>
        <v>185893.80000000002</v>
      </c>
      <c r="L48" s="1957"/>
      <c r="M48" s="126"/>
      <c r="N48" s="913"/>
      <c r="O48" s="177"/>
      <c r="P48" s="177"/>
      <c r="Q48" s="912"/>
      <c r="R48" s="126"/>
      <c r="S48" s="913"/>
      <c r="T48" s="911"/>
    </row>
    <row r="49" spans="5:20">
      <c r="E49" s="450"/>
      <c r="F49" s="177"/>
      <c r="G49" s="177"/>
      <c r="H49" s="177"/>
      <c r="I49" s="177"/>
      <c r="J49" s="177"/>
      <c r="K49" s="177"/>
      <c r="L49" s="177"/>
      <c r="M49" s="177"/>
      <c r="N49" s="177"/>
      <c r="O49" s="177"/>
      <c r="P49" s="177"/>
      <c r="Q49" s="177"/>
      <c r="R49" s="177"/>
      <c r="S49" s="177"/>
      <c r="T49" s="911"/>
    </row>
    <row r="50" spans="5:20">
      <c r="E50" s="912"/>
      <c r="F50" s="126"/>
      <c r="G50" s="126"/>
      <c r="H50" s="126"/>
      <c r="I50" s="126"/>
      <c r="J50" s="126"/>
      <c r="K50" s="126"/>
      <c r="L50" s="126"/>
      <c r="M50" s="126"/>
      <c r="N50" s="126"/>
      <c r="O50" s="126"/>
      <c r="P50" s="126"/>
      <c r="Q50" s="126"/>
      <c r="R50" s="126"/>
      <c r="S50" s="126"/>
      <c r="T50" s="913"/>
    </row>
    <row r="51" spans="5:20">
      <c r="E51" s="177"/>
      <c r="F51" s="177"/>
      <c r="G51" s="177"/>
      <c r="H51" s="177"/>
      <c r="I51" s="177"/>
    </row>
    <row r="52" spans="5:20">
      <c r="E52" s="177"/>
      <c r="F52" s="177"/>
      <c r="G52" s="177"/>
      <c r="H52" s="177"/>
      <c r="I52" s="177"/>
    </row>
    <row r="53" spans="5:20">
      <c r="E53" s="177"/>
      <c r="F53" s="177"/>
      <c r="G53" s="177"/>
      <c r="H53" s="177"/>
      <c r="I53" s="177"/>
    </row>
    <row r="54" spans="5:20">
      <c r="E54" s="177"/>
      <c r="F54" s="177"/>
      <c r="G54" s="969"/>
      <c r="H54" s="1467"/>
      <c r="I54" s="823"/>
      <c r="J54" s="933"/>
    </row>
    <row r="55" spans="5:20">
      <c r="E55" s="177"/>
      <c r="F55" s="177"/>
      <c r="G55" s="1260"/>
      <c r="H55" s="1143"/>
      <c r="I55" s="1468"/>
      <c r="J55" s="938"/>
      <c r="K55" s="938"/>
    </row>
    <row r="57" spans="5:20">
      <c r="G57" s="628"/>
    </row>
    <row r="59" spans="5:20">
      <c r="I59" s="1297"/>
    </row>
  </sheetData>
  <mergeCells count="38">
    <mergeCell ref="K48:L48"/>
    <mergeCell ref="B25:D25"/>
    <mergeCell ref="E8:E9"/>
    <mergeCell ref="F8:F9"/>
    <mergeCell ref="G8:G9"/>
    <mergeCell ref="H8:H9"/>
    <mergeCell ref="I8:I9"/>
    <mergeCell ref="J8:J9"/>
    <mergeCell ref="K8:K9"/>
    <mergeCell ref="C24:D24"/>
    <mergeCell ref="E33:G33"/>
    <mergeCell ref="D8:D9"/>
    <mergeCell ref="E7:F7"/>
    <mergeCell ref="G7:H7"/>
    <mergeCell ref="I7:J7"/>
    <mergeCell ref="K7:L7"/>
    <mergeCell ref="P7:P9"/>
    <mergeCell ref="L8:L9"/>
    <mergeCell ref="M8:M9"/>
    <mergeCell ref="N8:N9"/>
    <mergeCell ref="M7:N7"/>
    <mergeCell ref="O7:O9"/>
    <mergeCell ref="AB7:AB9"/>
    <mergeCell ref="R8:R9"/>
    <mergeCell ref="S8:S9"/>
    <mergeCell ref="T8:T9"/>
    <mergeCell ref="U8:U9"/>
    <mergeCell ref="V8:V9"/>
    <mergeCell ref="W8:W9"/>
    <mergeCell ref="X8:X9"/>
    <mergeCell ref="Y8:Y9"/>
    <mergeCell ref="Z8:Z9"/>
    <mergeCell ref="AA8:AA9"/>
    <mergeCell ref="R7:S7"/>
    <mergeCell ref="T7:U7"/>
    <mergeCell ref="V7:W7"/>
    <mergeCell ref="X7:Y7"/>
    <mergeCell ref="Z7:AA7"/>
  </mergeCells>
  <phoneticPr fontId="107" type="noConversion"/>
  <hyperlinks>
    <hyperlink ref="C4" r:id="rId1" location="26705" xr:uid="{00000000-0004-0000-0700-000000000000}"/>
  </hyperlinks>
  <pageMargins left="0.7" right="0.7" top="0.75" bottom="0.75" header="0.3" footer="0.3"/>
  <pageSetup orientation="portrait" verticalDpi="0" r:id="rId2"/>
  <legacyDrawing r:id="rId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249977111117893"/>
  </sheetPr>
  <dimension ref="A1:Y281"/>
  <sheetViews>
    <sheetView zoomScale="90" zoomScaleNormal="90" zoomScalePageLayoutView="90" workbookViewId="0">
      <pane xSplit="1" ySplit="5" topLeftCell="F6" activePane="bottomRight" state="frozen"/>
      <selection pane="topRight" activeCell="B1" sqref="B1"/>
      <selection pane="bottomLeft" activeCell="A6" sqref="A6"/>
      <selection pane="bottomRight" activeCell="T41" sqref="T41"/>
    </sheetView>
  </sheetViews>
  <sheetFormatPr baseColWidth="10" defaultColWidth="8.83203125" defaultRowHeight="15"/>
  <cols>
    <col min="1" max="1" width="25.6640625" style="532" customWidth="1"/>
    <col min="2" max="2" width="5.6640625" customWidth="1"/>
    <col min="3" max="3" width="5.1640625" customWidth="1"/>
    <col min="4" max="4" width="6" customWidth="1"/>
    <col min="5" max="5" width="5.1640625" customWidth="1"/>
    <col min="6" max="6" width="4.1640625" customWidth="1"/>
    <col min="7" max="7" width="5.6640625" customWidth="1"/>
    <col min="8" max="8" width="5.83203125" customWidth="1"/>
  </cols>
  <sheetData>
    <row r="1" spans="1:25" s="288" customFormat="1">
      <c r="A1" s="533" t="s">
        <v>335</v>
      </c>
    </row>
    <row r="2" spans="1:25" s="288" customFormat="1">
      <c r="A2" s="532"/>
    </row>
    <row r="3" spans="1:25" ht="17" thickBot="1">
      <c r="A3" s="530"/>
      <c r="B3" s="527"/>
      <c r="C3" s="1963" t="s">
        <v>241</v>
      </c>
      <c r="D3" s="1963"/>
      <c r="E3" s="1963"/>
      <c r="F3" s="1963"/>
      <c r="G3" s="1963" t="s">
        <v>242</v>
      </c>
      <c r="H3" s="1963"/>
      <c r="I3" s="1963" t="s">
        <v>243</v>
      </c>
      <c r="J3" s="1963"/>
      <c r="K3" s="1963"/>
      <c r="L3" s="1963"/>
      <c r="M3" s="1964"/>
      <c r="N3" s="1964"/>
      <c r="O3" s="1964"/>
      <c r="P3" s="1964"/>
      <c r="Q3" s="1964"/>
      <c r="R3" s="1964"/>
      <c r="S3" s="1964"/>
      <c r="T3" s="1964"/>
    </row>
    <row r="4" spans="1:25" ht="20" thickTop="1" thickBot="1">
      <c r="A4" s="1965" t="s">
        <v>244</v>
      </c>
      <c r="B4" s="528" t="s">
        <v>245</v>
      </c>
      <c r="C4" s="528" t="s">
        <v>246</v>
      </c>
      <c r="D4" s="529" t="s">
        <v>247</v>
      </c>
      <c r="E4" s="529" t="s">
        <v>248</v>
      </c>
      <c r="F4" s="529" t="s">
        <v>249</v>
      </c>
      <c r="G4" s="528" t="s">
        <v>250</v>
      </c>
      <c r="H4" s="528" t="s">
        <v>251</v>
      </c>
      <c r="I4" s="528" t="s">
        <v>252</v>
      </c>
      <c r="J4" s="528" t="s">
        <v>253</v>
      </c>
      <c r="K4" s="528" t="s">
        <v>356</v>
      </c>
      <c r="L4" s="528" t="s">
        <v>235</v>
      </c>
      <c r="M4" s="528" t="s">
        <v>236</v>
      </c>
      <c r="N4" s="528" t="s">
        <v>509</v>
      </c>
      <c r="O4" s="528" t="s">
        <v>510</v>
      </c>
      <c r="P4" s="528" t="s">
        <v>511</v>
      </c>
      <c r="Q4" s="528" t="s">
        <v>512</v>
      </c>
      <c r="R4" s="528" t="s">
        <v>513</v>
      </c>
      <c r="S4" s="528" t="s">
        <v>514</v>
      </c>
      <c r="T4" s="528" t="s">
        <v>515</v>
      </c>
    </row>
    <row r="5" spans="1:25" ht="17" thickTop="1" thickBot="1">
      <c r="A5" s="1966"/>
      <c r="B5" s="529" t="s">
        <v>259</v>
      </c>
      <c r="C5" s="529" t="s">
        <v>259</v>
      </c>
      <c r="D5" s="1967" t="s">
        <v>517</v>
      </c>
      <c r="E5" s="1967"/>
      <c r="F5" s="1967"/>
      <c r="G5" s="529" t="s">
        <v>259</v>
      </c>
      <c r="H5" s="529" t="s">
        <v>259</v>
      </c>
      <c r="I5" s="529" t="s">
        <v>259</v>
      </c>
      <c r="J5" s="529" t="s">
        <v>259</v>
      </c>
      <c r="K5" s="529" t="s">
        <v>259</v>
      </c>
      <c r="L5" s="529" t="s">
        <v>259</v>
      </c>
      <c r="M5" s="529" t="s">
        <v>259</v>
      </c>
      <c r="N5" s="529" t="s">
        <v>259</v>
      </c>
      <c r="O5" s="529" t="s">
        <v>259</v>
      </c>
      <c r="P5" s="529" t="s">
        <v>259</v>
      </c>
      <c r="Q5" s="529" t="s">
        <v>259</v>
      </c>
      <c r="R5" s="529" t="s">
        <v>259</v>
      </c>
      <c r="S5" s="529" t="s">
        <v>259</v>
      </c>
      <c r="T5" s="529" t="s">
        <v>516</v>
      </c>
      <c r="V5" s="1484" t="s">
        <v>184</v>
      </c>
      <c r="W5" s="1484" t="s">
        <v>896</v>
      </c>
    </row>
    <row r="6" spans="1:25" ht="16" thickTop="1">
      <c r="A6" s="531" t="s">
        <v>634</v>
      </c>
      <c r="B6" s="526">
        <v>91</v>
      </c>
      <c r="C6" s="526">
        <v>57</v>
      </c>
      <c r="D6" s="526">
        <v>57</v>
      </c>
      <c r="E6" s="526">
        <v>25</v>
      </c>
      <c r="F6" s="526">
        <v>57</v>
      </c>
      <c r="G6" s="526">
        <v>18</v>
      </c>
      <c r="H6" s="526">
        <v>30</v>
      </c>
      <c r="I6" s="526">
        <v>29</v>
      </c>
      <c r="J6" s="526">
        <v>36</v>
      </c>
      <c r="K6" s="526">
        <v>46</v>
      </c>
      <c r="L6" s="526">
        <v>40</v>
      </c>
      <c r="M6" s="526">
        <v>2</v>
      </c>
      <c r="N6" s="526">
        <v>11</v>
      </c>
      <c r="O6" s="526">
        <v>1.3</v>
      </c>
      <c r="P6" s="526">
        <v>0.23</v>
      </c>
      <c r="Q6" s="526">
        <v>1.9</v>
      </c>
      <c r="R6" s="526">
        <v>0.37</v>
      </c>
      <c r="S6" s="526">
        <v>0.33</v>
      </c>
      <c r="T6" s="526">
        <v>20</v>
      </c>
      <c r="V6">
        <f>C6*0.02*2.2</f>
        <v>2.5080000000000005</v>
      </c>
    </row>
    <row r="7" spans="1:25">
      <c r="A7" s="531" t="s">
        <v>635</v>
      </c>
      <c r="B7" s="526">
        <v>92</v>
      </c>
      <c r="C7" s="526">
        <v>61</v>
      </c>
      <c r="D7" s="526">
        <v>62</v>
      </c>
      <c r="E7" s="526">
        <v>31</v>
      </c>
      <c r="F7" s="526">
        <v>61</v>
      </c>
      <c r="G7" s="526">
        <v>19</v>
      </c>
      <c r="H7" s="526">
        <v>60</v>
      </c>
      <c r="I7" s="526">
        <v>26</v>
      </c>
      <c r="J7" s="526">
        <v>34</v>
      </c>
      <c r="K7" s="526">
        <v>45</v>
      </c>
      <c r="L7" s="526">
        <v>6</v>
      </c>
      <c r="M7" s="526">
        <v>3</v>
      </c>
      <c r="N7" s="526">
        <v>11</v>
      </c>
      <c r="O7" s="526">
        <v>1.42</v>
      </c>
      <c r="P7" s="526">
        <v>0.25</v>
      </c>
      <c r="Q7" s="526">
        <v>2.5</v>
      </c>
      <c r="R7" s="526">
        <v>0.45</v>
      </c>
      <c r="S7" s="526">
        <v>0.28000000000000003</v>
      </c>
      <c r="T7" s="526">
        <v>21</v>
      </c>
    </row>
    <row r="8" spans="1:25">
      <c r="A8" s="531" t="s">
        <v>636</v>
      </c>
      <c r="B8" s="526">
        <v>24</v>
      </c>
      <c r="C8" s="526">
        <v>61</v>
      </c>
      <c r="D8" s="526">
        <v>62</v>
      </c>
      <c r="E8" s="526">
        <v>31</v>
      </c>
      <c r="F8" s="526">
        <v>61</v>
      </c>
      <c r="G8" s="526">
        <v>19</v>
      </c>
      <c r="H8" s="526">
        <v>18</v>
      </c>
      <c r="I8" s="526">
        <v>27</v>
      </c>
      <c r="J8" s="526">
        <v>34</v>
      </c>
      <c r="K8" s="526">
        <v>46</v>
      </c>
      <c r="L8" s="526">
        <v>41</v>
      </c>
      <c r="M8" s="526">
        <v>3</v>
      </c>
      <c r="N8" s="526">
        <v>9</v>
      </c>
      <c r="O8" s="526">
        <v>1.35</v>
      </c>
      <c r="P8" s="526">
        <v>0.27</v>
      </c>
      <c r="Q8" s="526">
        <v>2.6</v>
      </c>
      <c r="R8" s="526">
        <v>0.4</v>
      </c>
      <c r="S8" s="526">
        <v>0.28999999999999998</v>
      </c>
      <c r="T8" s="526">
        <v>18</v>
      </c>
    </row>
    <row r="9" spans="1:25">
      <c r="A9" s="543" t="s">
        <v>536</v>
      </c>
      <c r="B9" s="526">
        <v>90</v>
      </c>
      <c r="C9" s="526">
        <v>59</v>
      </c>
      <c r="D9" s="526">
        <v>59</v>
      </c>
      <c r="E9" s="526">
        <v>28</v>
      </c>
      <c r="F9" s="526">
        <v>59</v>
      </c>
      <c r="G9" s="526">
        <v>19</v>
      </c>
      <c r="H9" s="526">
        <v>20</v>
      </c>
      <c r="I9" s="526">
        <v>28</v>
      </c>
      <c r="J9" s="526">
        <v>35</v>
      </c>
      <c r="K9" s="526">
        <v>45</v>
      </c>
      <c r="L9" s="526">
        <v>92</v>
      </c>
      <c r="M9" s="526">
        <v>2.5</v>
      </c>
      <c r="N9" s="526">
        <v>8</v>
      </c>
      <c r="O9" s="526">
        <v>1.41</v>
      </c>
      <c r="P9" s="526">
        <v>0.26</v>
      </c>
      <c r="Q9" s="526">
        <v>2.5</v>
      </c>
      <c r="R9" s="526">
        <v>0.38</v>
      </c>
      <c r="S9" s="526">
        <v>0.28000000000000003</v>
      </c>
      <c r="T9" s="526">
        <v>22</v>
      </c>
    </row>
    <row r="10" spans="1:25">
      <c r="A10" s="543" t="s">
        <v>538</v>
      </c>
      <c r="B10" s="526">
        <v>88</v>
      </c>
      <c r="C10" s="526">
        <v>54</v>
      </c>
      <c r="D10" s="526">
        <v>54</v>
      </c>
      <c r="E10" s="526">
        <v>20</v>
      </c>
      <c r="F10" s="526">
        <v>54</v>
      </c>
      <c r="G10" s="526">
        <v>16</v>
      </c>
      <c r="H10" s="526">
        <v>25</v>
      </c>
      <c r="I10" s="526">
        <v>34</v>
      </c>
      <c r="J10" s="526">
        <v>40</v>
      </c>
      <c r="K10" s="526">
        <v>52</v>
      </c>
      <c r="L10" s="526">
        <v>92</v>
      </c>
      <c r="M10" s="526">
        <v>2</v>
      </c>
      <c r="N10" s="526">
        <v>8</v>
      </c>
      <c r="O10" s="526">
        <v>1.2</v>
      </c>
      <c r="P10" s="526">
        <v>0.23</v>
      </c>
      <c r="Q10" s="526">
        <v>1.7</v>
      </c>
      <c r="R10" s="526">
        <v>0.37</v>
      </c>
      <c r="S10" s="526">
        <v>0.25</v>
      </c>
      <c r="T10" s="526">
        <v>23</v>
      </c>
    </row>
    <row r="11" spans="1:25">
      <c r="A11" s="543" t="s">
        <v>539</v>
      </c>
      <c r="B11" s="526">
        <v>88</v>
      </c>
      <c r="C11" s="526">
        <v>50</v>
      </c>
      <c r="D11" s="526">
        <v>50</v>
      </c>
      <c r="E11" s="526">
        <v>12</v>
      </c>
      <c r="F11" s="526">
        <v>49</v>
      </c>
      <c r="G11" s="526">
        <v>13</v>
      </c>
      <c r="H11" s="526">
        <v>30</v>
      </c>
      <c r="I11" s="526">
        <v>38</v>
      </c>
      <c r="J11" s="526">
        <v>45</v>
      </c>
      <c r="K11" s="526">
        <v>59</v>
      </c>
      <c r="L11" s="526">
        <v>92</v>
      </c>
      <c r="M11" s="526">
        <v>1.3</v>
      </c>
      <c r="N11" s="526">
        <v>8</v>
      </c>
      <c r="O11" s="526">
        <v>1.18</v>
      </c>
      <c r="P11" s="526">
        <v>0.19</v>
      </c>
      <c r="Q11" s="526">
        <v>1.5</v>
      </c>
      <c r="R11" s="526">
        <v>0.35</v>
      </c>
      <c r="S11" s="526">
        <v>0.21</v>
      </c>
      <c r="T11" s="526">
        <v>23</v>
      </c>
      <c r="X11">
        <v>78.599999999999994</v>
      </c>
      <c r="Y11">
        <f>X11*0.02</f>
        <v>1.5719999999999998</v>
      </c>
    </row>
    <row r="12" spans="1:25">
      <c r="A12" s="543" t="s">
        <v>537</v>
      </c>
      <c r="B12" s="526">
        <v>89</v>
      </c>
      <c r="C12" s="526">
        <v>58</v>
      </c>
      <c r="D12" s="526">
        <v>58</v>
      </c>
      <c r="E12" s="526">
        <v>26</v>
      </c>
      <c r="F12" s="526">
        <v>58</v>
      </c>
      <c r="G12" s="526">
        <v>17</v>
      </c>
      <c r="H12" s="526">
        <v>23</v>
      </c>
      <c r="I12" s="526">
        <v>30</v>
      </c>
      <c r="J12" s="526">
        <v>36</v>
      </c>
      <c r="K12" s="526">
        <v>47</v>
      </c>
      <c r="L12" s="526">
        <v>92</v>
      </c>
      <c r="M12" s="526">
        <v>2.2999999999999998</v>
      </c>
      <c r="N12" s="526">
        <v>9</v>
      </c>
      <c r="O12" s="526">
        <v>1.4</v>
      </c>
      <c r="P12" s="526">
        <v>0.24</v>
      </c>
      <c r="Q12" s="526">
        <v>2</v>
      </c>
      <c r="R12" s="526">
        <v>0.38</v>
      </c>
      <c r="S12" s="526">
        <v>0.27</v>
      </c>
      <c r="T12" s="526">
        <v>24</v>
      </c>
    </row>
    <row r="13" spans="1:25">
      <c r="A13" s="531" t="s">
        <v>428</v>
      </c>
      <c r="B13" s="526">
        <v>89</v>
      </c>
      <c r="C13" s="526">
        <v>60</v>
      </c>
      <c r="D13" s="526">
        <v>60</v>
      </c>
      <c r="E13" s="526">
        <v>30</v>
      </c>
      <c r="F13" s="526">
        <v>60</v>
      </c>
      <c r="G13" s="526">
        <v>26</v>
      </c>
      <c r="H13" s="526">
        <v>15</v>
      </c>
      <c r="I13" s="526">
        <v>16</v>
      </c>
      <c r="J13" s="526">
        <v>24</v>
      </c>
      <c r="K13" s="526">
        <v>34</v>
      </c>
      <c r="L13" s="526">
        <v>35</v>
      </c>
      <c r="M13" s="526">
        <v>3</v>
      </c>
      <c r="N13" s="526">
        <v>10</v>
      </c>
      <c r="O13" s="526">
        <v>2.88</v>
      </c>
      <c r="P13" s="526">
        <v>0.34</v>
      </c>
      <c r="Q13" s="526">
        <v>2.2000000000000002</v>
      </c>
      <c r="R13" s="525"/>
      <c r="S13" s="526">
        <v>0.32</v>
      </c>
      <c r="T13" s="526">
        <v>39</v>
      </c>
    </row>
    <row r="14" spans="1:25">
      <c r="A14" s="531" t="s">
        <v>425</v>
      </c>
      <c r="B14" s="526">
        <v>91</v>
      </c>
      <c r="C14" s="526">
        <v>84</v>
      </c>
      <c r="D14" s="526">
        <v>92</v>
      </c>
      <c r="E14" s="526">
        <v>61</v>
      </c>
      <c r="F14" s="526">
        <v>87</v>
      </c>
      <c r="G14" s="526">
        <v>34</v>
      </c>
      <c r="H14" s="525"/>
      <c r="I14" s="526">
        <v>13</v>
      </c>
      <c r="J14" s="526">
        <v>15</v>
      </c>
      <c r="K14" s="525"/>
      <c r="L14" s="525"/>
      <c r="M14" s="526">
        <v>10.7</v>
      </c>
      <c r="N14" s="526">
        <v>6</v>
      </c>
      <c r="O14" s="526">
        <v>0.3</v>
      </c>
      <c r="P14" s="526">
        <v>0.67</v>
      </c>
      <c r="Q14" s="525"/>
      <c r="R14" s="525"/>
      <c r="S14" s="525"/>
      <c r="T14" s="525"/>
    </row>
    <row r="15" spans="1:25">
      <c r="A15" s="531" t="s">
        <v>426</v>
      </c>
      <c r="B15" s="526">
        <v>30</v>
      </c>
      <c r="C15" s="526">
        <v>55</v>
      </c>
      <c r="D15" s="526">
        <v>55</v>
      </c>
      <c r="E15" s="526">
        <v>21</v>
      </c>
      <c r="F15" s="526">
        <v>55</v>
      </c>
      <c r="G15" s="526">
        <v>18</v>
      </c>
      <c r="H15" s="526">
        <v>19</v>
      </c>
      <c r="I15" s="526">
        <v>28</v>
      </c>
      <c r="J15" s="526">
        <v>37</v>
      </c>
      <c r="K15" s="526">
        <v>49</v>
      </c>
      <c r="L15" s="526">
        <v>82</v>
      </c>
      <c r="M15" s="526">
        <v>3</v>
      </c>
      <c r="N15" s="526">
        <v>9</v>
      </c>
      <c r="O15" s="526">
        <v>1.4</v>
      </c>
      <c r="P15" s="526">
        <v>0.28999999999999998</v>
      </c>
      <c r="Q15" s="526">
        <v>2.6</v>
      </c>
      <c r="R15" s="526">
        <v>0.41</v>
      </c>
      <c r="S15" s="526">
        <v>0.28999999999999998</v>
      </c>
      <c r="T15" s="526">
        <v>26</v>
      </c>
    </row>
    <row r="16" spans="1:25">
      <c r="A16" s="531" t="s">
        <v>427</v>
      </c>
      <c r="B16" s="526">
        <v>39</v>
      </c>
      <c r="C16" s="526">
        <v>58</v>
      </c>
      <c r="D16" s="526">
        <v>58</v>
      </c>
      <c r="E16" s="526">
        <v>26</v>
      </c>
      <c r="F16" s="526">
        <v>58</v>
      </c>
      <c r="G16" s="526">
        <v>18</v>
      </c>
      <c r="H16" s="526">
        <v>22</v>
      </c>
      <c r="I16" s="526">
        <v>28</v>
      </c>
      <c r="J16" s="526">
        <v>37</v>
      </c>
      <c r="K16" s="526">
        <v>49</v>
      </c>
      <c r="L16" s="526">
        <v>82</v>
      </c>
      <c r="M16" s="526">
        <v>3</v>
      </c>
      <c r="N16" s="526">
        <v>9</v>
      </c>
      <c r="O16" s="526">
        <v>1.4</v>
      </c>
      <c r="P16" s="526">
        <v>0.28999999999999998</v>
      </c>
      <c r="Q16" s="526">
        <v>2.6</v>
      </c>
      <c r="R16" s="526">
        <v>0.41</v>
      </c>
      <c r="S16" s="526">
        <v>0.28999999999999998</v>
      </c>
      <c r="T16" s="526">
        <v>26</v>
      </c>
    </row>
    <row r="17" spans="1:23">
      <c r="A17" s="531" t="s">
        <v>638</v>
      </c>
      <c r="B17" s="526">
        <v>89</v>
      </c>
      <c r="C17" s="526">
        <v>47</v>
      </c>
      <c r="D17" s="526">
        <v>47</v>
      </c>
      <c r="E17" s="526">
        <v>7</v>
      </c>
      <c r="F17" s="526">
        <v>46</v>
      </c>
      <c r="G17" s="526">
        <v>11</v>
      </c>
      <c r="H17" s="526">
        <v>44</v>
      </c>
      <c r="I17" s="526">
        <v>44</v>
      </c>
      <c r="J17" s="526">
        <v>51</v>
      </c>
      <c r="K17" s="526">
        <v>68</v>
      </c>
      <c r="L17" s="526">
        <v>100</v>
      </c>
      <c r="M17" s="526">
        <v>1.3</v>
      </c>
      <c r="N17" s="526">
        <v>6</v>
      </c>
      <c r="O17" s="526">
        <v>0.9</v>
      </c>
      <c r="P17" s="526">
        <v>0.18</v>
      </c>
      <c r="Q17" s="526">
        <v>2.5</v>
      </c>
      <c r="R17" s="525"/>
      <c r="S17" s="525"/>
      <c r="T17" s="525"/>
    </row>
    <row r="18" spans="1:23">
      <c r="A18" s="531" t="s">
        <v>639</v>
      </c>
      <c r="B18" s="526">
        <v>89</v>
      </c>
      <c r="C18" s="526">
        <v>56</v>
      </c>
      <c r="D18" s="526">
        <v>56</v>
      </c>
      <c r="E18" s="526">
        <v>23</v>
      </c>
      <c r="F18" s="526">
        <v>56</v>
      </c>
      <c r="G18" s="526">
        <v>3</v>
      </c>
      <c r="H18" s="526">
        <v>60</v>
      </c>
      <c r="I18" s="526">
        <v>16</v>
      </c>
      <c r="J18" s="526">
        <v>29</v>
      </c>
      <c r="K18" s="526">
        <v>36</v>
      </c>
      <c r="L18" s="526">
        <v>100</v>
      </c>
      <c r="M18" s="526">
        <v>3.1</v>
      </c>
      <c r="N18" s="526">
        <v>7</v>
      </c>
      <c r="O18" s="526">
        <v>0.24</v>
      </c>
      <c r="P18" s="526">
        <v>0.1</v>
      </c>
      <c r="Q18" s="526">
        <v>2</v>
      </c>
      <c r="R18" s="526">
        <v>0.03</v>
      </c>
      <c r="S18" s="526">
        <v>7.0000000000000007E-2</v>
      </c>
      <c r="T18" s="526">
        <v>20</v>
      </c>
    </row>
    <row r="19" spans="1:23">
      <c r="A19" s="531" t="s">
        <v>640</v>
      </c>
      <c r="B19" s="526">
        <v>99</v>
      </c>
      <c r="C19" s="526">
        <v>0</v>
      </c>
      <c r="D19" s="526">
        <v>0</v>
      </c>
      <c r="E19" s="526">
        <v>0</v>
      </c>
      <c r="F19" s="526">
        <v>0</v>
      </c>
      <c r="G19" s="526">
        <v>163</v>
      </c>
      <c r="H19" s="526">
        <v>0</v>
      </c>
      <c r="I19" s="526">
        <v>0</v>
      </c>
      <c r="J19" s="526">
        <v>0</v>
      </c>
      <c r="K19" s="526">
        <v>0</v>
      </c>
      <c r="L19" s="526">
        <v>0</v>
      </c>
      <c r="M19" s="526">
        <v>0</v>
      </c>
      <c r="N19" s="525"/>
      <c r="O19" s="526">
        <v>0</v>
      </c>
      <c r="P19" s="526">
        <v>0</v>
      </c>
      <c r="Q19" s="526">
        <v>0</v>
      </c>
      <c r="R19" s="526">
        <v>66</v>
      </c>
      <c r="S19" s="526">
        <v>0</v>
      </c>
      <c r="T19" s="526">
        <v>0</v>
      </c>
    </row>
    <row r="20" spans="1:23">
      <c r="A20" s="531" t="s">
        <v>641</v>
      </c>
      <c r="B20" s="526">
        <v>99</v>
      </c>
      <c r="C20" s="526">
        <v>0</v>
      </c>
      <c r="D20" s="526">
        <v>0</v>
      </c>
      <c r="E20" s="526">
        <v>0</v>
      </c>
      <c r="F20" s="526">
        <v>0</v>
      </c>
      <c r="G20" s="526">
        <v>132</v>
      </c>
      <c r="H20" s="526">
        <v>0</v>
      </c>
      <c r="I20" s="526">
        <v>0</v>
      </c>
      <c r="J20" s="526">
        <v>0</v>
      </c>
      <c r="K20" s="526">
        <v>0</v>
      </c>
      <c r="L20" s="526">
        <v>0</v>
      </c>
      <c r="M20" s="526">
        <v>0</v>
      </c>
      <c r="N20" s="525"/>
      <c r="O20" s="525"/>
      <c r="P20" s="525"/>
      <c r="Q20" s="525"/>
      <c r="R20" s="525"/>
      <c r="S20" s="526">
        <v>24.15</v>
      </c>
      <c r="T20" s="525"/>
    </row>
    <row r="21" spans="1:23">
      <c r="A21" s="531" t="s">
        <v>644</v>
      </c>
      <c r="B21" s="526">
        <v>89</v>
      </c>
      <c r="C21" s="526">
        <v>67</v>
      </c>
      <c r="D21" s="526">
        <v>69</v>
      </c>
      <c r="E21" s="526">
        <v>40</v>
      </c>
      <c r="F21" s="526">
        <v>68</v>
      </c>
      <c r="G21" s="526">
        <v>5</v>
      </c>
      <c r="H21" s="526">
        <v>15</v>
      </c>
      <c r="I21" s="526">
        <v>18</v>
      </c>
      <c r="J21" s="526">
        <v>28</v>
      </c>
      <c r="K21" s="526">
        <v>38</v>
      </c>
      <c r="L21" s="526">
        <v>29</v>
      </c>
      <c r="M21" s="526">
        <v>5.2</v>
      </c>
      <c r="N21" s="526">
        <v>3</v>
      </c>
      <c r="O21" s="526">
        <v>0.13</v>
      </c>
      <c r="P21" s="526">
        <v>0.12</v>
      </c>
      <c r="Q21" s="526">
        <v>0.5</v>
      </c>
      <c r="R21" s="525"/>
      <c r="S21" s="526">
        <v>0.04</v>
      </c>
      <c r="T21" s="526">
        <v>11</v>
      </c>
    </row>
    <row r="22" spans="1:23">
      <c r="A22" s="531" t="s">
        <v>643</v>
      </c>
      <c r="B22" s="526">
        <v>20</v>
      </c>
      <c r="C22" s="526">
        <v>68</v>
      </c>
      <c r="D22" s="526">
        <v>70</v>
      </c>
      <c r="E22" s="526">
        <v>41</v>
      </c>
      <c r="F22" s="526">
        <v>69</v>
      </c>
      <c r="G22" s="526">
        <v>5</v>
      </c>
      <c r="H22" s="526">
        <v>10</v>
      </c>
      <c r="I22" s="526">
        <v>18</v>
      </c>
      <c r="J22" s="526">
        <v>27</v>
      </c>
      <c r="K22" s="526">
        <v>36</v>
      </c>
      <c r="L22" s="526">
        <v>27</v>
      </c>
      <c r="M22" s="526">
        <v>5.2</v>
      </c>
      <c r="N22" s="526">
        <v>3</v>
      </c>
      <c r="O22" s="526">
        <v>0.13</v>
      </c>
      <c r="P22" s="526">
        <v>0.12</v>
      </c>
      <c r="Q22" s="526">
        <v>0.5</v>
      </c>
      <c r="R22" s="525"/>
      <c r="S22" s="526">
        <v>0.04</v>
      </c>
      <c r="T22" s="526">
        <v>11</v>
      </c>
      <c r="V22" s="938">
        <f>C22*0.02*2.2</f>
        <v>2.9920000000000004</v>
      </c>
      <c r="W22" s="938">
        <f t="shared" ref="W22" si="0">V22/2.2</f>
        <v>1.36</v>
      </c>
    </row>
    <row r="23" spans="1:23">
      <c r="A23" s="531" t="s">
        <v>642</v>
      </c>
      <c r="B23" s="526">
        <v>17</v>
      </c>
      <c r="C23" s="526">
        <v>70</v>
      </c>
      <c r="D23" s="526">
        <v>73</v>
      </c>
      <c r="E23" s="526">
        <v>44</v>
      </c>
      <c r="F23" s="526">
        <v>71</v>
      </c>
      <c r="G23" s="526">
        <v>3</v>
      </c>
      <c r="H23" s="526">
        <v>10</v>
      </c>
      <c r="I23" s="526">
        <v>7</v>
      </c>
      <c r="J23" s="526">
        <v>9</v>
      </c>
      <c r="K23" s="526">
        <v>25</v>
      </c>
      <c r="L23" s="526">
        <v>10</v>
      </c>
      <c r="M23" s="526">
        <v>2.2000000000000002</v>
      </c>
      <c r="N23" s="526">
        <v>2</v>
      </c>
      <c r="O23" s="526">
        <v>0.06</v>
      </c>
      <c r="P23" s="526">
        <v>0.6</v>
      </c>
      <c r="Q23" s="526">
        <v>0.8</v>
      </c>
      <c r="R23" s="525"/>
      <c r="S23" s="525"/>
      <c r="T23" s="525"/>
    </row>
    <row r="24" spans="1:23">
      <c r="A24" s="531" t="s">
        <v>645</v>
      </c>
      <c r="B24" s="526">
        <v>27</v>
      </c>
      <c r="C24" s="526">
        <v>61</v>
      </c>
      <c r="D24" s="526">
        <v>62</v>
      </c>
      <c r="E24" s="526">
        <v>31</v>
      </c>
      <c r="F24" s="526">
        <v>61</v>
      </c>
      <c r="G24" s="526">
        <v>6</v>
      </c>
      <c r="H24" s="525"/>
      <c r="I24" s="526">
        <v>18</v>
      </c>
      <c r="J24" s="526">
        <v>30</v>
      </c>
      <c r="K24" s="526">
        <v>41</v>
      </c>
      <c r="L24" s="526">
        <v>40</v>
      </c>
      <c r="M24" s="526">
        <v>1.1000000000000001</v>
      </c>
      <c r="N24" s="526">
        <v>10</v>
      </c>
      <c r="O24" s="526">
        <v>1.62</v>
      </c>
      <c r="P24" s="526">
        <v>0.11</v>
      </c>
      <c r="Q24" s="526">
        <v>1.4</v>
      </c>
      <c r="R24" s="525"/>
      <c r="S24" s="525"/>
      <c r="T24" s="525"/>
    </row>
    <row r="25" spans="1:23">
      <c r="A25" s="531" t="s">
        <v>526</v>
      </c>
      <c r="B25" s="526">
        <v>91</v>
      </c>
      <c r="C25" s="526">
        <v>52</v>
      </c>
      <c r="D25" s="526">
        <v>52</v>
      </c>
      <c r="E25" s="526">
        <v>16</v>
      </c>
      <c r="F25" s="526">
        <v>51</v>
      </c>
      <c r="G25" s="526">
        <v>20</v>
      </c>
      <c r="H25" s="525"/>
      <c r="I25" s="526">
        <v>19</v>
      </c>
      <c r="J25" s="526">
        <v>24</v>
      </c>
      <c r="K25" s="525"/>
      <c r="L25" s="525"/>
      <c r="M25" s="526">
        <v>1.2</v>
      </c>
      <c r="N25" s="526">
        <v>16</v>
      </c>
      <c r="O25" s="525"/>
      <c r="P25" s="525"/>
      <c r="Q25" s="525"/>
      <c r="R25" s="525"/>
      <c r="S25" s="525"/>
      <c r="T25" s="525"/>
    </row>
    <row r="26" spans="1:23">
      <c r="A26" s="543" t="s">
        <v>527</v>
      </c>
      <c r="B26" s="526">
        <v>90</v>
      </c>
      <c r="C26" s="526">
        <v>53</v>
      </c>
      <c r="D26" s="526">
        <v>53</v>
      </c>
      <c r="E26" s="526">
        <v>18</v>
      </c>
      <c r="F26" s="526">
        <v>53</v>
      </c>
      <c r="G26" s="526">
        <v>6</v>
      </c>
      <c r="H26" s="526">
        <v>37</v>
      </c>
      <c r="I26" s="526">
        <v>32</v>
      </c>
      <c r="J26" s="526">
        <v>41</v>
      </c>
      <c r="K26" s="526">
        <v>72</v>
      </c>
      <c r="L26" s="526">
        <v>98</v>
      </c>
      <c r="M26" s="526">
        <v>1.8</v>
      </c>
      <c r="N26" s="526">
        <v>7</v>
      </c>
      <c r="O26" s="526">
        <v>0.47</v>
      </c>
      <c r="P26" s="526">
        <v>0.2</v>
      </c>
      <c r="Q26" s="526">
        <v>1.4</v>
      </c>
      <c r="R26" s="525"/>
      <c r="S26" s="526">
        <v>0.21</v>
      </c>
      <c r="T26" s="525"/>
    </row>
    <row r="27" spans="1:23">
      <c r="A27" s="531" t="s">
        <v>528</v>
      </c>
      <c r="B27" s="526">
        <v>90</v>
      </c>
      <c r="C27" s="526">
        <v>90</v>
      </c>
      <c r="D27" s="526">
        <v>100</v>
      </c>
      <c r="E27" s="526">
        <v>68</v>
      </c>
      <c r="F27" s="526">
        <v>94</v>
      </c>
      <c r="G27" s="526">
        <v>11</v>
      </c>
      <c r="H27" s="526">
        <v>30</v>
      </c>
      <c r="I27" s="526">
        <v>3</v>
      </c>
      <c r="J27" s="526">
        <v>9</v>
      </c>
      <c r="K27" s="526">
        <v>30</v>
      </c>
      <c r="L27" s="526">
        <v>0</v>
      </c>
      <c r="M27" s="526">
        <v>11.5</v>
      </c>
      <c r="N27" s="526">
        <v>4</v>
      </c>
      <c r="O27" s="526">
        <v>0.16</v>
      </c>
      <c r="P27" s="526">
        <v>0.27</v>
      </c>
      <c r="Q27" s="526">
        <v>0.4</v>
      </c>
      <c r="R27" s="526">
        <v>2.25</v>
      </c>
      <c r="S27" s="526">
        <v>0.15</v>
      </c>
      <c r="T27" s="526">
        <v>33</v>
      </c>
    </row>
    <row r="28" spans="1:23">
      <c r="A28" s="531" t="s">
        <v>397</v>
      </c>
      <c r="B28" s="526">
        <v>91</v>
      </c>
      <c r="C28" s="526">
        <v>59</v>
      </c>
      <c r="D28" s="526">
        <v>59</v>
      </c>
      <c r="E28" s="526">
        <v>28</v>
      </c>
      <c r="F28" s="526">
        <v>59</v>
      </c>
      <c r="G28" s="526">
        <v>12</v>
      </c>
      <c r="H28" s="526">
        <v>28</v>
      </c>
      <c r="I28" s="526">
        <v>21</v>
      </c>
      <c r="J28" s="526">
        <v>27</v>
      </c>
      <c r="K28" s="526">
        <v>36</v>
      </c>
      <c r="L28" s="526">
        <v>6</v>
      </c>
      <c r="M28" s="526">
        <v>4.3</v>
      </c>
      <c r="N28" s="526">
        <v>7</v>
      </c>
      <c r="O28" s="525"/>
      <c r="P28" s="525"/>
      <c r="Q28" s="525"/>
      <c r="R28" s="525"/>
      <c r="S28" s="525"/>
      <c r="T28" s="525"/>
    </row>
    <row r="29" spans="1:23">
      <c r="A29" s="535" t="s">
        <v>396</v>
      </c>
      <c r="B29" s="526">
        <v>90</v>
      </c>
      <c r="C29" s="526">
        <v>74</v>
      </c>
      <c r="D29" s="526">
        <v>78</v>
      </c>
      <c r="E29" s="526">
        <v>49</v>
      </c>
      <c r="F29" s="526">
        <v>76</v>
      </c>
      <c r="G29" s="526">
        <v>15</v>
      </c>
      <c r="H29" s="526">
        <v>25</v>
      </c>
      <c r="I29" s="526">
        <v>12</v>
      </c>
      <c r="J29" s="526">
        <v>15</v>
      </c>
      <c r="K29" s="525"/>
      <c r="L29" s="525"/>
      <c r="M29" s="526">
        <v>3.9</v>
      </c>
      <c r="N29" s="526">
        <v>5</v>
      </c>
      <c r="O29" s="526">
        <v>0.05</v>
      </c>
      <c r="P29" s="526">
        <v>0.45</v>
      </c>
      <c r="Q29" s="526">
        <v>0.7</v>
      </c>
      <c r="R29" s="525"/>
      <c r="S29" s="526">
        <v>0.06</v>
      </c>
      <c r="T29" s="525"/>
      <c r="V29" s="938">
        <f>C29*0.02*2.2</f>
        <v>3.2560000000000002</v>
      </c>
      <c r="W29" s="938">
        <f t="shared" ref="W29:W36" si="1">V29/2.2</f>
        <v>1.48</v>
      </c>
    </row>
    <row r="30" spans="1:23">
      <c r="A30" s="535" t="s">
        <v>431</v>
      </c>
      <c r="B30" s="526">
        <v>89</v>
      </c>
      <c r="C30" s="526">
        <v>84</v>
      </c>
      <c r="D30" s="526">
        <v>92</v>
      </c>
      <c r="E30" s="526">
        <v>61</v>
      </c>
      <c r="F30" s="526">
        <v>87</v>
      </c>
      <c r="G30" s="526">
        <v>12</v>
      </c>
      <c r="H30" s="526">
        <v>28</v>
      </c>
      <c r="I30" s="526">
        <v>5</v>
      </c>
      <c r="J30" s="526">
        <v>7</v>
      </c>
      <c r="K30" s="526">
        <v>20</v>
      </c>
      <c r="L30" s="526">
        <v>34</v>
      </c>
      <c r="M30" s="526">
        <v>2.1</v>
      </c>
      <c r="N30" s="526">
        <v>3</v>
      </c>
      <c r="O30" s="526">
        <v>0.06</v>
      </c>
      <c r="P30" s="526">
        <v>0.38</v>
      </c>
      <c r="Q30" s="526">
        <v>0.6</v>
      </c>
      <c r="R30" s="526">
        <v>0.18</v>
      </c>
      <c r="S30" s="526">
        <v>0.16</v>
      </c>
      <c r="T30" s="526">
        <v>23</v>
      </c>
      <c r="V30" s="938">
        <f t="shared" ref="V30:V36" si="2">C30*0.02*2.2</f>
        <v>3.6960000000000002</v>
      </c>
      <c r="W30" s="938">
        <f t="shared" si="1"/>
        <v>1.68</v>
      </c>
    </row>
    <row r="31" spans="1:23">
      <c r="A31" s="535" t="s">
        <v>276</v>
      </c>
      <c r="B31" s="526">
        <v>87</v>
      </c>
      <c r="C31" s="526">
        <v>84</v>
      </c>
      <c r="D31" s="526">
        <v>92</v>
      </c>
      <c r="E31" s="526">
        <v>61</v>
      </c>
      <c r="F31" s="526">
        <v>87</v>
      </c>
      <c r="G31" s="526">
        <v>12</v>
      </c>
      <c r="H31" s="525"/>
      <c r="I31" s="526">
        <v>6</v>
      </c>
      <c r="J31" s="526">
        <v>8</v>
      </c>
      <c r="K31" s="526">
        <v>24</v>
      </c>
      <c r="L31" s="526">
        <v>34</v>
      </c>
      <c r="M31" s="526">
        <v>2.2999999999999998</v>
      </c>
      <c r="N31" s="526">
        <v>2</v>
      </c>
      <c r="O31" s="526">
        <v>0.05</v>
      </c>
      <c r="P31" s="526">
        <v>0.31</v>
      </c>
      <c r="Q31" s="526">
        <v>0.6</v>
      </c>
      <c r="R31" s="526">
        <v>0.18</v>
      </c>
      <c r="S31" s="526">
        <v>0.17</v>
      </c>
      <c r="T31" s="525"/>
      <c r="V31" s="938">
        <f t="shared" si="2"/>
        <v>3.6960000000000002</v>
      </c>
      <c r="W31" s="938">
        <f t="shared" si="1"/>
        <v>1.68</v>
      </c>
    </row>
    <row r="32" spans="1:23">
      <c r="A32" s="535" t="s">
        <v>277</v>
      </c>
      <c r="B32" s="526">
        <v>87</v>
      </c>
      <c r="C32" s="526">
        <v>84</v>
      </c>
      <c r="D32" s="526">
        <v>92</v>
      </c>
      <c r="E32" s="526">
        <v>61</v>
      </c>
      <c r="F32" s="526">
        <v>87</v>
      </c>
      <c r="G32" s="526">
        <v>11</v>
      </c>
      <c r="H32" s="525"/>
      <c r="I32" s="526">
        <v>6</v>
      </c>
      <c r="J32" s="526">
        <v>8</v>
      </c>
      <c r="K32" s="526">
        <v>24</v>
      </c>
      <c r="L32" s="526">
        <v>34</v>
      </c>
      <c r="M32" s="526">
        <v>2.2000000000000002</v>
      </c>
      <c r="N32" s="526">
        <v>3</v>
      </c>
      <c r="O32" s="526">
        <v>0.05</v>
      </c>
      <c r="P32" s="526">
        <v>0.36</v>
      </c>
      <c r="Q32" s="526">
        <v>0.6</v>
      </c>
      <c r="R32" s="526">
        <v>0.18</v>
      </c>
      <c r="S32" s="526">
        <v>0.15</v>
      </c>
      <c r="T32" s="525"/>
      <c r="V32" s="938">
        <f t="shared" si="2"/>
        <v>3.6960000000000002</v>
      </c>
      <c r="W32" s="938">
        <f t="shared" si="1"/>
        <v>1.68</v>
      </c>
    </row>
    <row r="33" spans="1:23">
      <c r="A33" s="535" t="s">
        <v>395</v>
      </c>
      <c r="B33" s="526">
        <v>88</v>
      </c>
      <c r="C33" s="526">
        <v>78</v>
      </c>
      <c r="D33" s="526">
        <v>83</v>
      </c>
      <c r="E33" s="526">
        <v>54</v>
      </c>
      <c r="F33" s="526">
        <v>80</v>
      </c>
      <c r="G33" s="526">
        <v>13</v>
      </c>
      <c r="H33" s="526">
        <v>30</v>
      </c>
      <c r="I33" s="526">
        <v>9</v>
      </c>
      <c r="J33" s="526">
        <v>12</v>
      </c>
      <c r="K33" s="526">
        <v>30</v>
      </c>
      <c r="L33" s="526">
        <v>34</v>
      </c>
      <c r="M33" s="526">
        <v>2.2999999999999998</v>
      </c>
      <c r="N33" s="526">
        <v>4</v>
      </c>
      <c r="O33" s="525"/>
      <c r="P33" s="525"/>
      <c r="Q33" s="525"/>
      <c r="R33" s="525"/>
      <c r="S33" s="525"/>
      <c r="T33" s="525"/>
      <c r="V33" s="938">
        <f t="shared" si="2"/>
        <v>3.4320000000000004</v>
      </c>
      <c r="W33" s="938">
        <f t="shared" si="1"/>
        <v>1.56</v>
      </c>
    </row>
    <row r="34" spans="1:23">
      <c r="A34" s="535" t="s">
        <v>398</v>
      </c>
      <c r="B34" s="526">
        <v>89</v>
      </c>
      <c r="C34" s="526">
        <v>71</v>
      </c>
      <c r="D34" s="526">
        <v>74</v>
      </c>
      <c r="E34" s="526">
        <v>46</v>
      </c>
      <c r="F34" s="526">
        <v>73</v>
      </c>
      <c r="G34" s="526">
        <v>12</v>
      </c>
      <c r="H34" s="525"/>
      <c r="I34" s="526">
        <v>9</v>
      </c>
      <c r="J34" s="526">
        <v>11</v>
      </c>
      <c r="K34" s="525"/>
      <c r="L34" s="525"/>
      <c r="M34" s="526">
        <v>2.6</v>
      </c>
      <c r="N34" s="526">
        <v>4</v>
      </c>
      <c r="O34" s="526">
        <v>0.35</v>
      </c>
      <c r="P34" s="526">
        <v>0.33</v>
      </c>
      <c r="Q34" s="526">
        <v>0.9</v>
      </c>
      <c r="R34" s="525"/>
      <c r="S34" s="526">
        <v>0.15</v>
      </c>
      <c r="T34" s="525"/>
      <c r="V34" s="938">
        <f t="shared" si="2"/>
        <v>3.1240000000000001</v>
      </c>
      <c r="W34" s="938">
        <f t="shared" si="1"/>
        <v>1.42</v>
      </c>
    </row>
    <row r="35" spans="1:23">
      <c r="A35" s="535" t="s">
        <v>432</v>
      </c>
      <c r="B35" s="526">
        <v>85</v>
      </c>
      <c r="C35" s="526">
        <v>90</v>
      </c>
      <c r="D35" s="526">
        <v>100</v>
      </c>
      <c r="E35" s="526">
        <v>70</v>
      </c>
      <c r="F35" s="526">
        <v>100</v>
      </c>
      <c r="G35" s="526">
        <v>12</v>
      </c>
      <c r="H35" s="526">
        <v>39</v>
      </c>
      <c r="I35" s="526">
        <v>5</v>
      </c>
      <c r="J35" s="526">
        <v>7</v>
      </c>
      <c r="K35" s="526">
        <v>20</v>
      </c>
      <c r="L35" s="526">
        <v>30</v>
      </c>
      <c r="M35" s="526">
        <v>2.1</v>
      </c>
      <c r="N35" s="526">
        <v>3</v>
      </c>
      <c r="O35" s="526">
        <v>0.06</v>
      </c>
      <c r="P35" s="526">
        <v>0.35</v>
      </c>
      <c r="Q35" s="526">
        <v>0.6</v>
      </c>
      <c r="R35" s="526">
        <v>0.18</v>
      </c>
      <c r="S35" s="526">
        <v>0.16</v>
      </c>
      <c r="T35" s="526">
        <v>23</v>
      </c>
      <c r="V35" s="938">
        <f t="shared" si="2"/>
        <v>3.9600000000000004</v>
      </c>
      <c r="W35" s="938">
        <f t="shared" si="1"/>
        <v>1.8</v>
      </c>
    </row>
    <row r="36" spans="1:23">
      <c r="A36" s="535" t="s">
        <v>275</v>
      </c>
      <c r="B36" s="526">
        <v>86</v>
      </c>
      <c r="C36" s="526">
        <v>84</v>
      </c>
      <c r="D36" s="526">
        <v>92</v>
      </c>
      <c r="E36" s="526">
        <v>61</v>
      </c>
      <c r="F36" s="526">
        <v>87</v>
      </c>
      <c r="G36" s="526">
        <v>12</v>
      </c>
      <c r="H36" s="526">
        <v>38</v>
      </c>
      <c r="I36" s="526">
        <v>5</v>
      </c>
      <c r="J36" s="526">
        <v>7</v>
      </c>
      <c r="K36" s="526">
        <v>20</v>
      </c>
      <c r="L36" s="526">
        <v>27</v>
      </c>
      <c r="M36" s="526">
        <v>2.1</v>
      </c>
      <c r="N36" s="526">
        <v>3</v>
      </c>
      <c r="O36" s="526">
        <v>0.06</v>
      </c>
      <c r="P36" s="526">
        <v>0.41</v>
      </c>
      <c r="Q36" s="526">
        <v>0.6</v>
      </c>
      <c r="R36" s="526">
        <v>0.18</v>
      </c>
      <c r="S36" s="526">
        <v>0.17</v>
      </c>
      <c r="T36" s="526">
        <v>30</v>
      </c>
      <c r="V36" s="938">
        <f t="shared" si="2"/>
        <v>3.6960000000000002</v>
      </c>
      <c r="W36" s="938">
        <f t="shared" si="1"/>
        <v>1.68</v>
      </c>
    </row>
    <row r="37" spans="1:23">
      <c r="A37" s="543" t="s">
        <v>529</v>
      </c>
      <c r="B37" s="526">
        <v>90</v>
      </c>
      <c r="C37" s="526">
        <v>57</v>
      </c>
      <c r="D37" s="526">
        <v>57</v>
      </c>
      <c r="E37" s="526">
        <v>25</v>
      </c>
      <c r="F37" s="526">
        <v>57</v>
      </c>
      <c r="G37" s="526">
        <v>9</v>
      </c>
      <c r="H37" s="525"/>
      <c r="I37" s="526">
        <v>28</v>
      </c>
      <c r="J37" s="526">
        <v>37</v>
      </c>
      <c r="K37" s="526">
        <v>65</v>
      </c>
      <c r="L37" s="526">
        <v>98</v>
      </c>
      <c r="M37" s="526">
        <v>2.1</v>
      </c>
      <c r="N37" s="526">
        <v>8</v>
      </c>
      <c r="O37" s="526">
        <v>0.3</v>
      </c>
      <c r="P37" s="526">
        <v>0.28000000000000003</v>
      </c>
      <c r="Q37" s="526">
        <v>1.6</v>
      </c>
      <c r="R37" s="525"/>
      <c r="S37" s="526">
        <v>0.19</v>
      </c>
      <c r="T37" s="526">
        <v>25</v>
      </c>
      <c r="V37" s="938">
        <f>C37*0.02*2.2</f>
        <v>2.5080000000000005</v>
      </c>
      <c r="W37" s="938">
        <f t="shared" ref="W37" si="3">V37/2.2</f>
        <v>1.1400000000000001</v>
      </c>
    </row>
    <row r="38" spans="1:23">
      <c r="A38" s="531" t="s">
        <v>530</v>
      </c>
      <c r="B38" s="526">
        <v>35</v>
      </c>
      <c r="C38" s="526">
        <v>59</v>
      </c>
      <c r="D38" s="526">
        <v>58</v>
      </c>
      <c r="E38" s="526">
        <v>26</v>
      </c>
      <c r="F38" s="526">
        <v>58</v>
      </c>
      <c r="G38" s="526">
        <v>12</v>
      </c>
      <c r="H38" s="526">
        <v>22</v>
      </c>
      <c r="I38" s="526">
        <v>34</v>
      </c>
      <c r="J38" s="526">
        <v>37</v>
      </c>
      <c r="K38" s="526">
        <v>58</v>
      </c>
      <c r="L38" s="526">
        <v>61</v>
      </c>
      <c r="M38" s="526">
        <v>3</v>
      </c>
      <c r="N38" s="526">
        <v>9</v>
      </c>
      <c r="O38" s="526">
        <v>0.46</v>
      </c>
      <c r="P38" s="526">
        <v>0.3</v>
      </c>
      <c r="Q38" s="526">
        <v>2.4</v>
      </c>
      <c r="R38" s="525"/>
      <c r="S38" s="526">
        <v>0.22</v>
      </c>
      <c r="T38" s="526">
        <v>28</v>
      </c>
    </row>
    <row r="39" spans="1:23">
      <c r="A39" s="531" t="s">
        <v>531</v>
      </c>
      <c r="B39" s="526">
        <v>35</v>
      </c>
      <c r="C39" s="526">
        <v>58</v>
      </c>
      <c r="D39" s="526">
        <v>58</v>
      </c>
      <c r="E39" s="526">
        <v>26</v>
      </c>
      <c r="F39" s="526">
        <v>58</v>
      </c>
      <c r="G39" s="526">
        <v>12</v>
      </c>
      <c r="H39" s="526">
        <v>25</v>
      </c>
      <c r="I39" s="526">
        <v>30</v>
      </c>
      <c r="J39" s="526">
        <v>34</v>
      </c>
      <c r="K39" s="526">
        <v>50</v>
      </c>
      <c r="L39" s="526">
        <v>61</v>
      </c>
      <c r="M39" s="526">
        <v>3.5</v>
      </c>
      <c r="N39" s="526">
        <v>9</v>
      </c>
      <c r="O39" s="526">
        <v>0.3</v>
      </c>
      <c r="P39" s="526">
        <v>0.2</v>
      </c>
      <c r="Q39" s="526">
        <v>1.5</v>
      </c>
      <c r="R39" s="525"/>
      <c r="S39" s="526">
        <v>0.15</v>
      </c>
      <c r="T39" s="526">
        <v>25</v>
      </c>
    </row>
    <row r="40" spans="1:23">
      <c r="A40" s="531" t="s">
        <v>430</v>
      </c>
      <c r="B40" s="526">
        <v>90</v>
      </c>
      <c r="C40" s="526">
        <v>44</v>
      </c>
      <c r="D40" s="526">
        <v>44</v>
      </c>
      <c r="E40" s="526">
        <v>1</v>
      </c>
      <c r="F40" s="526">
        <v>43</v>
      </c>
      <c r="G40" s="526">
        <v>4</v>
      </c>
      <c r="H40" s="526">
        <v>70</v>
      </c>
      <c r="I40" s="526">
        <v>42</v>
      </c>
      <c r="J40" s="526">
        <v>55</v>
      </c>
      <c r="K40" s="526">
        <v>78</v>
      </c>
      <c r="L40" s="526">
        <v>100</v>
      </c>
      <c r="M40" s="526">
        <v>1.9</v>
      </c>
      <c r="N40" s="526">
        <v>7</v>
      </c>
      <c r="O40" s="526">
        <v>0.32</v>
      </c>
      <c r="P40" s="526">
        <v>0.08</v>
      </c>
      <c r="Q40" s="526">
        <v>2.2000000000000002</v>
      </c>
      <c r="R40" s="526">
        <v>0.67</v>
      </c>
      <c r="S40" s="526">
        <v>0.16</v>
      </c>
      <c r="T40" s="526">
        <v>7</v>
      </c>
    </row>
    <row r="41" spans="1:23">
      <c r="A41" s="531" t="s">
        <v>399</v>
      </c>
      <c r="B41" s="526">
        <v>90</v>
      </c>
      <c r="C41" s="526">
        <v>85</v>
      </c>
      <c r="D41" s="526">
        <v>93</v>
      </c>
      <c r="E41" s="526">
        <v>62</v>
      </c>
      <c r="F41" s="526">
        <v>88</v>
      </c>
      <c r="G41" s="526">
        <v>24</v>
      </c>
      <c r="H41" s="526">
        <v>25</v>
      </c>
      <c r="I41" s="526">
        <v>5</v>
      </c>
      <c r="J41" s="526">
        <v>8</v>
      </c>
      <c r="K41" s="526">
        <v>20</v>
      </c>
      <c r="L41" s="526">
        <v>0</v>
      </c>
      <c r="M41" s="526">
        <v>1.4</v>
      </c>
      <c r="N41" s="526">
        <v>5</v>
      </c>
      <c r="O41" s="526">
        <v>0.15</v>
      </c>
      <c r="P41" s="526">
        <v>0.6</v>
      </c>
      <c r="Q41" s="526">
        <v>1.4</v>
      </c>
      <c r="R41" s="526">
        <v>0.06</v>
      </c>
      <c r="S41" s="526">
        <v>0.26</v>
      </c>
      <c r="T41" s="526">
        <v>45</v>
      </c>
    </row>
    <row r="42" spans="1:23">
      <c r="A42" s="531" t="s">
        <v>404</v>
      </c>
      <c r="B42" s="526">
        <v>91</v>
      </c>
      <c r="C42" s="526">
        <v>76</v>
      </c>
      <c r="D42" s="526">
        <v>81</v>
      </c>
      <c r="E42" s="526">
        <v>52</v>
      </c>
      <c r="F42" s="526">
        <v>78</v>
      </c>
      <c r="G42" s="526">
        <v>10</v>
      </c>
      <c r="H42" s="526">
        <v>44</v>
      </c>
      <c r="I42" s="526">
        <v>21</v>
      </c>
      <c r="J42" s="526">
        <v>25</v>
      </c>
      <c r="K42" s="526">
        <v>46</v>
      </c>
      <c r="L42" s="526">
        <v>33</v>
      </c>
      <c r="M42" s="526">
        <v>0.7</v>
      </c>
      <c r="N42" s="526">
        <v>5</v>
      </c>
      <c r="O42" s="526">
        <v>0.65</v>
      </c>
      <c r="P42" s="526">
        <v>0.08</v>
      </c>
      <c r="Q42" s="526">
        <v>0.9</v>
      </c>
      <c r="R42" s="526">
        <v>0.4</v>
      </c>
      <c r="S42" s="526">
        <v>0.22</v>
      </c>
      <c r="T42" s="526">
        <v>21</v>
      </c>
    </row>
    <row r="43" spans="1:23">
      <c r="A43" s="531" t="s">
        <v>406</v>
      </c>
      <c r="B43" s="526">
        <v>92</v>
      </c>
      <c r="C43" s="526">
        <v>77</v>
      </c>
      <c r="D43" s="526">
        <v>82</v>
      </c>
      <c r="E43" s="526">
        <v>53</v>
      </c>
      <c r="F43" s="526">
        <v>79</v>
      </c>
      <c r="G43" s="526">
        <v>11</v>
      </c>
      <c r="H43" s="526">
        <v>34</v>
      </c>
      <c r="I43" s="526">
        <v>17</v>
      </c>
      <c r="J43" s="526">
        <v>23</v>
      </c>
      <c r="K43" s="526">
        <v>40</v>
      </c>
      <c r="L43" s="526">
        <v>33</v>
      </c>
      <c r="M43" s="526">
        <v>0.6</v>
      </c>
      <c r="N43" s="526">
        <v>6</v>
      </c>
      <c r="O43" s="526">
        <v>0.6</v>
      </c>
      <c r="P43" s="526">
        <v>0.1</v>
      </c>
      <c r="Q43" s="526">
        <v>1.8</v>
      </c>
      <c r="R43" s="525"/>
      <c r="S43" s="526">
        <v>0.42</v>
      </c>
      <c r="T43" s="526">
        <v>11</v>
      </c>
    </row>
    <row r="44" spans="1:23">
      <c r="A44" s="531" t="s">
        <v>400</v>
      </c>
      <c r="B44" s="526">
        <v>17</v>
      </c>
      <c r="C44" s="526">
        <v>77</v>
      </c>
      <c r="D44" s="526">
        <v>82</v>
      </c>
      <c r="E44" s="526">
        <v>53</v>
      </c>
      <c r="F44" s="526">
        <v>79</v>
      </c>
      <c r="G44" s="526">
        <v>10</v>
      </c>
      <c r="H44" s="526">
        <v>35</v>
      </c>
      <c r="I44" s="526">
        <v>20</v>
      </c>
      <c r="J44" s="526">
        <v>23</v>
      </c>
      <c r="K44" s="526">
        <v>45</v>
      </c>
      <c r="L44" s="526">
        <v>30</v>
      </c>
      <c r="M44" s="526">
        <v>0.7</v>
      </c>
      <c r="N44" s="526">
        <v>5</v>
      </c>
      <c r="O44" s="526">
        <v>0.65</v>
      </c>
      <c r="P44" s="526">
        <v>0.08</v>
      </c>
      <c r="Q44" s="526">
        <v>0.9</v>
      </c>
      <c r="R44" s="526">
        <v>0.4</v>
      </c>
      <c r="S44" s="526">
        <v>0.22</v>
      </c>
      <c r="T44" s="526">
        <v>21</v>
      </c>
    </row>
    <row r="45" spans="1:23">
      <c r="A45" s="531" t="s">
        <v>405</v>
      </c>
      <c r="B45" s="526">
        <v>24</v>
      </c>
      <c r="C45" s="526">
        <v>77</v>
      </c>
      <c r="D45" s="526">
        <v>82</v>
      </c>
      <c r="E45" s="526">
        <v>53</v>
      </c>
      <c r="F45" s="526">
        <v>79</v>
      </c>
      <c r="G45" s="526">
        <v>11</v>
      </c>
      <c r="H45" s="526">
        <v>25</v>
      </c>
      <c r="I45" s="526">
        <v>16</v>
      </c>
      <c r="J45" s="526">
        <v>21</v>
      </c>
      <c r="K45" s="526">
        <v>39</v>
      </c>
      <c r="L45" s="526">
        <v>33</v>
      </c>
      <c r="M45" s="526">
        <v>0.6</v>
      </c>
      <c r="N45" s="526">
        <v>6</v>
      </c>
      <c r="O45" s="526">
        <v>0.6</v>
      </c>
      <c r="P45" s="526">
        <v>0.1</v>
      </c>
      <c r="Q45" s="526">
        <v>1.8</v>
      </c>
      <c r="R45" s="525"/>
      <c r="S45" s="526">
        <v>0.42</v>
      </c>
      <c r="T45" s="526">
        <v>11</v>
      </c>
    </row>
    <row r="46" spans="1:23">
      <c r="A46" s="531" t="s">
        <v>408</v>
      </c>
      <c r="B46" s="526">
        <v>25</v>
      </c>
      <c r="C46" s="526">
        <v>52</v>
      </c>
      <c r="D46" s="526">
        <v>52</v>
      </c>
      <c r="E46" s="526">
        <v>16</v>
      </c>
      <c r="F46" s="526">
        <v>51</v>
      </c>
      <c r="G46" s="526">
        <v>12</v>
      </c>
      <c r="H46" s="525"/>
      <c r="I46" s="526">
        <v>12</v>
      </c>
      <c r="J46" s="525"/>
      <c r="K46" s="525"/>
      <c r="L46" s="525"/>
      <c r="M46" s="526">
        <v>2</v>
      </c>
      <c r="N46" s="526">
        <v>32</v>
      </c>
      <c r="O46" s="526">
        <v>1.38</v>
      </c>
      <c r="P46" s="526">
        <v>0.22</v>
      </c>
      <c r="Q46" s="526">
        <v>5.7</v>
      </c>
      <c r="R46" s="525"/>
      <c r="S46" s="526">
        <v>0.56999999999999995</v>
      </c>
      <c r="T46" s="526">
        <v>20</v>
      </c>
    </row>
    <row r="47" spans="1:23">
      <c r="A47" s="531" t="s">
        <v>407</v>
      </c>
      <c r="B47" s="526">
        <v>19</v>
      </c>
      <c r="C47" s="526">
        <v>58</v>
      </c>
      <c r="D47" s="526">
        <v>58</v>
      </c>
      <c r="E47" s="526">
        <v>26</v>
      </c>
      <c r="F47" s="526">
        <v>58</v>
      </c>
      <c r="G47" s="526">
        <v>14</v>
      </c>
      <c r="H47" s="525"/>
      <c r="I47" s="526">
        <v>11</v>
      </c>
      <c r="J47" s="526">
        <v>14</v>
      </c>
      <c r="K47" s="526">
        <v>25</v>
      </c>
      <c r="L47" s="526">
        <v>41</v>
      </c>
      <c r="M47" s="526">
        <v>1.3</v>
      </c>
      <c r="N47" s="526">
        <v>24</v>
      </c>
      <c r="O47" s="526">
        <v>1.1000000000000001</v>
      </c>
      <c r="P47" s="526">
        <v>0.22</v>
      </c>
      <c r="Q47" s="526">
        <v>5.2</v>
      </c>
      <c r="R47" s="526">
        <v>0.2</v>
      </c>
      <c r="S47" s="526">
        <v>0.45</v>
      </c>
      <c r="T47" s="526">
        <v>20</v>
      </c>
    </row>
    <row r="48" spans="1:23">
      <c r="A48" s="531" t="s">
        <v>409</v>
      </c>
      <c r="B48" s="526">
        <v>90</v>
      </c>
      <c r="C48" s="526">
        <v>62</v>
      </c>
      <c r="D48" s="526">
        <v>63</v>
      </c>
      <c r="E48" s="526">
        <v>33</v>
      </c>
      <c r="F48" s="526">
        <v>63</v>
      </c>
      <c r="G48" s="526">
        <v>16</v>
      </c>
      <c r="H48" s="526">
        <v>40</v>
      </c>
      <c r="I48" s="526">
        <v>26</v>
      </c>
      <c r="J48" s="526">
        <v>29</v>
      </c>
      <c r="K48" s="526">
        <v>40</v>
      </c>
      <c r="L48" s="526">
        <v>10</v>
      </c>
      <c r="M48" s="526">
        <v>3.8</v>
      </c>
      <c r="N48" s="526">
        <v>7</v>
      </c>
      <c r="O48" s="526">
        <v>0.4</v>
      </c>
      <c r="P48" s="526">
        <v>0.25</v>
      </c>
      <c r="Q48" s="526">
        <v>1.8</v>
      </c>
      <c r="R48" s="526">
        <v>0.72</v>
      </c>
      <c r="S48" s="526">
        <v>0.23</v>
      </c>
      <c r="T48" s="526">
        <v>18</v>
      </c>
    </row>
    <row r="49" spans="1:20">
      <c r="A49" s="543" t="s">
        <v>410</v>
      </c>
      <c r="B49" s="526">
        <v>89</v>
      </c>
      <c r="C49" s="526">
        <v>56</v>
      </c>
      <c r="D49" s="526">
        <v>56</v>
      </c>
      <c r="E49" s="526">
        <v>23</v>
      </c>
      <c r="F49" s="526">
        <v>56</v>
      </c>
      <c r="G49" s="526">
        <v>10</v>
      </c>
      <c r="H49" s="526">
        <v>20</v>
      </c>
      <c r="I49" s="526">
        <v>30</v>
      </c>
      <c r="J49" s="526">
        <v>36</v>
      </c>
      <c r="K49" s="526">
        <v>73</v>
      </c>
      <c r="L49" s="526">
        <v>98</v>
      </c>
      <c r="M49" s="526">
        <v>2.1</v>
      </c>
      <c r="N49" s="526">
        <v>6</v>
      </c>
      <c r="O49" s="526">
        <v>0.47</v>
      </c>
      <c r="P49" s="526">
        <v>0.21</v>
      </c>
      <c r="Q49" s="526">
        <v>1.5</v>
      </c>
      <c r="R49" s="526">
        <v>0.7</v>
      </c>
      <c r="S49" s="526">
        <v>0.22</v>
      </c>
      <c r="T49" s="526">
        <v>16</v>
      </c>
    </row>
    <row r="50" spans="1:20">
      <c r="A50" s="543" t="s">
        <v>411</v>
      </c>
      <c r="B50" s="526">
        <v>89</v>
      </c>
      <c r="C50" s="526">
        <v>53</v>
      </c>
      <c r="D50" s="526">
        <v>53</v>
      </c>
      <c r="E50" s="526">
        <v>18</v>
      </c>
      <c r="F50" s="526">
        <v>53</v>
      </c>
      <c r="G50" s="526">
        <v>10</v>
      </c>
      <c r="H50" s="526">
        <v>18</v>
      </c>
      <c r="I50" s="526">
        <v>29</v>
      </c>
      <c r="J50" s="526">
        <v>37</v>
      </c>
      <c r="K50" s="526">
        <v>72</v>
      </c>
      <c r="L50" s="526">
        <v>98</v>
      </c>
      <c r="M50" s="526">
        <v>1.9</v>
      </c>
      <c r="N50" s="526">
        <v>8</v>
      </c>
      <c r="O50" s="526">
        <v>0.46</v>
      </c>
      <c r="P50" s="526">
        <v>0.2</v>
      </c>
      <c r="Q50" s="526">
        <v>1.5</v>
      </c>
      <c r="R50" s="526">
        <v>0.7</v>
      </c>
      <c r="S50" s="526">
        <v>0.25</v>
      </c>
      <c r="T50" s="526">
        <v>31</v>
      </c>
    </row>
    <row r="51" spans="1:20">
      <c r="A51" s="531" t="s">
        <v>412</v>
      </c>
      <c r="B51" s="526">
        <v>26</v>
      </c>
      <c r="C51" s="526">
        <v>50</v>
      </c>
      <c r="D51" s="526">
        <v>50</v>
      </c>
      <c r="E51" s="526">
        <v>12</v>
      </c>
      <c r="F51" s="526">
        <v>49</v>
      </c>
      <c r="G51" s="526">
        <v>10</v>
      </c>
      <c r="H51" s="526">
        <v>15</v>
      </c>
      <c r="I51" s="526">
        <v>28</v>
      </c>
      <c r="J51" s="526">
        <v>35</v>
      </c>
      <c r="K51" s="526">
        <v>71</v>
      </c>
      <c r="L51" s="526">
        <v>48</v>
      </c>
      <c r="M51" s="526">
        <v>1.9</v>
      </c>
      <c r="N51" s="526">
        <v>8</v>
      </c>
      <c r="O51" s="526">
        <v>0.46</v>
      </c>
      <c r="P51" s="526">
        <v>0.2</v>
      </c>
      <c r="Q51" s="526">
        <v>1.5</v>
      </c>
      <c r="R51" s="526">
        <v>0.72</v>
      </c>
      <c r="S51" s="526">
        <v>0.25</v>
      </c>
      <c r="T51" s="526">
        <v>31</v>
      </c>
    </row>
    <row r="52" spans="1:20">
      <c r="A52" s="531" t="s">
        <v>413</v>
      </c>
      <c r="B52" s="526">
        <v>22</v>
      </c>
      <c r="C52" s="526">
        <v>66</v>
      </c>
      <c r="D52" s="526">
        <v>68</v>
      </c>
      <c r="E52" s="526">
        <v>38</v>
      </c>
      <c r="F52" s="526">
        <v>67</v>
      </c>
      <c r="G52" s="526">
        <v>21</v>
      </c>
      <c r="H52" s="526">
        <v>20</v>
      </c>
      <c r="I52" s="526">
        <v>21</v>
      </c>
      <c r="J52" s="526">
        <v>31</v>
      </c>
      <c r="K52" s="526">
        <v>47</v>
      </c>
      <c r="L52" s="526">
        <v>41</v>
      </c>
      <c r="M52" s="526">
        <v>4.4000000000000004</v>
      </c>
      <c r="N52" s="526">
        <v>9</v>
      </c>
      <c r="O52" s="526">
        <v>1.78</v>
      </c>
      <c r="P52" s="526">
        <v>0.25</v>
      </c>
      <c r="Q52" s="526">
        <v>2.6</v>
      </c>
      <c r="R52" s="525"/>
      <c r="S52" s="526">
        <v>0.25</v>
      </c>
      <c r="T52" s="526">
        <v>31</v>
      </c>
    </row>
    <row r="53" spans="1:20">
      <c r="A53" s="543" t="s">
        <v>637</v>
      </c>
      <c r="B53" s="526">
        <v>89</v>
      </c>
      <c r="C53" s="526">
        <v>57</v>
      </c>
      <c r="D53" s="526">
        <v>57</v>
      </c>
      <c r="E53" s="526">
        <v>25</v>
      </c>
      <c r="F53" s="526">
        <v>57</v>
      </c>
      <c r="G53" s="526">
        <v>16</v>
      </c>
      <c r="H53" s="526">
        <v>22</v>
      </c>
      <c r="I53" s="526">
        <v>31</v>
      </c>
      <c r="J53" s="526">
        <v>38</v>
      </c>
      <c r="K53" s="526">
        <v>50</v>
      </c>
      <c r="L53" s="526">
        <v>92</v>
      </c>
      <c r="M53" s="526">
        <v>2.2000000000000002</v>
      </c>
      <c r="N53" s="526">
        <v>8</v>
      </c>
      <c r="O53" s="526">
        <v>1.73</v>
      </c>
      <c r="P53" s="526">
        <v>0.24</v>
      </c>
      <c r="Q53" s="526">
        <v>1.8</v>
      </c>
      <c r="R53" s="525"/>
      <c r="S53" s="526">
        <v>0.25</v>
      </c>
      <c r="T53" s="526">
        <v>28</v>
      </c>
    </row>
    <row r="54" spans="1:20">
      <c r="A54" s="531" t="s">
        <v>297</v>
      </c>
      <c r="B54" s="526">
        <v>99</v>
      </c>
      <c r="C54" s="526">
        <v>0</v>
      </c>
      <c r="D54" s="526">
        <v>0</v>
      </c>
      <c r="E54" s="526">
        <v>0</v>
      </c>
      <c r="F54" s="526">
        <v>0</v>
      </c>
      <c r="G54" s="526">
        <v>248</v>
      </c>
      <c r="H54" s="526">
        <v>0</v>
      </c>
      <c r="I54" s="526">
        <v>0</v>
      </c>
      <c r="J54" s="526">
        <v>0</v>
      </c>
      <c r="K54" s="526">
        <v>0</v>
      </c>
      <c r="L54" s="526">
        <v>0</v>
      </c>
      <c r="M54" s="526">
        <v>0</v>
      </c>
      <c r="N54" s="526">
        <v>0</v>
      </c>
      <c r="O54" s="526">
        <v>0</v>
      </c>
      <c r="P54" s="526">
        <v>0</v>
      </c>
      <c r="Q54" s="526">
        <v>0</v>
      </c>
      <c r="R54" s="526">
        <v>0</v>
      </c>
      <c r="S54" s="526">
        <v>0</v>
      </c>
      <c r="T54" s="526">
        <v>0</v>
      </c>
    </row>
    <row r="55" spans="1:20">
      <c r="A55" s="531" t="s">
        <v>414</v>
      </c>
      <c r="B55" s="526">
        <v>91</v>
      </c>
      <c r="C55" s="526">
        <v>66</v>
      </c>
      <c r="D55" s="526">
        <v>68</v>
      </c>
      <c r="E55" s="526">
        <v>38</v>
      </c>
      <c r="F55" s="526">
        <v>67</v>
      </c>
      <c r="G55" s="526">
        <v>92</v>
      </c>
      <c r="H55" s="526">
        <v>82</v>
      </c>
      <c r="I55" s="526">
        <v>1</v>
      </c>
      <c r="J55" s="526">
        <v>2</v>
      </c>
      <c r="K55" s="526">
        <v>10</v>
      </c>
      <c r="L55" s="526">
        <v>0</v>
      </c>
      <c r="M55" s="526">
        <v>1.4</v>
      </c>
      <c r="N55" s="526">
        <v>3</v>
      </c>
      <c r="O55" s="526">
        <v>0.32</v>
      </c>
      <c r="P55" s="526">
        <v>0.28000000000000003</v>
      </c>
      <c r="Q55" s="526">
        <v>0.2</v>
      </c>
      <c r="R55" s="526">
        <v>0.3</v>
      </c>
      <c r="S55" s="526">
        <v>0.7</v>
      </c>
      <c r="T55" s="526">
        <v>22</v>
      </c>
    </row>
    <row r="56" spans="1:20">
      <c r="A56" s="531" t="s">
        <v>415</v>
      </c>
      <c r="B56" s="526">
        <v>36</v>
      </c>
      <c r="C56" s="526">
        <v>69</v>
      </c>
      <c r="D56" s="526">
        <v>71</v>
      </c>
      <c r="E56" s="526">
        <v>43</v>
      </c>
      <c r="F56" s="526">
        <v>70</v>
      </c>
      <c r="G56" s="526">
        <v>15</v>
      </c>
      <c r="H56" s="526">
        <v>20</v>
      </c>
      <c r="I56" s="526">
        <v>27</v>
      </c>
      <c r="J56" s="526">
        <v>32</v>
      </c>
      <c r="K56" s="526">
        <v>60</v>
      </c>
      <c r="L56" s="526">
        <v>41</v>
      </c>
      <c r="M56" s="526">
        <v>3.9</v>
      </c>
      <c r="N56" s="526">
        <v>7</v>
      </c>
      <c r="O56" s="526">
        <v>0.37</v>
      </c>
      <c r="P56" s="526">
        <v>0.3</v>
      </c>
      <c r="Q56" s="526">
        <v>1.9</v>
      </c>
      <c r="R56" s="526">
        <v>0.42</v>
      </c>
      <c r="S56" s="526">
        <v>0.19</v>
      </c>
      <c r="T56" s="526">
        <v>25</v>
      </c>
    </row>
    <row r="57" spans="1:20">
      <c r="A57" s="531" t="s">
        <v>166</v>
      </c>
      <c r="B57" s="526">
        <v>93</v>
      </c>
      <c r="C57" s="526">
        <v>45</v>
      </c>
      <c r="D57" s="526">
        <v>45</v>
      </c>
      <c r="E57" s="526">
        <v>3</v>
      </c>
      <c r="F57" s="526">
        <v>44</v>
      </c>
      <c r="G57" s="526">
        <v>6</v>
      </c>
      <c r="H57" s="525"/>
      <c r="I57" s="526">
        <v>40</v>
      </c>
      <c r="J57" s="526">
        <v>50</v>
      </c>
      <c r="K57" s="526">
        <v>78</v>
      </c>
      <c r="L57" s="526">
        <v>90</v>
      </c>
      <c r="M57" s="526">
        <v>1.1000000000000001</v>
      </c>
      <c r="N57" s="526">
        <v>6</v>
      </c>
      <c r="O57" s="526">
        <v>0.2</v>
      </c>
      <c r="P57" s="526">
        <v>0.1</v>
      </c>
      <c r="Q57" s="525"/>
      <c r="R57" s="525"/>
      <c r="S57" s="525"/>
      <c r="T57" s="525"/>
    </row>
    <row r="58" spans="1:20">
      <c r="A58" s="531" t="s">
        <v>167</v>
      </c>
      <c r="B58" s="526">
        <v>61</v>
      </c>
      <c r="C58" s="526">
        <v>50</v>
      </c>
      <c r="D58" s="526">
        <v>50</v>
      </c>
      <c r="E58" s="526">
        <v>12</v>
      </c>
      <c r="F58" s="526">
        <v>49</v>
      </c>
      <c r="G58" s="526">
        <v>6</v>
      </c>
      <c r="H58" s="525"/>
      <c r="I58" s="526">
        <v>34</v>
      </c>
      <c r="J58" s="525"/>
      <c r="K58" s="525"/>
      <c r="L58" s="525"/>
      <c r="M58" s="526">
        <v>2.5</v>
      </c>
      <c r="N58" s="526">
        <v>5</v>
      </c>
      <c r="O58" s="526">
        <v>0.4</v>
      </c>
      <c r="P58" s="526">
        <v>0.12</v>
      </c>
      <c r="Q58" s="526">
        <v>0.8</v>
      </c>
      <c r="R58" s="525"/>
      <c r="S58" s="526">
        <v>0.05</v>
      </c>
      <c r="T58" s="526">
        <v>28</v>
      </c>
    </row>
    <row r="59" spans="1:20" ht="28">
      <c r="A59" s="531" t="s">
        <v>168</v>
      </c>
      <c r="B59" s="526">
        <v>95</v>
      </c>
      <c r="C59" s="526">
        <v>16</v>
      </c>
      <c r="D59" s="526">
        <v>27</v>
      </c>
      <c r="E59" s="526">
        <v>0</v>
      </c>
      <c r="F59" s="526">
        <v>11</v>
      </c>
      <c r="G59" s="526">
        <v>13</v>
      </c>
      <c r="H59" s="525"/>
      <c r="I59" s="526">
        <v>1</v>
      </c>
      <c r="J59" s="526">
        <v>0</v>
      </c>
      <c r="K59" s="526">
        <v>0</v>
      </c>
      <c r="L59" s="526">
        <v>0</v>
      </c>
      <c r="M59" s="526">
        <v>11.6</v>
      </c>
      <c r="N59" s="526">
        <v>77</v>
      </c>
      <c r="O59" s="526">
        <v>27</v>
      </c>
      <c r="P59" s="526">
        <v>12.74</v>
      </c>
      <c r="Q59" s="526">
        <v>0.2</v>
      </c>
      <c r="R59" s="525"/>
      <c r="S59" s="526">
        <v>2.5</v>
      </c>
      <c r="T59" s="526">
        <v>290</v>
      </c>
    </row>
    <row r="60" spans="1:20">
      <c r="A60" s="531" t="s">
        <v>169</v>
      </c>
      <c r="B60" s="526">
        <v>68</v>
      </c>
      <c r="C60" s="526">
        <v>90</v>
      </c>
      <c r="D60" s="526">
        <v>100</v>
      </c>
      <c r="E60" s="526">
        <v>68</v>
      </c>
      <c r="F60" s="526">
        <v>94</v>
      </c>
      <c r="G60" s="526">
        <v>14</v>
      </c>
      <c r="H60" s="526">
        <v>24</v>
      </c>
      <c r="I60" s="526">
        <v>1</v>
      </c>
      <c r="J60" s="526">
        <v>2</v>
      </c>
      <c r="K60" s="526">
        <v>3</v>
      </c>
      <c r="L60" s="526">
        <v>0</v>
      </c>
      <c r="M60" s="526">
        <v>3</v>
      </c>
      <c r="N60" s="526">
        <v>3</v>
      </c>
      <c r="O60" s="526">
        <v>0.1</v>
      </c>
      <c r="P60" s="526">
        <v>0.18</v>
      </c>
      <c r="Q60" s="526">
        <v>0.2</v>
      </c>
      <c r="R60" s="526">
        <v>0.76</v>
      </c>
      <c r="S60" s="526">
        <v>0.15</v>
      </c>
      <c r="T60" s="526">
        <v>40</v>
      </c>
    </row>
    <row r="61" spans="1:20">
      <c r="A61" s="531" t="s">
        <v>171</v>
      </c>
      <c r="B61" s="526">
        <v>92</v>
      </c>
      <c r="C61" s="526">
        <v>84</v>
      </c>
      <c r="D61" s="526">
        <v>92</v>
      </c>
      <c r="E61" s="526">
        <v>61</v>
      </c>
      <c r="F61" s="526">
        <v>87</v>
      </c>
      <c r="G61" s="526">
        <v>25</v>
      </c>
      <c r="H61" s="526">
        <v>54</v>
      </c>
      <c r="I61" s="526">
        <v>14</v>
      </c>
      <c r="J61" s="526">
        <v>24</v>
      </c>
      <c r="K61" s="526">
        <v>49</v>
      </c>
      <c r="L61" s="526">
        <v>18</v>
      </c>
      <c r="M61" s="526">
        <v>7.5</v>
      </c>
      <c r="N61" s="526">
        <v>4</v>
      </c>
      <c r="O61" s="526">
        <v>0.3</v>
      </c>
      <c r="P61" s="526">
        <v>0.57999999999999996</v>
      </c>
      <c r="Q61" s="526">
        <v>0.1</v>
      </c>
      <c r="R61" s="526">
        <v>0.15</v>
      </c>
      <c r="S61" s="526">
        <v>0.32</v>
      </c>
      <c r="T61" s="526">
        <v>78</v>
      </c>
    </row>
    <row r="62" spans="1:20">
      <c r="A62" s="531" t="s">
        <v>170</v>
      </c>
      <c r="B62" s="526">
        <v>23</v>
      </c>
      <c r="C62" s="526">
        <v>85</v>
      </c>
      <c r="D62" s="526">
        <v>93</v>
      </c>
      <c r="E62" s="526">
        <v>62</v>
      </c>
      <c r="F62" s="526">
        <v>88</v>
      </c>
      <c r="G62" s="526">
        <v>26</v>
      </c>
      <c r="H62" s="526">
        <v>52</v>
      </c>
      <c r="I62" s="526">
        <v>13</v>
      </c>
      <c r="J62" s="526">
        <v>21</v>
      </c>
      <c r="K62" s="526">
        <v>45</v>
      </c>
      <c r="L62" s="526">
        <v>18</v>
      </c>
      <c r="M62" s="526">
        <v>7.5</v>
      </c>
      <c r="N62" s="526">
        <v>4</v>
      </c>
      <c r="O62" s="526">
        <v>0.3</v>
      </c>
      <c r="P62" s="526">
        <v>0.57999999999999996</v>
      </c>
      <c r="Q62" s="526">
        <v>0.1</v>
      </c>
      <c r="R62" s="526">
        <v>0.15</v>
      </c>
      <c r="S62" s="526">
        <v>0.32</v>
      </c>
      <c r="T62" s="526">
        <v>78</v>
      </c>
    </row>
    <row r="63" spans="1:20">
      <c r="A63" s="531" t="s">
        <v>172</v>
      </c>
      <c r="B63" s="526">
        <v>94</v>
      </c>
      <c r="C63" s="526">
        <v>79</v>
      </c>
      <c r="D63" s="526">
        <v>85</v>
      </c>
      <c r="E63" s="526">
        <v>55</v>
      </c>
      <c r="F63" s="526">
        <v>81</v>
      </c>
      <c r="G63" s="526">
        <v>48</v>
      </c>
      <c r="H63" s="525"/>
      <c r="I63" s="526">
        <v>3</v>
      </c>
      <c r="J63" s="525"/>
      <c r="K63" s="525"/>
      <c r="L63" s="525"/>
      <c r="M63" s="526">
        <v>1</v>
      </c>
      <c r="N63" s="526">
        <v>7</v>
      </c>
      <c r="O63" s="526">
        <v>0.1</v>
      </c>
      <c r="P63" s="526">
        <v>1.56</v>
      </c>
      <c r="Q63" s="526">
        <v>1.8</v>
      </c>
      <c r="R63" s="525"/>
      <c r="S63" s="526">
        <v>0.41</v>
      </c>
      <c r="T63" s="526">
        <v>41</v>
      </c>
    </row>
    <row r="64" spans="1:20">
      <c r="A64" s="531" t="s">
        <v>173</v>
      </c>
      <c r="B64" s="526">
        <v>30</v>
      </c>
      <c r="C64" s="526">
        <v>64</v>
      </c>
      <c r="D64" s="526">
        <v>65</v>
      </c>
      <c r="E64" s="526">
        <v>36</v>
      </c>
      <c r="F64" s="526">
        <v>65</v>
      </c>
      <c r="G64" s="526">
        <v>15</v>
      </c>
      <c r="H64" s="526">
        <v>22</v>
      </c>
      <c r="I64" s="526">
        <v>28</v>
      </c>
      <c r="J64" s="526">
        <v>33</v>
      </c>
      <c r="K64" s="526">
        <v>54</v>
      </c>
      <c r="L64" s="526">
        <v>40</v>
      </c>
      <c r="M64" s="526">
        <v>4.0999999999999996</v>
      </c>
      <c r="N64" s="526">
        <v>10</v>
      </c>
      <c r="O64" s="526">
        <v>0.45</v>
      </c>
      <c r="P64" s="526">
        <v>0.34</v>
      </c>
      <c r="Q64" s="526">
        <v>2.2999999999999998</v>
      </c>
      <c r="R64" s="525"/>
      <c r="S64" s="526">
        <v>0.21</v>
      </c>
      <c r="T64" s="526">
        <v>20</v>
      </c>
    </row>
    <row r="65" spans="1:23">
      <c r="A65" s="543" t="s">
        <v>174</v>
      </c>
      <c r="B65" s="526">
        <v>89</v>
      </c>
      <c r="C65" s="526">
        <v>55</v>
      </c>
      <c r="D65" s="526">
        <v>55</v>
      </c>
      <c r="E65" s="526">
        <v>21</v>
      </c>
      <c r="F65" s="526">
        <v>55</v>
      </c>
      <c r="G65" s="526">
        <v>10</v>
      </c>
      <c r="H65" s="526">
        <v>33</v>
      </c>
      <c r="I65" s="526">
        <v>35</v>
      </c>
      <c r="J65" s="526">
        <v>41</v>
      </c>
      <c r="K65" s="526">
        <v>66</v>
      </c>
      <c r="L65" s="526">
        <v>98</v>
      </c>
      <c r="M65" s="526">
        <v>2.2999999999999998</v>
      </c>
      <c r="N65" s="526">
        <v>9</v>
      </c>
      <c r="O65" s="526">
        <v>0.4</v>
      </c>
      <c r="P65" s="526">
        <v>0.23</v>
      </c>
      <c r="Q65" s="526">
        <v>1.9</v>
      </c>
      <c r="R65" s="526">
        <v>0.4</v>
      </c>
      <c r="S65" s="526">
        <v>0.19</v>
      </c>
      <c r="T65" s="526">
        <v>19</v>
      </c>
    </row>
    <row r="66" spans="1:23">
      <c r="A66" s="543" t="s">
        <v>175</v>
      </c>
      <c r="B66" s="526">
        <v>35</v>
      </c>
      <c r="C66" s="526">
        <v>57</v>
      </c>
      <c r="D66" s="526">
        <v>57</v>
      </c>
      <c r="E66" s="526">
        <v>25</v>
      </c>
      <c r="F66" s="526">
        <v>57</v>
      </c>
      <c r="G66" s="526">
        <v>11</v>
      </c>
      <c r="H66" s="526">
        <v>26</v>
      </c>
      <c r="I66" s="526">
        <v>36</v>
      </c>
      <c r="J66" s="526">
        <v>44</v>
      </c>
      <c r="K66" s="526">
        <v>69</v>
      </c>
      <c r="L66" s="526">
        <v>61</v>
      </c>
      <c r="M66" s="526">
        <v>2.5</v>
      </c>
      <c r="N66" s="526">
        <v>8</v>
      </c>
      <c r="O66" s="526">
        <v>0.38</v>
      </c>
      <c r="P66" s="526">
        <v>0.3</v>
      </c>
      <c r="Q66" s="526">
        <v>2</v>
      </c>
      <c r="R66" s="525"/>
      <c r="S66" s="526">
        <v>0.2</v>
      </c>
      <c r="T66" s="526">
        <v>19</v>
      </c>
    </row>
    <row r="67" spans="1:23">
      <c r="A67" s="531" t="s">
        <v>298</v>
      </c>
      <c r="B67" s="526">
        <v>88</v>
      </c>
      <c r="C67" s="526">
        <v>75</v>
      </c>
      <c r="D67" s="526">
        <v>79</v>
      </c>
      <c r="E67" s="526">
        <v>50</v>
      </c>
      <c r="F67" s="526">
        <v>77</v>
      </c>
      <c r="G67" s="526">
        <v>12</v>
      </c>
      <c r="H67" s="525"/>
      <c r="I67" s="526">
        <v>13</v>
      </c>
      <c r="J67" s="526">
        <v>17</v>
      </c>
      <c r="K67" s="525"/>
      <c r="L67" s="525"/>
      <c r="M67" s="526">
        <v>2.8</v>
      </c>
      <c r="N67" s="526">
        <v>2</v>
      </c>
      <c r="O67" s="526">
        <v>0.11</v>
      </c>
      <c r="P67" s="526">
        <v>0.36</v>
      </c>
      <c r="Q67" s="526">
        <v>0.5</v>
      </c>
      <c r="R67" s="526">
        <v>0.05</v>
      </c>
      <c r="S67" s="526">
        <v>0.16</v>
      </c>
      <c r="T67" s="526">
        <v>10</v>
      </c>
    </row>
    <row r="68" spans="1:23">
      <c r="A68" s="531" t="s">
        <v>176</v>
      </c>
      <c r="B68" s="526">
        <v>92</v>
      </c>
      <c r="C68" s="526">
        <v>88</v>
      </c>
      <c r="D68" s="526">
        <v>98</v>
      </c>
      <c r="E68" s="526">
        <v>65</v>
      </c>
      <c r="F68" s="526">
        <v>91</v>
      </c>
      <c r="G68" s="526">
        <v>34</v>
      </c>
      <c r="H68" s="526">
        <v>0</v>
      </c>
      <c r="I68" s="526">
        <v>5</v>
      </c>
      <c r="J68" s="526">
        <v>0</v>
      </c>
      <c r="K68" s="526">
        <v>0</v>
      </c>
      <c r="L68" s="526">
        <v>0</v>
      </c>
      <c r="M68" s="526">
        <v>5</v>
      </c>
      <c r="N68" s="526">
        <v>10</v>
      </c>
      <c r="O68" s="526">
        <v>1.44</v>
      </c>
      <c r="P68" s="526">
        <v>1</v>
      </c>
      <c r="Q68" s="526">
        <v>0.9</v>
      </c>
      <c r="R68" s="525"/>
      <c r="S68" s="526">
        <v>0.09</v>
      </c>
      <c r="T68" s="526">
        <v>44</v>
      </c>
    </row>
    <row r="69" spans="1:23">
      <c r="A69" s="531" t="s">
        <v>177</v>
      </c>
      <c r="B69" s="526">
        <v>23</v>
      </c>
      <c r="C69" s="526">
        <v>61</v>
      </c>
      <c r="D69" s="526">
        <v>62</v>
      </c>
      <c r="E69" s="526">
        <v>31</v>
      </c>
      <c r="F69" s="526">
        <v>62</v>
      </c>
      <c r="G69" s="526">
        <v>5</v>
      </c>
      <c r="H69" s="525"/>
      <c r="I69" s="526">
        <v>16</v>
      </c>
      <c r="J69" s="526">
        <v>20</v>
      </c>
      <c r="K69" s="526">
        <v>28</v>
      </c>
      <c r="L69" s="525"/>
      <c r="M69" s="526">
        <v>2.1</v>
      </c>
      <c r="N69" s="526">
        <v>18</v>
      </c>
      <c r="O69" s="526">
        <v>4</v>
      </c>
      <c r="P69" s="526">
        <v>0.1</v>
      </c>
      <c r="Q69" s="526">
        <v>1.5</v>
      </c>
      <c r="R69" s="525"/>
      <c r="S69" s="526">
        <v>0.2</v>
      </c>
      <c r="T69" s="525"/>
    </row>
    <row r="70" spans="1:23">
      <c r="A70" s="531" t="s">
        <v>420</v>
      </c>
      <c r="B70" s="526">
        <v>99</v>
      </c>
      <c r="C70" s="526">
        <v>0</v>
      </c>
      <c r="D70" s="526">
        <v>0</v>
      </c>
      <c r="E70" s="526">
        <v>0</v>
      </c>
      <c r="F70" s="526">
        <v>0</v>
      </c>
      <c r="G70" s="526">
        <v>0</v>
      </c>
      <c r="H70" s="525"/>
      <c r="I70" s="526">
        <v>0</v>
      </c>
      <c r="J70" s="526">
        <v>0</v>
      </c>
      <c r="K70" s="526">
        <v>0</v>
      </c>
      <c r="L70" s="526">
        <v>0</v>
      </c>
      <c r="M70" s="526">
        <v>0</v>
      </c>
      <c r="N70" s="526">
        <v>99</v>
      </c>
      <c r="O70" s="526">
        <v>38.5</v>
      </c>
      <c r="P70" s="526">
        <v>0.04</v>
      </c>
      <c r="Q70" s="526">
        <v>0.1</v>
      </c>
      <c r="R70" s="525"/>
      <c r="S70" s="526">
        <v>0</v>
      </c>
      <c r="T70" s="526">
        <v>0</v>
      </c>
    </row>
    <row r="71" spans="1:23">
      <c r="A71" s="543" t="s">
        <v>421</v>
      </c>
      <c r="B71" s="526">
        <v>91</v>
      </c>
      <c r="C71" s="526">
        <v>53</v>
      </c>
      <c r="D71" s="526">
        <v>53</v>
      </c>
      <c r="E71" s="526">
        <v>18</v>
      </c>
      <c r="F71" s="526">
        <v>53</v>
      </c>
      <c r="G71" s="526">
        <v>9</v>
      </c>
      <c r="H71" s="526">
        <v>26</v>
      </c>
      <c r="I71" s="526">
        <v>32</v>
      </c>
      <c r="J71" s="526">
        <v>34</v>
      </c>
      <c r="K71" s="526">
        <v>67</v>
      </c>
      <c r="L71" s="526">
        <v>98</v>
      </c>
      <c r="M71" s="526">
        <v>2.7</v>
      </c>
      <c r="N71" s="526">
        <v>8</v>
      </c>
      <c r="O71" s="526">
        <v>0.38</v>
      </c>
      <c r="P71" s="526">
        <v>0.25</v>
      </c>
      <c r="Q71" s="526">
        <v>2.7</v>
      </c>
      <c r="R71" s="525"/>
      <c r="S71" s="526">
        <v>0.14000000000000001</v>
      </c>
      <c r="T71" s="526">
        <v>18</v>
      </c>
    </row>
    <row r="72" spans="1:23">
      <c r="A72" s="531" t="s">
        <v>422</v>
      </c>
      <c r="B72" s="526">
        <v>90</v>
      </c>
      <c r="C72" s="526">
        <v>72</v>
      </c>
      <c r="D72" s="526">
        <v>75</v>
      </c>
      <c r="E72" s="526">
        <v>47</v>
      </c>
      <c r="F72" s="526">
        <v>74</v>
      </c>
      <c r="G72" s="526">
        <v>41</v>
      </c>
      <c r="H72" s="526">
        <v>30</v>
      </c>
      <c r="I72" s="526">
        <v>11</v>
      </c>
      <c r="J72" s="526">
        <v>19</v>
      </c>
      <c r="K72" s="526">
        <v>29</v>
      </c>
      <c r="L72" s="526">
        <v>23</v>
      </c>
      <c r="M72" s="526">
        <v>2</v>
      </c>
      <c r="N72" s="526">
        <v>8</v>
      </c>
      <c r="O72" s="526">
        <v>0.74</v>
      </c>
      <c r="P72" s="526">
        <v>1.1399999999999999</v>
      </c>
      <c r="Q72" s="526">
        <v>1.1000000000000001</v>
      </c>
      <c r="R72" s="526">
        <v>7.0000000000000007E-2</v>
      </c>
      <c r="S72" s="526">
        <v>0.78</v>
      </c>
      <c r="T72" s="526">
        <v>68</v>
      </c>
    </row>
    <row r="73" spans="1:23">
      <c r="A73" s="531" t="s">
        <v>310</v>
      </c>
      <c r="B73" s="526">
        <v>14</v>
      </c>
      <c r="C73" s="526">
        <v>62</v>
      </c>
      <c r="D73" s="526">
        <v>63</v>
      </c>
      <c r="E73" s="526">
        <v>33</v>
      </c>
      <c r="F73" s="526">
        <v>63</v>
      </c>
      <c r="G73" s="526">
        <v>6</v>
      </c>
      <c r="H73" s="525"/>
      <c r="I73" s="526">
        <v>19</v>
      </c>
      <c r="J73" s="526">
        <v>23</v>
      </c>
      <c r="K73" s="526">
        <v>40</v>
      </c>
      <c r="L73" s="526">
        <v>0</v>
      </c>
      <c r="M73" s="526">
        <v>7.8</v>
      </c>
      <c r="N73" s="526">
        <v>9</v>
      </c>
      <c r="O73" s="525"/>
      <c r="P73" s="525"/>
      <c r="Q73" s="525"/>
      <c r="R73" s="525"/>
      <c r="S73" s="525"/>
      <c r="T73" s="525"/>
    </row>
    <row r="74" spans="1:23">
      <c r="A74" s="531" t="s">
        <v>308</v>
      </c>
      <c r="B74" s="526">
        <v>12</v>
      </c>
      <c r="C74" s="526">
        <v>83</v>
      </c>
      <c r="D74" s="526">
        <v>90</v>
      </c>
      <c r="E74" s="526">
        <v>60</v>
      </c>
      <c r="F74" s="526">
        <v>86</v>
      </c>
      <c r="G74" s="526">
        <v>10</v>
      </c>
      <c r="H74" s="525"/>
      <c r="I74" s="526">
        <v>9</v>
      </c>
      <c r="J74" s="526">
        <v>11</v>
      </c>
      <c r="K74" s="526">
        <v>20</v>
      </c>
      <c r="L74" s="526">
        <v>0</v>
      </c>
      <c r="M74" s="526">
        <v>1.4</v>
      </c>
      <c r="N74" s="526">
        <v>10</v>
      </c>
      <c r="O74" s="526">
        <v>0.55000000000000004</v>
      </c>
      <c r="P74" s="526">
        <v>0.32</v>
      </c>
      <c r="Q74" s="526">
        <v>2.5</v>
      </c>
      <c r="R74" s="526">
        <v>0.5</v>
      </c>
      <c r="S74" s="526">
        <v>0.17</v>
      </c>
      <c r="T74" s="525"/>
    </row>
    <row r="75" spans="1:23">
      <c r="A75" s="531" t="s">
        <v>309</v>
      </c>
      <c r="B75" s="526">
        <v>16</v>
      </c>
      <c r="C75" s="526">
        <v>73</v>
      </c>
      <c r="D75" s="526">
        <v>77</v>
      </c>
      <c r="E75" s="526">
        <v>48</v>
      </c>
      <c r="F75" s="526">
        <v>75</v>
      </c>
      <c r="G75" s="526">
        <v>13</v>
      </c>
      <c r="H75" s="525"/>
      <c r="I75" s="526">
        <v>18</v>
      </c>
      <c r="J75" s="526">
        <v>23</v>
      </c>
      <c r="K75" s="526">
        <v>45</v>
      </c>
      <c r="L75" s="526">
        <v>41</v>
      </c>
      <c r="M75" s="526">
        <v>3.8</v>
      </c>
      <c r="N75" s="526">
        <v>15</v>
      </c>
      <c r="O75" s="526">
        <v>1.94</v>
      </c>
      <c r="P75" s="526">
        <v>0.19</v>
      </c>
      <c r="Q75" s="526">
        <v>1.9</v>
      </c>
      <c r="R75" s="525"/>
      <c r="S75" s="525"/>
      <c r="T75" s="525"/>
    </row>
    <row r="76" spans="1:23">
      <c r="A76" s="531" t="s">
        <v>186</v>
      </c>
      <c r="B76" s="526">
        <v>92</v>
      </c>
      <c r="C76" s="526">
        <v>38</v>
      </c>
      <c r="D76" s="526">
        <v>40</v>
      </c>
      <c r="E76" s="526">
        <v>0</v>
      </c>
      <c r="F76" s="526">
        <v>36</v>
      </c>
      <c r="G76" s="526">
        <v>15</v>
      </c>
      <c r="H76" s="525"/>
      <c r="I76" s="526">
        <v>35</v>
      </c>
      <c r="J76" s="526">
        <v>42</v>
      </c>
      <c r="K76" s="526">
        <v>55</v>
      </c>
      <c r="L76" s="526">
        <v>0</v>
      </c>
      <c r="M76" s="526">
        <v>2.5</v>
      </c>
      <c r="N76" s="526">
        <v>14</v>
      </c>
      <c r="O76" s="526">
        <v>1.1499999999999999</v>
      </c>
      <c r="P76" s="526">
        <v>1.2</v>
      </c>
      <c r="Q76" s="526">
        <v>0.6</v>
      </c>
      <c r="R76" s="525"/>
      <c r="S76" s="526">
        <v>1.78</v>
      </c>
      <c r="T76" s="526">
        <v>240</v>
      </c>
    </row>
    <row r="77" spans="1:23">
      <c r="A77" s="531" t="s">
        <v>187</v>
      </c>
      <c r="B77" s="526">
        <v>21</v>
      </c>
      <c r="C77" s="526">
        <v>68</v>
      </c>
      <c r="D77" s="526">
        <v>70</v>
      </c>
      <c r="E77" s="526">
        <v>41</v>
      </c>
      <c r="F77" s="526">
        <v>69</v>
      </c>
      <c r="G77" s="526">
        <v>16</v>
      </c>
      <c r="H77" s="525"/>
      <c r="I77" s="526">
        <v>23</v>
      </c>
      <c r="J77" s="525"/>
      <c r="K77" s="525"/>
      <c r="L77" s="525"/>
      <c r="M77" s="526">
        <v>2.7</v>
      </c>
      <c r="N77" s="526">
        <v>10</v>
      </c>
      <c r="O77" s="526">
        <v>0.6</v>
      </c>
      <c r="P77" s="526">
        <v>0.28000000000000003</v>
      </c>
      <c r="Q77" s="525"/>
      <c r="R77" s="525"/>
      <c r="S77" s="525"/>
      <c r="T77" s="525"/>
    </row>
    <row r="78" spans="1:23">
      <c r="A78" s="531" t="s">
        <v>188</v>
      </c>
      <c r="B78" s="526">
        <v>90</v>
      </c>
      <c r="C78" s="526">
        <v>78</v>
      </c>
      <c r="D78" s="526">
        <v>83</v>
      </c>
      <c r="E78" s="526">
        <v>54</v>
      </c>
      <c r="F78" s="526">
        <v>80</v>
      </c>
      <c r="G78" s="526">
        <v>7</v>
      </c>
      <c r="H78" s="526">
        <v>38</v>
      </c>
      <c r="I78" s="526">
        <v>13</v>
      </c>
      <c r="J78" s="526">
        <v>20</v>
      </c>
      <c r="K78" s="526">
        <v>21</v>
      </c>
      <c r="L78" s="526">
        <v>33</v>
      </c>
      <c r="M78" s="526">
        <v>2.9</v>
      </c>
      <c r="N78" s="526">
        <v>7</v>
      </c>
      <c r="O78" s="526">
        <v>1.81</v>
      </c>
      <c r="P78" s="526">
        <v>0.12</v>
      </c>
      <c r="Q78" s="526">
        <v>0.8</v>
      </c>
      <c r="R78" s="526">
        <v>0.04</v>
      </c>
      <c r="S78" s="526">
        <v>0.08</v>
      </c>
      <c r="T78" s="526">
        <v>14</v>
      </c>
      <c r="V78" s="938">
        <f>C78*0.02*2.2</f>
        <v>3.4320000000000004</v>
      </c>
      <c r="W78" s="938">
        <f t="shared" ref="W78" si="4">V78/2.2</f>
        <v>1.56</v>
      </c>
    </row>
    <row r="79" spans="1:23">
      <c r="A79" s="531" t="s">
        <v>303</v>
      </c>
      <c r="B79" s="526">
        <v>19</v>
      </c>
      <c r="C79" s="526">
        <v>69</v>
      </c>
      <c r="D79" s="526">
        <v>71</v>
      </c>
      <c r="E79" s="526">
        <v>43</v>
      </c>
      <c r="F79" s="526">
        <v>70</v>
      </c>
      <c r="G79" s="526">
        <v>25</v>
      </c>
      <c r="H79" s="526">
        <v>20</v>
      </c>
      <c r="I79" s="526">
        <v>14</v>
      </c>
      <c r="J79" s="526">
        <v>33</v>
      </c>
      <c r="K79" s="526">
        <v>35</v>
      </c>
      <c r="L79" s="526">
        <v>41</v>
      </c>
      <c r="M79" s="526">
        <v>4.8</v>
      </c>
      <c r="N79" s="526">
        <v>11</v>
      </c>
      <c r="O79" s="526">
        <v>1.27</v>
      </c>
      <c r="P79" s="526">
        <v>0.38</v>
      </c>
      <c r="Q79" s="526">
        <v>2.4</v>
      </c>
      <c r="R79" s="525"/>
      <c r="S79" s="526">
        <v>0.2</v>
      </c>
      <c r="T79" s="526">
        <v>20</v>
      </c>
    </row>
    <row r="80" spans="1:23">
      <c r="A80" s="543" t="s">
        <v>196</v>
      </c>
      <c r="B80" s="526">
        <v>90</v>
      </c>
      <c r="C80" s="526">
        <v>61</v>
      </c>
      <c r="D80" s="526">
        <v>62</v>
      </c>
      <c r="E80" s="526">
        <v>31</v>
      </c>
      <c r="F80" s="526">
        <v>61</v>
      </c>
      <c r="G80" s="526">
        <v>21</v>
      </c>
      <c r="H80" s="526">
        <v>25</v>
      </c>
      <c r="I80" s="526">
        <v>22</v>
      </c>
      <c r="J80" s="526">
        <v>32</v>
      </c>
      <c r="K80" s="526">
        <v>36</v>
      </c>
      <c r="L80" s="526">
        <v>92</v>
      </c>
      <c r="M80" s="526">
        <v>2</v>
      </c>
      <c r="N80" s="526">
        <v>9</v>
      </c>
      <c r="O80" s="526">
        <v>1.35</v>
      </c>
      <c r="P80" s="526">
        <v>0.32</v>
      </c>
      <c r="Q80" s="526">
        <v>2.4</v>
      </c>
      <c r="R80" s="526">
        <v>0.3</v>
      </c>
      <c r="S80" s="526">
        <v>0.2</v>
      </c>
      <c r="T80" s="526">
        <v>17</v>
      </c>
    </row>
    <row r="81" spans="1:23">
      <c r="A81" s="531" t="s">
        <v>449</v>
      </c>
      <c r="B81" s="526">
        <v>24</v>
      </c>
      <c r="C81" s="526">
        <v>64</v>
      </c>
      <c r="D81" s="526">
        <v>65</v>
      </c>
      <c r="E81" s="526">
        <v>36</v>
      </c>
      <c r="F81" s="526">
        <v>65</v>
      </c>
      <c r="G81" s="526">
        <v>18</v>
      </c>
      <c r="H81" s="526">
        <v>21</v>
      </c>
      <c r="I81" s="526">
        <v>24</v>
      </c>
      <c r="J81" s="526">
        <v>33</v>
      </c>
      <c r="K81" s="526">
        <v>44</v>
      </c>
      <c r="L81" s="526">
        <v>41</v>
      </c>
      <c r="M81" s="526">
        <v>4</v>
      </c>
      <c r="N81" s="526">
        <v>9</v>
      </c>
      <c r="O81" s="526">
        <v>1.7</v>
      </c>
      <c r="P81" s="526">
        <v>0.3</v>
      </c>
      <c r="Q81" s="526">
        <v>2</v>
      </c>
      <c r="R81" s="526">
        <v>0.6</v>
      </c>
      <c r="S81" s="526">
        <v>0.17</v>
      </c>
      <c r="T81" s="526">
        <v>23</v>
      </c>
    </row>
    <row r="82" spans="1:23">
      <c r="A82" s="543" t="s">
        <v>450</v>
      </c>
      <c r="B82" s="526">
        <v>88</v>
      </c>
      <c r="C82" s="526">
        <v>55</v>
      </c>
      <c r="D82" s="526">
        <v>55</v>
      </c>
      <c r="E82" s="526">
        <v>21</v>
      </c>
      <c r="F82" s="526">
        <v>55</v>
      </c>
      <c r="G82" s="526">
        <v>15</v>
      </c>
      <c r="H82" s="526">
        <v>28</v>
      </c>
      <c r="I82" s="526">
        <v>30</v>
      </c>
      <c r="J82" s="526">
        <v>39</v>
      </c>
      <c r="K82" s="526">
        <v>51</v>
      </c>
      <c r="L82" s="526">
        <v>92</v>
      </c>
      <c r="M82" s="526">
        <v>2.5</v>
      </c>
      <c r="N82" s="526">
        <v>8</v>
      </c>
      <c r="O82" s="526">
        <v>1.5</v>
      </c>
      <c r="P82" s="526">
        <v>0.25</v>
      </c>
      <c r="Q82" s="526">
        <v>1.7</v>
      </c>
      <c r="R82" s="526">
        <v>0.32</v>
      </c>
      <c r="S82" s="526">
        <v>0.17</v>
      </c>
      <c r="T82" s="526">
        <v>17</v>
      </c>
    </row>
    <row r="83" spans="1:23">
      <c r="A83" s="543" t="s">
        <v>551</v>
      </c>
      <c r="B83" s="526">
        <v>91</v>
      </c>
      <c r="C83" s="526">
        <v>53</v>
      </c>
      <c r="D83" s="526">
        <v>53</v>
      </c>
      <c r="E83" s="526">
        <v>18</v>
      </c>
      <c r="F83" s="526">
        <v>53</v>
      </c>
      <c r="G83" s="526">
        <v>16</v>
      </c>
      <c r="H83" s="526">
        <v>30</v>
      </c>
      <c r="I83" s="526">
        <v>30</v>
      </c>
      <c r="J83" s="526">
        <v>38</v>
      </c>
      <c r="K83" s="526">
        <v>50</v>
      </c>
      <c r="L83" s="526">
        <v>92</v>
      </c>
      <c r="M83" s="526">
        <v>2.4</v>
      </c>
      <c r="N83" s="526">
        <v>9</v>
      </c>
      <c r="O83" s="526">
        <v>1.27</v>
      </c>
      <c r="P83" s="526">
        <v>0.25</v>
      </c>
      <c r="Q83" s="526">
        <v>1.8</v>
      </c>
      <c r="R83" s="526">
        <v>0.37</v>
      </c>
      <c r="S83" s="526">
        <v>0.46</v>
      </c>
      <c r="T83" s="525"/>
    </row>
    <row r="84" spans="1:23">
      <c r="A84" s="531" t="s">
        <v>552</v>
      </c>
      <c r="B84" s="526">
        <v>92</v>
      </c>
      <c r="C84" s="526">
        <v>76</v>
      </c>
      <c r="D84" s="526">
        <v>81</v>
      </c>
      <c r="E84" s="526">
        <v>52</v>
      </c>
      <c r="F84" s="526">
        <v>78</v>
      </c>
      <c r="G84" s="526">
        <v>21</v>
      </c>
      <c r="H84" s="526">
        <v>56</v>
      </c>
      <c r="I84" s="526">
        <v>13</v>
      </c>
      <c r="J84" s="526">
        <v>21</v>
      </c>
      <c r="K84" s="526">
        <v>56</v>
      </c>
      <c r="L84" s="526">
        <v>23</v>
      </c>
      <c r="M84" s="526">
        <v>6.8</v>
      </c>
      <c r="N84" s="526">
        <v>7</v>
      </c>
      <c r="O84" s="526">
        <v>0.4</v>
      </c>
      <c r="P84" s="526">
        <v>0.3</v>
      </c>
      <c r="Q84" s="526">
        <v>1</v>
      </c>
      <c r="R84" s="526">
        <v>0.33</v>
      </c>
      <c r="S84" s="526">
        <v>0.04</v>
      </c>
      <c r="T84" s="525"/>
    </row>
    <row r="85" spans="1:23">
      <c r="A85" s="531" t="s">
        <v>553</v>
      </c>
      <c r="B85" s="526">
        <v>88</v>
      </c>
      <c r="C85" s="526">
        <v>20</v>
      </c>
      <c r="D85" s="526">
        <v>36</v>
      </c>
      <c r="E85" s="526">
        <v>0</v>
      </c>
      <c r="F85" s="526">
        <v>16</v>
      </c>
      <c r="G85" s="526">
        <v>13</v>
      </c>
      <c r="H85" s="525"/>
      <c r="I85" s="526">
        <v>41</v>
      </c>
      <c r="J85" s="526">
        <v>68</v>
      </c>
      <c r="K85" s="526">
        <v>77</v>
      </c>
      <c r="L85" s="526">
        <v>10</v>
      </c>
      <c r="M85" s="526">
        <v>15</v>
      </c>
      <c r="N85" s="526">
        <v>2</v>
      </c>
      <c r="O85" s="526">
        <v>0.1</v>
      </c>
      <c r="P85" s="526">
        <v>0.08</v>
      </c>
      <c r="Q85" s="525"/>
      <c r="R85" s="525"/>
      <c r="S85" s="525"/>
      <c r="T85" s="525"/>
    </row>
    <row r="86" spans="1:23">
      <c r="A86" s="531" t="s">
        <v>239</v>
      </c>
      <c r="B86" s="526">
        <v>87</v>
      </c>
      <c r="C86" s="526">
        <v>82</v>
      </c>
      <c r="D86" s="526">
        <v>89</v>
      </c>
      <c r="E86" s="526">
        <v>59</v>
      </c>
      <c r="F86" s="526">
        <v>85</v>
      </c>
      <c r="G86" s="526">
        <v>9</v>
      </c>
      <c r="H86" s="526">
        <v>52</v>
      </c>
      <c r="I86" s="526">
        <v>9</v>
      </c>
      <c r="J86" s="526">
        <v>11</v>
      </c>
      <c r="K86" s="526">
        <v>26</v>
      </c>
      <c r="L86" s="526">
        <v>56</v>
      </c>
      <c r="M86" s="526">
        <v>3.7</v>
      </c>
      <c r="N86" s="526">
        <v>2</v>
      </c>
      <c r="O86" s="526">
        <v>0.06</v>
      </c>
      <c r="P86" s="526">
        <v>0.27</v>
      </c>
      <c r="Q86" s="526">
        <v>0.5</v>
      </c>
      <c r="R86" s="526">
        <v>0.05</v>
      </c>
      <c r="S86" s="526">
        <v>0.13</v>
      </c>
      <c r="T86" s="526">
        <v>16</v>
      </c>
    </row>
    <row r="87" spans="1:23">
      <c r="A87" s="535" t="s">
        <v>206</v>
      </c>
      <c r="B87" s="526">
        <v>91</v>
      </c>
      <c r="C87" s="526">
        <v>76</v>
      </c>
      <c r="D87" s="526">
        <v>81</v>
      </c>
      <c r="E87" s="526">
        <v>52</v>
      </c>
      <c r="F87" s="526">
        <v>78</v>
      </c>
      <c r="G87" s="526">
        <v>11</v>
      </c>
      <c r="H87" s="525"/>
      <c r="I87" s="526">
        <v>10</v>
      </c>
      <c r="J87" s="526">
        <v>17</v>
      </c>
      <c r="K87" s="526">
        <v>51</v>
      </c>
      <c r="L87" s="526">
        <v>0</v>
      </c>
      <c r="M87" s="526">
        <v>6.3</v>
      </c>
      <c r="N87" s="526">
        <v>3</v>
      </c>
      <c r="O87" s="526">
        <v>0.04</v>
      </c>
      <c r="P87" s="526">
        <v>0.15</v>
      </c>
      <c r="Q87" s="526">
        <v>0.1</v>
      </c>
      <c r="R87" s="526">
        <v>0.13</v>
      </c>
      <c r="S87" s="526">
        <v>0.08</v>
      </c>
      <c r="T87" s="526">
        <v>18</v>
      </c>
      <c r="V87" s="938">
        <f>C87*0.02*2.2</f>
        <v>3.3440000000000003</v>
      </c>
      <c r="W87" s="938">
        <f t="shared" ref="W87:W93" si="5">V87/2.2</f>
        <v>1.52</v>
      </c>
    </row>
    <row r="88" spans="1:23">
      <c r="A88" s="531" t="s">
        <v>323</v>
      </c>
      <c r="B88" s="526">
        <v>29</v>
      </c>
      <c r="C88" s="526">
        <v>68</v>
      </c>
      <c r="D88" s="526">
        <v>70</v>
      </c>
      <c r="E88" s="526">
        <v>41</v>
      </c>
      <c r="F88" s="526">
        <v>69</v>
      </c>
      <c r="G88" s="526">
        <v>8</v>
      </c>
      <c r="H88" s="526">
        <v>15</v>
      </c>
      <c r="I88" s="526">
        <v>28</v>
      </c>
      <c r="J88" s="526">
        <v>36</v>
      </c>
      <c r="K88" s="526">
        <v>59</v>
      </c>
      <c r="L88" s="526">
        <v>0</v>
      </c>
      <c r="M88" s="526">
        <v>3</v>
      </c>
      <c r="N88" s="526">
        <v>5</v>
      </c>
      <c r="O88" s="526">
        <v>0.1</v>
      </c>
      <c r="P88" s="526">
        <v>0.28999999999999998</v>
      </c>
      <c r="Q88" s="526">
        <v>1</v>
      </c>
      <c r="R88" s="525"/>
      <c r="S88" s="526">
        <v>0.13</v>
      </c>
      <c r="T88" s="526">
        <v>25</v>
      </c>
      <c r="V88" s="938">
        <f>C88*0.02*2.2</f>
        <v>2.9920000000000004</v>
      </c>
      <c r="W88" s="938">
        <f t="shared" si="5"/>
        <v>1.36</v>
      </c>
    </row>
    <row r="89" spans="1:23">
      <c r="A89" s="535" t="s">
        <v>240</v>
      </c>
      <c r="B89" s="526">
        <v>90</v>
      </c>
      <c r="C89" s="526">
        <v>48</v>
      </c>
      <c r="D89" s="526">
        <v>48</v>
      </c>
      <c r="E89" s="526">
        <v>9</v>
      </c>
      <c r="F89" s="526">
        <v>47</v>
      </c>
      <c r="G89" s="526">
        <v>3</v>
      </c>
      <c r="H89" s="526">
        <v>70</v>
      </c>
      <c r="I89" s="526">
        <v>36</v>
      </c>
      <c r="J89" s="526">
        <v>39</v>
      </c>
      <c r="K89" s="526">
        <v>88</v>
      </c>
      <c r="L89" s="526">
        <v>56</v>
      </c>
      <c r="M89" s="526">
        <v>0.6</v>
      </c>
      <c r="N89" s="526">
        <v>2</v>
      </c>
      <c r="O89" s="526">
        <v>0.12</v>
      </c>
      <c r="P89" s="526">
        <v>0.04</v>
      </c>
      <c r="Q89" s="526">
        <v>0.8</v>
      </c>
      <c r="R89" s="525"/>
      <c r="S89" s="526">
        <v>0.27</v>
      </c>
      <c r="T89" s="526">
        <v>5</v>
      </c>
      <c r="V89" s="938">
        <f>C89*0.02*2.2</f>
        <v>2.1120000000000001</v>
      </c>
      <c r="W89" s="938">
        <f t="shared" si="5"/>
        <v>0.96</v>
      </c>
    </row>
    <row r="90" spans="1:23">
      <c r="A90" s="531" t="s">
        <v>225</v>
      </c>
      <c r="B90" s="526">
        <v>80</v>
      </c>
      <c r="C90" s="526">
        <v>65</v>
      </c>
      <c r="D90" s="526">
        <v>66</v>
      </c>
      <c r="E90" s="526">
        <v>37</v>
      </c>
      <c r="F90" s="526">
        <v>66</v>
      </c>
      <c r="G90" s="526">
        <v>9</v>
      </c>
      <c r="H90" s="526">
        <v>45</v>
      </c>
      <c r="I90" s="526">
        <v>25</v>
      </c>
      <c r="J90" s="526">
        <v>29</v>
      </c>
      <c r="K90" s="526">
        <v>48</v>
      </c>
      <c r="L90" s="526">
        <v>100</v>
      </c>
      <c r="M90" s="526">
        <v>2.4</v>
      </c>
      <c r="N90" s="526">
        <v>7</v>
      </c>
      <c r="O90" s="526">
        <v>0.5</v>
      </c>
      <c r="P90" s="526">
        <v>0.25</v>
      </c>
      <c r="Q90" s="526">
        <v>0.9</v>
      </c>
      <c r="R90" s="526">
        <v>0.2</v>
      </c>
      <c r="S90" s="526">
        <v>0.14000000000000001</v>
      </c>
      <c r="T90" s="525"/>
      <c r="W90" s="938">
        <f t="shared" si="5"/>
        <v>0</v>
      </c>
    </row>
    <row r="91" spans="1:23">
      <c r="A91" s="531" t="s">
        <v>207</v>
      </c>
      <c r="B91" s="526">
        <v>97</v>
      </c>
      <c r="C91" s="526">
        <v>135</v>
      </c>
      <c r="D91" s="526">
        <v>198</v>
      </c>
      <c r="E91" s="526">
        <v>160</v>
      </c>
      <c r="F91" s="526">
        <v>198</v>
      </c>
      <c r="G91" s="526">
        <v>12</v>
      </c>
      <c r="H91" s="526">
        <v>55</v>
      </c>
      <c r="I91" s="526">
        <v>6</v>
      </c>
      <c r="J91" s="526">
        <v>11</v>
      </c>
      <c r="K91" s="526">
        <v>36</v>
      </c>
      <c r="L91" s="526">
        <v>20</v>
      </c>
      <c r="M91" s="526">
        <v>44.9</v>
      </c>
      <c r="N91" s="526">
        <v>2</v>
      </c>
      <c r="O91" s="526">
        <v>0.02</v>
      </c>
      <c r="P91" s="526">
        <v>0.28000000000000003</v>
      </c>
      <c r="Q91" s="526">
        <v>0.1</v>
      </c>
      <c r="R91" s="526">
        <v>0.02</v>
      </c>
      <c r="S91" s="526">
        <v>0.17</v>
      </c>
      <c r="T91" s="526">
        <v>60</v>
      </c>
      <c r="V91" s="938">
        <f>C91*0.02*2.2</f>
        <v>5.9400000000000013</v>
      </c>
      <c r="W91" s="938">
        <f t="shared" si="5"/>
        <v>2.7</v>
      </c>
    </row>
    <row r="92" spans="1:23">
      <c r="A92" s="531" t="s">
        <v>208</v>
      </c>
      <c r="B92" s="526">
        <v>90</v>
      </c>
      <c r="C92" s="526">
        <v>80</v>
      </c>
      <c r="D92" s="526">
        <v>86</v>
      </c>
      <c r="E92" s="526">
        <v>56</v>
      </c>
      <c r="F92" s="526">
        <v>83</v>
      </c>
      <c r="G92" s="526">
        <v>22</v>
      </c>
      <c r="H92" s="526">
        <v>25</v>
      </c>
      <c r="I92" s="526">
        <v>9</v>
      </c>
      <c r="J92" s="526">
        <v>12</v>
      </c>
      <c r="K92" s="526">
        <v>38</v>
      </c>
      <c r="L92" s="526">
        <v>36</v>
      </c>
      <c r="M92" s="526">
        <v>3.2</v>
      </c>
      <c r="N92" s="526">
        <v>7</v>
      </c>
      <c r="O92" s="526">
        <v>0.11</v>
      </c>
      <c r="P92" s="526">
        <v>0.84</v>
      </c>
      <c r="Q92" s="526">
        <v>1.3</v>
      </c>
      <c r="R92" s="526">
        <v>0.25</v>
      </c>
      <c r="S92" s="526">
        <v>0.47</v>
      </c>
      <c r="T92" s="526">
        <v>84</v>
      </c>
      <c r="V92" s="938">
        <f>C92*0.02*2.2</f>
        <v>3.5200000000000005</v>
      </c>
      <c r="W92" s="938">
        <f t="shared" si="5"/>
        <v>1.6</v>
      </c>
    </row>
    <row r="93" spans="1:23">
      <c r="A93" s="531" t="s">
        <v>327</v>
      </c>
      <c r="B93" s="526">
        <v>91</v>
      </c>
      <c r="C93" s="526">
        <v>85</v>
      </c>
      <c r="D93" s="526">
        <v>93</v>
      </c>
      <c r="E93" s="526">
        <v>62</v>
      </c>
      <c r="F93" s="526">
        <v>88</v>
      </c>
      <c r="G93" s="526">
        <v>46</v>
      </c>
      <c r="H93" s="526">
        <v>63</v>
      </c>
      <c r="I93" s="526">
        <v>5</v>
      </c>
      <c r="J93" s="526">
        <v>9</v>
      </c>
      <c r="K93" s="526">
        <v>32</v>
      </c>
      <c r="L93" s="526">
        <v>23</v>
      </c>
      <c r="M93" s="526">
        <v>3.2</v>
      </c>
      <c r="N93" s="526">
        <v>3</v>
      </c>
      <c r="O93" s="526">
        <v>0.13</v>
      </c>
      <c r="P93" s="526">
        <v>0.55000000000000004</v>
      </c>
      <c r="Q93" s="526">
        <v>0.2</v>
      </c>
      <c r="R93" s="526">
        <v>7.0000000000000007E-2</v>
      </c>
      <c r="S93" s="526">
        <v>0.62</v>
      </c>
      <c r="T93" s="526">
        <v>35</v>
      </c>
      <c r="V93" s="938">
        <f>C93*0.02*2.2</f>
        <v>3.74</v>
      </c>
      <c r="W93" s="938">
        <f t="shared" si="5"/>
        <v>1.7</v>
      </c>
    </row>
    <row r="94" spans="1:23">
      <c r="A94" s="531" t="s">
        <v>322</v>
      </c>
      <c r="B94" s="526">
        <v>91</v>
      </c>
      <c r="C94" s="526">
        <v>89</v>
      </c>
      <c r="D94" s="526">
        <v>99</v>
      </c>
      <c r="E94" s="526">
        <v>67</v>
      </c>
      <c r="F94" s="526">
        <v>93</v>
      </c>
      <c r="G94" s="526">
        <v>67</v>
      </c>
      <c r="H94" s="526">
        <v>65</v>
      </c>
      <c r="I94" s="526">
        <v>3</v>
      </c>
      <c r="J94" s="526">
        <v>6</v>
      </c>
      <c r="K94" s="526">
        <v>11</v>
      </c>
      <c r="L94" s="526">
        <v>23</v>
      </c>
      <c r="M94" s="526">
        <v>2.5</v>
      </c>
      <c r="N94" s="526">
        <v>2</v>
      </c>
      <c r="O94" s="526">
        <v>0.06</v>
      </c>
      <c r="P94" s="526">
        <v>0.54</v>
      </c>
      <c r="Q94" s="526">
        <v>0.2</v>
      </c>
      <c r="R94" s="526">
        <v>0.1</v>
      </c>
      <c r="S94" s="526">
        <v>0.9</v>
      </c>
      <c r="T94" s="526">
        <v>40</v>
      </c>
      <c r="V94" s="938">
        <f>C94*0.02*2.2</f>
        <v>3.9160000000000004</v>
      </c>
      <c r="W94">
        <f>V94/2.2</f>
        <v>1.78</v>
      </c>
    </row>
    <row r="95" spans="1:23">
      <c r="A95" s="535" t="s">
        <v>348</v>
      </c>
      <c r="B95" s="526">
        <v>88</v>
      </c>
      <c r="C95" s="526">
        <v>88</v>
      </c>
      <c r="D95" s="526">
        <v>98</v>
      </c>
      <c r="E95" s="526">
        <v>65</v>
      </c>
      <c r="F95" s="526">
        <v>91</v>
      </c>
      <c r="G95" s="526">
        <v>9</v>
      </c>
      <c r="H95" s="526">
        <v>54</v>
      </c>
      <c r="I95" s="526">
        <v>2</v>
      </c>
      <c r="J95" s="526">
        <v>3</v>
      </c>
      <c r="K95" s="526">
        <v>9</v>
      </c>
      <c r="L95" s="526">
        <v>34</v>
      </c>
      <c r="M95" s="526">
        <v>4.3</v>
      </c>
      <c r="N95" s="526">
        <v>2</v>
      </c>
      <c r="O95" s="526">
        <v>0.02</v>
      </c>
      <c r="P95" s="526">
        <v>0.3</v>
      </c>
      <c r="Q95" s="526">
        <v>0.4</v>
      </c>
      <c r="R95" s="526">
        <v>0.05</v>
      </c>
      <c r="S95" s="526">
        <v>0.14000000000000001</v>
      </c>
      <c r="T95" s="526">
        <v>18</v>
      </c>
      <c r="V95" s="938">
        <f t="shared" ref="V95:V101" si="6">C95*0.02*2.2</f>
        <v>3.8720000000000003</v>
      </c>
      <c r="W95" s="938">
        <f t="shared" ref="W95:W101" si="7">V95/2.2</f>
        <v>1.76</v>
      </c>
    </row>
    <row r="96" spans="1:23">
      <c r="A96" s="535" t="s">
        <v>347</v>
      </c>
      <c r="B96" s="526">
        <v>88</v>
      </c>
      <c r="C96" s="526">
        <v>88</v>
      </c>
      <c r="D96" s="526">
        <v>98</v>
      </c>
      <c r="E96" s="526">
        <v>65</v>
      </c>
      <c r="F96" s="526">
        <v>91</v>
      </c>
      <c r="G96" s="526">
        <v>9</v>
      </c>
      <c r="H96" s="526">
        <v>58</v>
      </c>
      <c r="I96" s="526">
        <v>2</v>
      </c>
      <c r="J96" s="526">
        <v>3</v>
      </c>
      <c r="K96" s="526">
        <v>9</v>
      </c>
      <c r="L96" s="526">
        <v>60</v>
      </c>
      <c r="M96" s="526">
        <v>4.3</v>
      </c>
      <c r="N96" s="526">
        <v>2</v>
      </c>
      <c r="O96" s="526">
        <v>0.02</v>
      </c>
      <c r="P96" s="526">
        <v>0.3</v>
      </c>
      <c r="Q96" s="526">
        <v>0.4</v>
      </c>
      <c r="R96" s="526">
        <v>0.05</v>
      </c>
      <c r="S96" s="526">
        <v>0.14000000000000001</v>
      </c>
      <c r="T96" s="526">
        <v>18</v>
      </c>
      <c r="V96" s="938">
        <f t="shared" si="6"/>
        <v>3.8720000000000003</v>
      </c>
      <c r="W96" s="938">
        <f t="shared" si="7"/>
        <v>1.76</v>
      </c>
    </row>
    <row r="97" spans="1:23">
      <c r="A97" s="535" t="s">
        <v>476</v>
      </c>
      <c r="B97" s="526">
        <v>74</v>
      </c>
      <c r="C97" s="526">
        <v>93</v>
      </c>
      <c r="D97" s="526">
        <v>104</v>
      </c>
      <c r="E97" s="526">
        <v>71</v>
      </c>
      <c r="F97" s="526">
        <v>97</v>
      </c>
      <c r="G97" s="526">
        <v>10</v>
      </c>
      <c r="H97" s="526">
        <v>42</v>
      </c>
      <c r="I97" s="526">
        <v>2</v>
      </c>
      <c r="J97" s="526">
        <v>3</v>
      </c>
      <c r="K97" s="526">
        <v>9</v>
      </c>
      <c r="L97" s="526">
        <v>0</v>
      </c>
      <c r="M97" s="526">
        <v>4</v>
      </c>
      <c r="N97" s="526">
        <v>2</v>
      </c>
      <c r="O97" s="526">
        <v>0.02</v>
      </c>
      <c r="P97" s="526">
        <v>0.3</v>
      </c>
      <c r="Q97" s="526">
        <v>0.4</v>
      </c>
      <c r="R97" s="526">
        <v>0.06</v>
      </c>
      <c r="S97" s="526">
        <v>0.14000000000000001</v>
      </c>
      <c r="T97" s="526">
        <v>20</v>
      </c>
      <c r="V97" s="938">
        <f t="shared" si="6"/>
        <v>4.0920000000000005</v>
      </c>
      <c r="W97" s="938">
        <f t="shared" si="7"/>
        <v>1.86</v>
      </c>
    </row>
    <row r="98" spans="1:23">
      <c r="A98" s="535" t="s">
        <v>477</v>
      </c>
      <c r="B98" s="526">
        <v>88</v>
      </c>
      <c r="C98" s="526">
        <v>91</v>
      </c>
      <c r="D98" s="526">
        <v>102</v>
      </c>
      <c r="E98" s="526">
        <v>69</v>
      </c>
      <c r="F98" s="526">
        <v>95</v>
      </c>
      <c r="G98" s="526">
        <v>8</v>
      </c>
      <c r="H98" s="526">
        <v>54</v>
      </c>
      <c r="I98" s="526">
        <v>2</v>
      </c>
      <c r="J98" s="526">
        <v>3</v>
      </c>
      <c r="K98" s="526">
        <v>8</v>
      </c>
      <c r="L98" s="526">
        <v>60</v>
      </c>
      <c r="M98" s="526">
        <v>6.9</v>
      </c>
      <c r="N98" s="526">
        <v>2</v>
      </c>
      <c r="O98" s="526">
        <v>0.01</v>
      </c>
      <c r="P98" s="526">
        <v>0.3</v>
      </c>
      <c r="Q98" s="526">
        <v>0.3</v>
      </c>
      <c r="R98" s="526">
        <v>0.05</v>
      </c>
      <c r="S98" s="526">
        <v>0.13</v>
      </c>
      <c r="T98" s="526">
        <v>18</v>
      </c>
      <c r="V98" s="938">
        <f t="shared" si="6"/>
        <v>4.0040000000000004</v>
      </c>
      <c r="W98" s="938">
        <f t="shared" si="7"/>
        <v>1.82</v>
      </c>
    </row>
    <row r="99" spans="1:23">
      <c r="A99" s="535" t="s">
        <v>478</v>
      </c>
      <c r="B99" s="526">
        <v>92</v>
      </c>
      <c r="C99" s="526">
        <v>87</v>
      </c>
      <c r="D99" s="526">
        <v>96</v>
      </c>
      <c r="E99" s="526">
        <v>64</v>
      </c>
      <c r="F99" s="526">
        <v>90</v>
      </c>
      <c r="G99" s="526">
        <v>12</v>
      </c>
      <c r="H99" s="526">
        <v>58</v>
      </c>
      <c r="I99" s="526">
        <v>4</v>
      </c>
      <c r="J99" s="526">
        <v>4</v>
      </c>
      <c r="K99" s="526">
        <v>11</v>
      </c>
      <c r="L99" s="526">
        <v>60</v>
      </c>
      <c r="M99" s="526">
        <v>4.4000000000000004</v>
      </c>
      <c r="N99" s="526">
        <v>2</v>
      </c>
      <c r="O99" s="526">
        <v>0.03</v>
      </c>
      <c r="P99" s="526">
        <v>0.24</v>
      </c>
      <c r="Q99" s="526">
        <v>0.4</v>
      </c>
      <c r="R99" s="526">
        <v>0.05</v>
      </c>
      <c r="S99" s="526">
        <v>0.11</v>
      </c>
      <c r="T99" s="526">
        <v>18</v>
      </c>
      <c r="V99" s="938">
        <f t="shared" si="6"/>
        <v>3.8280000000000003</v>
      </c>
      <c r="W99" s="938">
        <f t="shared" si="7"/>
        <v>1.74</v>
      </c>
    </row>
    <row r="100" spans="1:23">
      <c r="A100" s="535" t="s">
        <v>475</v>
      </c>
      <c r="B100" s="526">
        <v>85</v>
      </c>
      <c r="C100" s="526">
        <v>93</v>
      </c>
      <c r="D100" s="526">
        <v>104</v>
      </c>
      <c r="E100" s="526">
        <v>71</v>
      </c>
      <c r="F100" s="526">
        <v>97</v>
      </c>
      <c r="G100" s="526">
        <v>9</v>
      </c>
      <c r="H100" s="526">
        <v>59</v>
      </c>
      <c r="I100" s="526">
        <v>2</v>
      </c>
      <c r="J100" s="526">
        <v>3</v>
      </c>
      <c r="K100" s="526">
        <v>9</v>
      </c>
      <c r="L100" s="526">
        <v>40</v>
      </c>
      <c r="M100" s="526">
        <v>4.0999999999999996</v>
      </c>
      <c r="N100" s="526">
        <v>2</v>
      </c>
      <c r="O100" s="526">
        <v>0.02</v>
      </c>
      <c r="P100" s="526">
        <v>0.27</v>
      </c>
      <c r="Q100" s="526">
        <v>0.4</v>
      </c>
      <c r="R100" s="526">
        <v>0.05</v>
      </c>
      <c r="S100" s="526">
        <v>0.14000000000000001</v>
      </c>
      <c r="T100" s="526">
        <v>18</v>
      </c>
      <c r="V100" s="938">
        <f t="shared" si="6"/>
        <v>4.0920000000000005</v>
      </c>
      <c r="W100" s="938">
        <f t="shared" si="7"/>
        <v>1.86</v>
      </c>
    </row>
    <row r="101" spans="1:23">
      <c r="A101" s="535" t="s">
        <v>554</v>
      </c>
      <c r="B101" s="526">
        <v>86</v>
      </c>
      <c r="C101" s="526">
        <v>91</v>
      </c>
      <c r="D101" s="526">
        <v>102</v>
      </c>
      <c r="E101" s="526">
        <v>69</v>
      </c>
      <c r="F101" s="526">
        <v>95</v>
      </c>
      <c r="G101" s="526">
        <v>10</v>
      </c>
      <c r="H101" s="526">
        <v>52</v>
      </c>
      <c r="I101" s="526">
        <v>3</v>
      </c>
      <c r="J101" s="526">
        <v>4</v>
      </c>
      <c r="K101" s="526">
        <v>9</v>
      </c>
      <c r="L101" s="526">
        <v>20</v>
      </c>
      <c r="M101" s="526">
        <v>4.3</v>
      </c>
      <c r="N101" s="526">
        <v>2</v>
      </c>
      <c r="O101" s="526">
        <v>0.04</v>
      </c>
      <c r="P101" s="526">
        <v>0.27</v>
      </c>
      <c r="Q101" s="526">
        <v>0.4</v>
      </c>
      <c r="R101" s="526">
        <v>0.05</v>
      </c>
      <c r="S101" s="526">
        <v>0.12</v>
      </c>
      <c r="T101" s="526">
        <v>16</v>
      </c>
      <c r="V101" s="938">
        <f t="shared" si="6"/>
        <v>4.0040000000000004</v>
      </c>
      <c r="W101" s="938">
        <f t="shared" si="7"/>
        <v>1.82</v>
      </c>
    </row>
    <row r="102" spans="1:23">
      <c r="A102" s="536" t="s">
        <v>345</v>
      </c>
      <c r="B102" s="526">
        <v>34</v>
      </c>
      <c r="C102" s="526">
        <v>72</v>
      </c>
      <c r="D102" s="526">
        <v>75</v>
      </c>
      <c r="E102" s="526">
        <v>47</v>
      </c>
      <c r="F102" s="526">
        <v>74</v>
      </c>
      <c r="G102" s="526">
        <v>8</v>
      </c>
      <c r="H102" s="526">
        <v>28</v>
      </c>
      <c r="I102" s="526">
        <v>21</v>
      </c>
      <c r="J102" s="526">
        <v>27</v>
      </c>
      <c r="K102" s="526">
        <v>46</v>
      </c>
      <c r="L102" s="526">
        <v>70</v>
      </c>
      <c r="M102" s="526">
        <v>3.1</v>
      </c>
      <c r="N102" s="526">
        <v>5</v>
      </c>
      <c r="O102" s="526">
        <v>0.28000000000000003</v>
      </c>
      <c r="P102" s="526">
        <v>0.23</v>
      </c>
      <c r="Q102" s="526">
        <v>1.1000000000000001</v>
      </c>
      <c r="R102" s="526">
        <v>0.2</v>
      </c>
      <c r="S102" s="526">
        <v>0.13</v>
      </c>
      <c r="T102" s="526">
        <v>22</v>
      </c>
      <c r="V102" s="938">
        <f>C102*0.02*2.2</f>
        <v>3.1680000000000001</v>
      </c>
      <c r="W102" s="938">
        <f>V102/2.2</f>
        <v>1.44</v>
      </c>
    </row>
    <row r="103" spans="1:23">
      <c r="A103" s="536" t="s">
        <v>227</v>
      </c>
      <c r="B103" s="526">
        <v>26</v>
      </c>
      <c r="C103" s="526">
        <v>65</v>
      </c>
      <c r="D103" s="526">
        <v>66</v>
      </c>
      <c r="E103" s="526">
        <v>37</v>
      </c>
      <c r="F103" s="526">
        <v>66</v>
      </c>
      <c r="G103" s="526">
        <v>8</v>
      </c>
      <c r="H103" s="526">
        <v>18</v>
      </c>
      <c r="I103" s="526">
        <v>26</v>
      </c>
      <c r="J103" s="526">
        <v>32</v>
      </c>
      <c r="K103" s="526">
        <v>54</v>
      </c>
      <c r="L103" s="526">
        <v>60</v>
      </c>
      <c r="M103" s="526">
        <v>2.8</v>
      </c>
      <c r="N103" s="526">
        <v>6</v>
      </c>
      <c r="O103" s="526">
        <v>0.4</v>
      </c>
      <c r="P103" s="526">
        <v>0.27</v>
      </c>
      <c r="Q103" s="526">
        <v>1.6</v>
      </c>
      <c r="R103" s="525"/>
      <c r="S103" s="526">
        <v>0.11</v>
      </c>
      <c r="T103" s="526">
        <v>20</v>
      </c>
      <c r="V103" s="938">
        <f>C103*0.02*2.2</f>
        <v>2.8600000000000003</v>
      </c>
    </row>
    <row r="104" spans="1:23">
      <c r="A104" s="536" t="s">
        <v>346</v>
      </c>
      <c r="B104" s="526">
        <v>24</v>
      </c>
      <c r="C104" s="526">
        <v>65</v>
      </c>
      <c r="D104" s="526">
        <v>66</v>
      </c>
      <c r="E104" s="526">
        <v>37</v>
      </c>
      <c r="F104" s="526">
        <v>66</v>
      </c>
      <c r="G104" s="526">
        <v>11</v>
      </c>
      <c r="H104" s="525"/>
      <c r="I104" s="526">
        <v>20</v>
      </c>
      <c r="J104" s="526">
        <v>32</v>
      </c>
      <c r="K104" s="526">
        <v>57</v>
      </c>
      <c r="L104" s="526">
        <v>60</v>
      </c>
      <c r="M104" s="526">
        <v>5</v>
      </c>
      <c r="N104" s="526">
        <v>5</v>
      </c>
      <c r="O104" s="526">
        <v>0.24</v>
      </c>
      <c r="P104" s="526">
        <v>0.26</v>
      </c>
      <c r="Q104" s="526">
        <v>1.2</v>
      </c>
      <c r="R104" s="526">
        <v>0.17</v>
      </c>
      <c r="S104" s="526">
        <v>0.16</v>
      </c>
      <c r="T104" s="526">
        <v>39</v>
      </c>
      <c r="V104" s="938">
        <f>C104*0.02*2.2</f>
        <v>2.8600000000000003</v>
      </c>
    </row>
    <row r="105" spans="1:23">
      <c r="A105" s="531" t="s">
        <v>226</v>
      </c>
      <c r="B105" s="526">
        <v>80</v>
      </c>
      <c r="C105" s="526">
        <v>54</v>
      </c>
      <c r="D105" s="526">
        <v>54</v>
      </c>
      <c r="E105" s="526">
        <v>20</v>
      </c>
      <c r="F105" s="526">
        <v>54</v>
      </c>
      <c r="G105" s="526">
        <v>5</v>
      </c>
      <c r="H105" s="526">
        <v>30</v>
      </c>
      <c r="I105" s="526">
        <v>35</v>
      </c>
      <c r="J105" s="526">
        <v>43</v>
      </c>
      <c r="K105" s="526">
        <v>70</v>
      </c>
      <c r="L105" s="526">
        <v>100</v>
      </c>
      <c r="M105" s="526">
        <v>1.3</v>
      </c>
      <c r="N105" s="526">
        <v>7</v>
      </c>
      <c r="O105" s="526">
        <v>0.45</v>
      </c>
      <c r="P105" s="526">
        <v>0.15</v>
      </c>
      <c r="Q105" s="526">
        <v>1.2</v>
      </c>
      <c r="R105" s="526">
        <v>0.3</v>
      </c>
      <c r="S105" s="526">
        <v>0.14000000000000001</v>
      </c>
      <c r="T105" s="526">
        <v>22</v>
      </c>
    </row>
    <row r="106" spans="1:23">
      <c r="A106" s="531" t="s">
        <v>224</v>
      </c>
      <c r="B106" s="526">
        <v>91</v>
      </c>
      <c r="C106" s="526">
        <v>63</v>
      </c>
      <c r="D106" s="526">
        <v>64</v>
      </c>
      <c r="E106" s="526">
        <v>34</v>
      </c>
      <c r="F106" s="526">
        <v>64</v>
      </c>
      <c r="G106" s="526">
        <v>9</v>
      </c>
      <c r="H106" s="526">
        <v>45</v>
      </c>
      <c r="I106" s="526">
        <v>21</v>
      </c>
      <c r="J106" s="526">
        <v>24</v>
      </c>
      <c r="K106" s="526">
        <v>40</v>
      </c>
      <c r="L106" s="526">
        <v>6</v>
      </c>
      <c r="M106" s="526">
        <v>2.4</v>
      </c>
      <c r="N106" s="526">
        <v>6</v>
      </c>
      <c r="O106" s="526">
        <v>0.5</v>
      </c>
      <c r="P106" s="526">
        <v>0.24</v>
      </c>
      <c r="Q106" s="526">
        <v>0.9</v>
      </c>
      <c r="R106" s="525"/>
      <c r="S106" s="526">
        <v>0.14000000000000001</v>
      </c>
      <c r="T106" s="525"/>
    </row>
    <row r="107" spans="1:23">
      <c r="A107" s="531" t="s">
        <v>451</v>
      </c>
      <c r="B107" s="526">
        <v>91</v>
      </c>
      <c r="C107" s="526">
        <v>42</v>
      </c>
      <c r="D107" s="526">
        <v>43</v>
      </c>
      <c r="E107" s="526">
        <v>0</v>
      </c>
      <c r="F107" s="526">
        <v>40</v>
      </c>
      <c r="G107" s="526">
        <v>9</v>
      </c>
      <c r="H107" s="525"/>
      <c r="I107" s="526">
        <v>35</v>
      </c>
      <c r="J107" s="526">
        <v>50</v>
      </c>
      <c r="K107" s="526">
        <v>70</v>
      </c>
      <c r="L107" s="526">
        <v>100</v>
      </c>
      <c r="M107" s="526">
        <v>2</v>
      </c>
      <c r="N107" s="526">
        <v>14</v>
      </c>
      <c r="O107" s="526">
        <v>1.4</v>
      </c>
      <c r="P107" s="526">
        <v>0.18</v>
      </c>
      <c r="Q107" s="526">
        <v>1.9</v>
      </c>
      <c r="R107" s="525"/>
      <c r="S107" s="526">
        <v>0.14000000000000001</v>
      </c>
      <c r="T107" s="526">
        <v>25</v>
      </c>
    </row>
    <row r="108" spans="1:23">
      <c r="A108" s="531" t="s">
        <v>452</v>
      </c>
      <c r="B108" s="526">
        <v>90</v>
      </c>
      <c r="C108" s="526">
        <v>45</v>
      </c>
      <c r="D108" s="526">
        <v>45</v>
      </c>
      <c r="E108" s="526">
        <v>3</v>
      </c>
      <c r="F108" s="526">
        <v>44</v>
      </c>
      <c r="G108" s="526">
        <v>5</v>
      </c>
      <c r="H108" s="526">
        <v>45</v>
      </c>
      <c r="I108" s="526">
        <v>48</v>
      </c>
      <c r="J108" s="526">
        <v>70</v>
      </c>
      <c r="K108" s="526">
        <v>87</v>
      </c>
      <c r="L108" s="526">
        <v>100</v>
      </c>
      <c r="M108" s="526">
        <v>1.8</v>
      </c>
      <c r="N108" s="526">
        <v>3</v>
      </c>
      <c r="O108" s="526">
        <v>0.15</v>
      </c>
      <c r="P108" s="526">
        <v>0.08</v>
      </c>
      <c r="Q108" s="526">
        <v>1</v>
      </c>
      <c r="R108" s="526">
        <v>0.02</v>
      </c>
      <c r="S108" s="526">
        <v>0.05</v>
      </c>
      <c r="T108" s="526">
        <v>10</v>
      </c>
    </row>
    <row r="109" spans="1:23" ht="28">
      <c r="A109" s="531" t="s">
        <v>555</v>
      </c>
      <c r="B109" s="526">
        <v>92</v>
      </c>
      <c r="C109" s="526">
        <v>79</v>
      </c>
      <c r="D109" s="526">
        <v>85</v>
      </c>
      <c r="E109" s="526">
        <v>55</v>
      </c>
      <c r="F109" s="526">
        <v>81</v>
      </c>
      <c r="G109" s="526">
        <v>46</v>
      </c>
      <c r="H109" s="526">
        <v>50</v>
      </c>
      <c r="I109" s="526">
        <v>13</v>
      </c>
      <c r="J109" s="526">
        <v>19</v>
      </c>
      <c r="K109" s="526">
        <v>31</v>
      </c>
      <c r="L109" s="526">
        <v>23</v>
      </c>
      <c r="M109" s="526">
        <v>5</v>
      </c>
      <c r="N109" s="526">
        <v>7</v>
      </c>
      <c r="O109" s="526">
        <v>0.21</v>
      </c>
      <c r="P109" s="526">
        <v>1.18</v>
      </c>
      <c r="Q109" s="526">
        <v>1.6</v>
      </c>
      <c r="R109" s="526">
        <v>0.05</v>
      </c>
      <c r="S109" s="526">
        <v>0.42</v>
      </c>
      <c r="T109" s="526">
        <v>64</v>
      </c>
    </row>
    <row r="110" spans="1:23" ht="28">
      <c r="A110" s="531" t="s">
        <v>453</v>
      </c>
      <c r="B110" s="526">
        <v>90</v>
      </c>
      <c r="C110" s="526">
        <v>77</v>
      </c>
      <c r="D110" s="526">
        <v>82</v>
      </c>
      <c r="E110" s="526">
        <v>53</v>
      </c>
      <c r="F110" s="526">
        <v>79</v>
      </c>
      <c r="G110" s="526">
        <v>47</v>
      </c>
      <c r="H110" s="526">
        <v>42</v>
      </c>
      <c r="I110" s="526">
        <v>13</v>
      </c>
      <c r="J110" s="526">
        <v>18</v>
      </c>
      <c r="K110" s="526">
        <v>25</v>
      </c>
      <c r="L110" s="526">
        <v>23</v>
      </c>
      <c r="M110" s="526">
        <v>1.5</v>
      </c>
      <c r="N110" s="526">
        <v>7</v>
      </c>
      <c r="O110" s="526">
        <v>0.22</v>
      </c>
      <c r="P110" s="526">
        <v>1.23</v>
      </c>
      <c r="Q110" s="526">
        <v>1.6</v>
      </c>
      <c r="R110" s="526">
        <v>0.05</v>
      </c>
      <c r="S110" s="526">
        <v>0.44</v>
      </c>
      <c r="T110" s="526">
        <v>66</v>
      </c>
    </row>
    <row r="111" spans="1:23">
      <c r="A111" s="531" t="s">
        <v>324</v>
      </c>
      <c r="B111" s="526">
        <v>91</v>
      </c>
      <c r="C111" s="526">
        <v>95</v>
      </c>
      <c r="D111" s="526">
        <v>107</v>
      </c>
      <c r="E111" s="526">
        <v>73</v>
      </c>
      <c r="F111" s="526">
        <v>99</v>
      </c>
      <c r="G111" s="526">
        <v>23</v>
      </c>
      <c r="H111" s="526">
        <v>38</v>
      </c>
      <c r="I111" s="526">
        <v>27</v>
      </c>
      <c r="J111" s="526">
        <v>37</v>
      </c>
      <c r="K111" s="526">
        <v>47</v>
      </c>
      <c r="L111" s="526">
        <v>100</v>
      </c>
      <c r="M111" s="526">
        <v>19.399999999999999</v>
      </c>
      <c r="N111" s="526">
        <v>5</v>
      </c>
      <c r="O111" s="526">
        <v>0.16</v>
      </c>
      <c r="P111" s="526">
        <v>0.64</v>
      </c>
      <c r="Q111" s="526">
        <v>1</v>
      </c>
      <c r="R111" s="526">
        <v>0.06</v>
      </c>
      <c r="S111" s="526">
        <v>0.24</v>
      </c>
      <c r="T111" s="526">
        <v>34</v>
      </c>
    </row>
    <row r="112" spans="1:23">
      <c r="A112" s="531" t="s">
        <v>325</v>
      </c>
      <c r="B112" s="526">
        <v>90</v>
      </c>
      <c r="C112" s="526">
        <v>95</v>
      </c>
      <c r="D112" s="526">
        <v>107</v>
      </c>
      <c r="E112" s="526">
        <v>73</v>
      </c>
      <c r="F112" s="526">
        <v>99</v>
      </c>
      <c r="G112" s="526">
        <v>24</v>
      </c>
      <c r="H112" s="526">
        <v>39</v>
      </c>
      <c r="I112" s="526">
        <v>19</v>
      </c>
      <c r="J112" s="526">
        <v>28</v>
      </c>
      <c r="K112" s="526">
        <v>40</v>
      </c>
      <c r="L112" s="526">
        <v>100</v>
      </c>
      <c r="M112" s="526">
        <v>22.9</v>
      </c>
      <c r="N112" s="526">
        <v>5</v>
      </c>
      <c r="O112" s="526">
        <v>0.12</v>
      </c>
      <c r="P112" s="526">
        <v>0.54</v>
      </c>
      <c r="Q112" s="526">
        <v>1.2</v>
      </c>
      <c r="R112" s="525"/>
      <c r="S112" s="526">
        <v>0.24</v>
      </c>
      <c r="T112" s="526">
        <v>36</v>
      </c>
    </row>
    <row r="113" spans="1:20">
      <c r="A113" s="531" t="s">
        <v>326</v>
      </c>
      <c r="B113" s="526">
        <v>92</v>
      </c>
      <c r="C113" s="526">
        <v>87</v>
      </c>
      <c r="D113" s="526">
        <v>98</v>
      </c>
      <c r="E113" s="526">
        <v>67</v>
      </c>
      <c r="F113" s="526">
        <v>91</v>
      </c>
      <c r="G113" s="526">
        <v>26</v>
      </c>
      <c r="H113" s="526">
        <v>50</v>
      </c>
      <c r="I113" s="526">
        <v>32</v>
      </c>
      <c r="J113" s="526">
        <v>44</v>
      </c>
      <c r="K113" s="526">
        <v>53</v>
      </c>
      <c r="L113" s="526">
        <v>33</v>
      </c>
      <c r="M113" s="526">
        <v>9.5</v>
      </c>
      <c r="N113" s="526">
        <v>5</v>
      </c>
      <c r="O113" s="526">
        <v>0.17</v>
      </c>
      <c r="P113" s="526">
        <v>0.68</v>
      </c>
      <c r="Q113" s="526">
        <v>1.3</v>
      </c>
      <c r="R113" s="525"/>
      <c r="S113" s="526">
        <v>0.24</v>
      </c>
      <c r="T113" s="526">
        <v>38</v>
      </c>
    </row>
    <row r="114" spans="1:20">
      <c r="A114" s="531" t="s">
        <v>556</v>
      </c>
      <c r="B114" s="526">
        <v>91</v>
      </c>
      <c r="C114" s="526">
        <v>29</v>
      </c>
      <c r="D114" s="526">
        <v>37</v>
      </c>
      <c r="E114" s="526">
        <v>0</v>
      </c>
      <c r="F114" s="526">
        <v>30</v>
      </c>
      <c r="G114" s="526">
        <v>32</v>
      </c>
      <c r="H114" s="526">
        <v>65</v>
      </c>
      <c r="I114" s="526">
        <v>11</v>
      </c>
      <c r="J114" s="526">
        <v>13</v>
      </c>
      <c r="K114" s="525"/>
      <c r="L114" s="525"/>
      <c r="M114" s="526">
        <v>3</v>
      </c>
      <c r="N114" s="526">
        <v>43</v>
      </c>
      <c r="O114" s="526">
        <v>15</v>
      </c>
      <c r="P114" s="526">
        <v>1.88</v>
      </c>
      <c r="Q114" s="526">
        <v>0.5</v>
      </c>
      <c r="R114" s="526">
        <v>1.63</v>
      </c>
      <c r="S114" s="526">
        <v>0.27</v>
      </c>
      <c r="T114" s="526">
        <v>107</v>
      </c>
    </row>
    <row r="115" spans="1:20">
      <c r="A115" s="531" t="s">
        <v>558</v>
      </c>
      <c r="B115" s="526">
        <v>92</v>
      </c>
      <c r="C115" s="526">
        <v>88</v>
      </c>
      <c r="D115" s="526">
        <v>98</v>
      </c>
      <c r="E115" s="526">
        <v>65</v>
      </c>
      <c r="F115" s="526">
        <v>91</v>
      </c>
      <c r="G115" s="526">
        <v>28</v>
      </c>
      <c r="H115" s="526">
        <v>50</v>
      </c>
      <c r="I115" s="526">
        <v>24</v>
      </c>
      <c r="J115" s="526">
        <v>33</v>
      </c>
      <c r="K115" s="526">
        <v>42</v>
      </c>
      <c r="L115" s="526">
        <v>25</v>
      </c>
      <c r="M115" s="526">
        <v>17</v>
      </c>
      <c r="N115" s="526">
        <v>7</v>
      </c>
      <c r="O115" s="526">
        <v>1.22</v>
      </c>
      <c r="P115" s="526">
        <v>0.78</v>
      </c>
      <c r="Q115" s="526">
        <v>1</v>
      </c>
      <c r="R115" s="526">
        <v>0.65</v>
      </c>
      <c r="S115" s="526">
        <v>1.18</v>
      </c>
      <c r="T115" s="526">
        <v>41</v>
      </c>
    </row>
    <row r="116" spans="1:20">
      <c r="A116" s="531" t="s">
        <v>557</v>
      </c>
      <c r="B116" s="526">
        <v>91</v>
      </c>
      <c r="C116" s="526">
        <v>81</v>
      </c>
      <c r="D116" s="526">
        <v>88</v>
      </c>
      <c r="E116" s="526">
        <v>58</v>
      </c>
      <c r="F116" s="526">
        <v>84</v>
      </c>
      <c r="G116" s="526">
        <v>31</v>
      </c>
      <c r="H116" s="526">
        <v>45</v>
      </c>
      <c r="I116" s="526">
        <v>25</v>
      </c>
      <c r="J116" s="526">
        <v>35</v>
      </c>
      <c r="K116" s="526">
        <v>47</v>
      </c>
      <c r="L116" s="526">
        <v>23</v>
      </c>
      <c r="M116" s="526">
        <v>1.4</v>
      </c>
      <c r="N116" s="526">
        <v>8</v>
      </c>
      <c r="O116" s="526">
        <v>1.27</v>
      </c>
      <c r="P116" s="526">
        <v>0.86</v>
      </c>
      <c r="Q116" s="526">
        <v>1.1000000000000001</v>
      </c>
      <c r="R116" s="526">
        <v>0.7</v>
      </c>
      <c r="S116" s="526">
        <v>1.26</v>
      </c>
      <c r="T116" s="526">
        <v>44</v>
      </c>
    </row>
    <row r="117" spans="1:20">
      <c r="A117" s="531" t="s">
        <v>559</v>
      </c>
      <c r="B117" s="526">
        <v>88</v>
      </c>
      <c r="C117" s="526">
        <v>49</v>
      </c>
      <c r="D117" s="526">
        <v>49</v>
      </c>
      <c r="E117" s="526">
        <v>11</v>
      </c>
      <c r="F117" s="526">
        <v>48</v>
      </c>
      <c r="G117" s="526">
        <v>7</v>
      </c>
      <c r="H117" s="525"/>
      <c r="I117" s="526">
        <v>26</v>
      </c>
      <c r="J117" s="526">
        <v>47</v>
      </c>
      <c r="K117" s="526">
        <v>54</v>
      </c>
      <c r="L117" s="526">
        <v>33</v>
      </c>
      <c r="M117" s="526">
        <v>15.7</v>
      </c>
      <c r="N117" s="526">
        <v>2</v>
      </c>
      <c r="O117" s="525"/>
      <c r="P117" s="525"/>
      <c r="Q117" s="525"/>
      <c r="R117" s="525"/>
      <c r="S117" s="525"/>
      <c r="T117" s="525"/>
    </row>
    <row r="118" spans="1:20">
      <c r="A118" s="531" t="s">
        <v>500</v>
      </c>
      <c r="B118" s="526">
        <v>94</v>
      </c>
      <c r="C118" s="526">
        <v>25</v>
      </c>
      <c r="D118" s="526">
        <v>36</v>
      </c>
      <c r="E118" s="526">
        <v>0</v>
      </c>
      <c r="F118" s="526">
        <v>29</v>
      </c>
      <c r="G118" s="526">
        <v>35</v>
      </c>
      <c r="H118" s="526">
        <v>74</v>
      </c>
      <c r="I118" s="526">
        <v>12</v>
      </c>
      <c r="J118" s="526">
        <v>15</v>
      </c>
      <c r="K118" s="525"/>
      <c r="L118" s="525"/>
      <c r="M118" s="525"/>
      <c r="N118" s="526">
        <v>42</v>
      </c>
      <c r="O118" s="526">
        <v>13.1</v>
      </c>
      <c r="P118" s="526">
        <v>0.85</v>
      </c>
      <c r="Q118" s="525"/>
      <c r="R118" s="525"/>
      <c r="S118" s="525"/>
      <c r="T118" s="525"/>
    </row>
    <row r="119" spans="1:20">
      <c r="A119" s="531" t="s">
        <v>254</v>
      </c>
      <c r="B119" s="526">
        <v>99</v>
      </c>
      <c r="C119" s="526">
        <v>0</v>
      </c>
      <c r="D119" s="526">
        <v>0</v>
      </c>
      <c r="E119" s="526">
        <v>0</v>
      </c>
      <c r="F119" s="526">
        <v>0</v>
      </c>
      <c r="G119" s="526">
        <v>0</v>
      </c>
      <c r="H119" s="525"/>
      <c r="I119" s="526">
        <v>0</v>
      </c>
      <c r="J119" s="526">
        <v>0</v>
      </c>
      <c r="K119" s="526">
        <v>0</v>
      </c>
      <c r="L119" s="526">
        <v>0</v>
      </c>
      <c r="M119" s="526">
        <v>0</v>
      </c>
      <c r="N119" s="526">
        <v>95</v>
      </c>
      <c r="O119" s="526">
        <v>34</v>
      </c>
      <c r="P119" s="526">
        <v>15</v>
      </c>
      <c r="Q119" s="525"/>
      <c r="R119" s="525"/>
      <c r="S119" s="525"/>
      <c r="T119" s="525"/>
    </row>
    <row r="120" spans="1:20">
      <c r="A120" s="531" t="s">
        <v>255</v>
      </c>
      <c r="B120" s="526">
        <v>99</v>
      </c>
      <c r="C120" s="526">
        <v>0</v>
      </c>
      <c r="D120" s="526">
        <v>0</v>
      </c>
      <c r="E120" s="526">
        <v>0</v>
      </c>
      <c r="F120" s="526">
        <v>0</v>
      </c>
      <c r="G120" s="526">
        <v>0</v>
      </c>
      <c r="H120" s="525"/>
      <c r="I120" s="526">
        <v>0</v>
      </c>
      <c r="J120" s="526">
        <v>0</v>
      </c>
      <c r="K120" s="526">
        <v>0</v>
      </c>
      <c r="L120" s="526">
        <v>0</v>
      </c>
      <c r="M120" s="526">
        <v>0</v>
      </c>
      <c r="N120" s="526">
        <v>95</v>
      </c>
      <c r="O120" s="526">
        <v>32.6</v>
      </c>
      <c r="P120" s="526">
        <v>18.07</v>
      </c>
      <c r="Q120" s="526">
        <v>1</v>
      </c>
      <c r="R120" s="525"/>
      <c r="S120" s="525"/>
      <c r="T120" s="526">
        <v>100</v>
      </c>
    </row>
    <row r="121" spans="1:20">
      <c r="A121" s="531" t="s">
        <v>256</v>
      </c>
      <c r="B121" s="526">
        <v>98</v>
      </c>
      <c r="C121" s="526">
        <v>0</v>
      </c>
      <c r="D121" s="526">
        <v>0</v>
      </c>
      <c r="E121" s="526">
        <v>0</v>
      </c>
      <c r="F121" s="526">
        <v>0</v>
      </c>
      <c r="G121" s="526">
        <v>115</v>
      </c>
      <c r="H121" s="526">
        <v>0</v>
      </c>
      <c r="I121" s="526">
        <v>0</v>
      </c>
      <c r="J121" s="526">
        <v>0</v>
      </c>
      <c r="K121" s="526">
        <v>0</v>
      </c>
      <c r="L121" s="526">
        <v>0</v>
      </c>
      <c r="M121" s="526">
        <v>0</v>
      </c>
      <c r="N121" s="526">
        <v>35</v>
      </c>
      <c r="O121" s="526">
        <v>0.52</v>
      </c>
      <c r="P121" s="526">
        <v>20.41</v>
      </c>
      <c r="Q121" s="526">
        <v>0</v>
      </c>
      <c r="R121" s="525"/>
      <c r="S121" s="526">
        <v>2.16</v>
      </c>
      <c r="T121" s="525"/>
    </row>
    <row r="122" spans="1:20">
      <c r="A122" s="531" t="s">
        <v>330</v>
      </c>
      <c r="B122" s="526">
        <v>96</v>
      </c>
      <c r="C122" s="526">
        <v>0</v>
      </c>
      <c r="D122" s="526">
        <v>0</v>
      </c>
      <c r="E122" s="526">
        <v>0</v>
      </c>
      <c r="F122" s="526">
        <v>0</v>
      </c>
      <c r="G122" s="526">
        <v>0</v>
      </c>
      <c r="H122" s="525"/>
      <c r="I122" s="526">
        <v>0</v>
      </c>
      <c r="J122" s="526">
        <v>0</v>
      </c>
      <c r="K122" s="526">
        <v>0</v>
      </c>
      <c r="L122" s="526">
        <v>0</v>
      </c>
      <c r="M122" s="526">
        <v>0</v>
      </c>
      <c r="N122" s="526">
        <v>94</v>
      </c>
      <c r="O122" s="526">
        <v>22</v>
      </c>
      <c r="P122" s="526">
        <v>18.649999999999999</v>
      </c>
      <c r="Q122" s="526">
        <v>0.1</v>
      </c>
      <c r="R122" s="525"/>
      <c r="S122" s="526">
        <v>1</v>
      </c>
      <c r="T122" s="526">
        <v>70</v>
      </c>
    </row>
    <row r="123" spans="1:20">
      <c r="A123" s="531" t="s">
        <v>340</v>
      </c>
      <c r="B123" s="526">
        <v>7</v>
      </c>
      <c r="C123" s="526">
        <v>92</v>
      </c>
      <c r="D123" s="526">
        <v>103</v>
      </c>
      <c r="E123" s="526">
        <v>70</v>
      </c>
      <c r="F123" s="526">
        <v>96</v>
      </c>
      <c r="G123" s="526">
        <v>22</v>
      </c>
      <c r="H123" s="526">
        <v>55</v>
      </c>
      <c r="I123" s="526">
        <v>8</v>
      </c>
      <c r="J123" s="526">
        <v>10</v>
      </c>
      <c r="K123" s="526">
        <v>21</v>
      </c>
      <c r="L123" s="526">
        <v>0</v>
      </c>
      <c r="M123" s="526">
        <v>8.1</v>
      </c>
      <c r="N123" s="526">
        <v>5</v>
      </c>
      <c r="O123" s="526">
        <v>0.14000000000000001</v>
      </c>
      <c r="P123" s="526">
        <v>0.72</v>
      </c>
      <c r="Q123" s="526">
        <v>0.2</v>
      </c>
      <c r="R123" s="525"/>
      <c r="S123" s="526">
        <v>0.6</v>
      </c>
      <c r="T123" s="526">
        <v>60</v>
      </c>
    </row>
    <row r="124" spans="1:20">
      <c r="A124" s="531" t="s">
        <v>344</v>
      </c>
      <c r="B124" s="526">
        <v>93</v>
      </c>
      <c r="C124" s="526">
        <v>87</v>
      </c>
      <c r="D124" s="526">
        <v>96</v>
      </c>
      <c r="E124" s="526">
        <v>64</v>
      </c>
      <c r="F124" s="526">
        <v>90</v>
      </c>
      <c r="G124" s="526">
        <v>29</v>
      </c>
      <c r="H124" s="526">
        <v>0</v>
      </c>
      <c r="I124" s="526">
        <v>4</v>
      </c>
      <c r="J124" s="526">
        <v>7</v>
      </c>
      <c r="K124" s="526">
        <v>22</v>
      </c>
      <c r="L124" s="526">
        <v>4</v>
      </c>
      <c r="M124" s="526">
        <v>7.5</v>
      </c>
      <c r="N124" s="526">
        <v>8</v>
      </c>
      <c r="O124" s="526">
        <v>0.35</v>
      </c>
      <c r="P124" s="526">
        <v>1.2</v>
      </c>
      <c r="Q124" s="526">
        <v>1.8</v>
      </c>
      <c r="R124" s="526">
        <v>0.28000000000000003</v>
      </c>
      <c r="S124" s="526">
        <v>0.55000000000000004</v>
      </c>
      <c r="T124" s="526">
        <v>91</v>
      </c>
    </row>
    <row r="125" spans="1:20">
      <c r="A125" s="531" t="s">
        <v>336</v>
      </c>
      <c r="B125" s="526">
        <v>90</v>
      </c>
      <c r="C125" s="526">
        <v>75</v>
      </c>
      <c r="D125" s="526">
        <v>79</v>
      </c>
      <c r="E125" s="526">
        <v>50</v>
      </c>
      <c r="F125" s="526">
        <v>77</v>
      </c>
      <c r="G125" s="526">
        <v>30</v>
      </c>
      <c r="H125" s="526">
        <v>56</v>
      </c>
      <c r="I125" s="526">
        <v>16</v>
      </c>
      <c r="J125" s="526">
        <v>20</v>
      </c>
      <c r="K125" s="526">
        <v>44</v>
      </c>
      <c r="L125" s="526">
        <v>4</v>
      </c>
      <c r="M125" s="526">
        <v>8.5</v>
      </c>
      <c r="N125" s="526">
        <v>4</v>
      </c>
      <c r="O125" s="526">
        <v>0.15</v>
      </c>
      <c r="P125" s="526">
        <v>0.67</v>
      </c>
      <c r="Q125" s="526">
        <v>1</v>
      </c>
      <c r="R125" s="526">
        <v>0.18</v>
      </c>
      <c r="S125" s="526">
        <v>0.43</v>
      </c>
      <c r="T125" s="526">
        <v>50</v>
      </c>
    </row>
    <row r="126" spans="1:20" ht="28">
      <c r="A126" s="531" t="s">
        <v>339</v>
      </c>
      <c r="B126" s="526">
        <v>90</v>
      </c>
      <c r="C126" s="526">
        <v>98</v>
      </c>
      <c r="D126" s="526">
        <v>111</v>
      </c>
      <c r="E126" s="526">
        <v>76</v>
      </c>
      <c r="F126" s="526">
        <v>103</v>
      </c>
      <c r="G126" s="526">
        <v>28</v>
      </c>
      <c r="H126" s="526">
        <v>52</v>
      </c>
      <c r="I126" s="526">
        <v>8</v>
      </c>
      <c r="J126" s="526">
        <v>16</v>
      </c>
      <c r="K126" s="526">
        <v>39</v>
      </c>
      <c r="L126" s="526">
        <v>4</v>
      </c>
      <c r="M126" s="526">
        <v>11</v>
      </c>
      <c r="N126" s="526">
        <v>5</v>
      </c>
      <c r="O126" s="526">
        <v>0.18</v>
      </c>
      <c r="P126" s="526">
        <v>0.8</v>
      </c>
      <c r="Q126" s="526">
        <v>1</v>
      </c>
      <c r="R126" s="526">
        <v>0.18</v>
      </c>
      <c r="S126" s="526">
        <v>0.5</v>
      </c>
      <c r="T126" s="526">
        <v>80</v>
      </c>
    </row>
    <row r="127" spans="1:20">
      <c r="A127" s="531" t="s">
        <v>337</v>
      </c>
      <c r="B127" s="526">
        <v>91</v>
      </c>
      <c r="C127" s="526">
        <v>99</v>
      </c>
      <c r="D127" s="526">
        <v>113</v>
      </c>
      <c r="E127" s="526">
        <v>75</v>
      </c>
      <c r="F127" s="526">
        <v>105</v>
      </c>
      <c r="G127" s="526">
        <v>30</v>
      </c>
      <c r="H127" s="526">
        <v>58</v>
      </c>
      <c r="I127" s="526">
        <v>8</v>
      </c>
      <c r="J127" s="526">
        <v>16</v>
      </c>
      <c r="K127" s="526">
        <v>40</v>
      </c>
      <c r="L127" s="526">
        <v>4</v>
      </c>
      <c r="M127" s="526">
        <v>10</v>
      </c>
      <c r="N127" s="526">
        <v>4</v>
      </c>
      <c r="O127" s="526">
        <v>0.09</v>
      </c>
      <c r="P127" s="526">
        <v>0.66</v>
      </c>
      <c r="Q127" s="526">
        <v>0.9</v>
      </c>
      <c r="R127" s="526">
        <v>0.14000000000000001</v>
      </c>
      <c r="S127" s="526">
        <v>0.45</v>
      </c>
      <c r="T127" s="526">
        <v>65</v>
      </c>
    </row>
    <row r="128" spans="1:20">
      <c r="A128" s="531" t="s">
        <v>338</v>
      </c>
      <c r="B128" s="526">
        <v>36</v>
      </c>
      <c r="C128" s="526">
        <v>101</v>
      </c>
      <c r="D128" s="526">
        <v>115</v>
      </c>
      <c r="E128" s="526">
        <v>77</v>
      </c>
      <c r="F128" s="526">
        <v>108</v>
      </c>
      <c r="G128" s="526">
        <v>28</v>
      </c>
      <c r="H128" s="526">
        <v>54</v>
      </c>
      <c r="I128" s="526">
        <v>8</v>
      </c>
      <c r="J128" s="526">
        <v>16</v>
      </c>
      <c r="K128" s="526">
        <v>40</v>
      </c>
      <c r="L128" s="526">
        <v>4</v>
      </c>
      <c r="M128" s="526">
        <v>10</v>
      </c>
      <c r="N128" s="526">
        <v>4</v>
      </c>
      <c r="O128" s="526">
        <v>0.09</v>
      </c>
      <c r="P128" s="526">
        <v>0.66</v>
      </c>
      <c r="Q128" s="526">
        <v>0.9</v>
      </c>
      <c r="R128" s="526">
        <v>0.14000000000000001</v>
      </c>
      <c r="S128" s="526">
        <v>0.45</v>
      </c>
      <c r="T128" s="526">
        <v>65</v>
      </c>
    </row>
    <row r="129" spans="1:20" ht="28">
      <c r="A129" s="531" t="s">
        <v>343</v>
      </c>
      <c r="B129" s="526">
        <v>92</v>
      </c>
      <c r="C129" s="526">
        <v>85</v>
      </c>
      <c r="D129" s="526">
        <v>93</v>
      </c>
      <c r="E129" s="526">
        <v>62</v>
      </c>
      <c r="F129" s="526">
        <v>88</v>
      </c>
      <c r="G129" s="526">
        <v>33</v>
      </c>
      <c r="H129" s="526">
        <v>53</v>
      </c>
      <c r="I129" s="526">
        <v>12</v>
      </c>
      <c r="J129" s="526">
        <v>18</v>
      </c>
      <c r="K129" s="526">
        <v>42</v>
      </c>
      <c r="L129" s="526">
        <v>4</v>
      </c>
      <c r="M129" s="526">
        <v>10</v>
      </c>
      <c r="N129" s="526">
        <v>4</v>
      </c>
      <c r="O129" s="526">
        <v>0.23</v>
      </c>
      <c r="P129" s="526">
        <v>0.7</v>
      </c>
      <c r="Q129" s="526">
        <v>0.5</v>
      </c>
      <c r="R129" s="525"/>
      <c r="S129" s="526">
        <v>0.4</v>
      </c>
      <c r="T129" s="526">
        <v>55</v>
      </c>
    </row>
    <row r="130" spans="1:20">
      <c r="A130" s="531" t="s">
        <v>341</v>
      </c>
      <c r="B130" s="526">
        <v>91</v>
      </c>
      <c r="C130" s="526">
        <v>84</v>
      </c>
      <c r="D130" s="526">
        <v>92</v>
      </c>
      <c r="E130" s="526">
        <v>61</v>
      </c>
      <c r="F130" s="526">
        <v>87</v>
      </c>
      <c r="G130" s="526">
        <v>33</v>
      </c>
      <c r="H130" s="526">
        <v>62</v>
      </c>
      <c r="I130" s="526">
        <v>13</v>
      </c>
      <c r="J130" s="526">
        <v>20</v>
      </c>
      <c r="K130" s="526">
        <v>44</v>
      </c>
      <c r="L130" s="526">
        <v>4</v>
      </c>
      <c r="M130" s="526">
        <v>10</v>
      </c>
      <c r="N130" s="526">
        <v>4</v>
      </c>
      <c r="O130" s="526">
        <v>0.2</v>
      </c>
      <c r="P130" s="526">
        <v>0.68</v>
      </c>
      <c r="Q130" s="526">
        <v>0.3</v>
      </c>
      <c r="R130" s="525"/>
      <c r="S130" s="526">
        <v>0.45</v>
      </c>
      <c r="T130" s="526">
        <v>50</v>
      </c>
    </row>
    <row r="131" spans="1:20">
      <c r="A131" s="531" t="s">
        <v>342</v>
      </c>
      <c r="B131" s="526">
        <v>35</v>
      </c>
      <c r="C131" s="526">
        <v>86</v>
      </c>
      <c r="D131" s="526">
        <v>95</v>
      </c>
      <c r="E131" s="526">
        <v>63</v>
      </c>
      <c r="F131" s="526">
        <v>89</v>
      </c>
      <c r="G131" s="526">
        <v>33</v>
      </c>
      <c r="H131" s="526">
        <v>55</v>
      </c>
      <c r="I131" s="526">
        <v>13</v>
      </c>
      <c r="J131" s="526">
        <v>19</v>
      </c>
      <c r="K131" s="526">
        <v>43</v>
      </c>
      <c r="L131" s="526">
        <v>4</v>
      </c>
      <c r="M131" s="526">
        <v>10</v>
      </c>
      <c r="N131" s="526">
        <v>4</v>
      </c>
      <c r="O131" s="526">
        <v>0.2</v>
      </c>
      <c r="P131" s="526">
        <v>0.68</v>
      </c>
      <c r="Q131" s="526">
        <v>0.3</v>
      </c>
      <c r="R131" s="525"/>
      <c r="S131" s="526">
        <v>0.45</v>
      </c>
      <c r="T131" s="526">
        <v>50</v>
      </c>
    </row>
    <row r="132" spans="1:20">
      <c r="A132" s="531" t="s">
        <v>466</v>
      </c>
      <c r="B132" s="526">
        <v>25</v>
      </c>
      <c r="C132" s="526">
        <v>90</v>
      </c>
      <c r="D132" s="526">
        <v>100</v>
      </c>
      <c r="E132" s="526">
        <v>68</v>
      </c>
      <c r="F132" s="526">
        <v>94</v>
      </c>
      <c r="G132" s="526">
        <v>28</v>
      </c>
      <c r="H132" s="526">
        <v>52</v>
      </c>
      <c r="I132" s="526">
        <v>8</v>
      </c>
      <c r="J132" s="526">
        <v>18</v>
      </c>
      <c r="K132" s="526">
        <v>40</v>
      </c>
      <c r="L132" s="526">
        <v>4</v>
      </c>
      <c r="M132" s="526">
        <v>9.6</v>
      </c>
      <c r="N132" s="526">
        <v>6</v>
      </c>
      <c r="O132" s="526">
        <v>0.28000000000000003</v>
      </c>
      <c r="P132" s="526">
        <v>0.78</v>
      </c>
      <c r="Q132" s="526">
        <v>1.2</v>
      </c>
      <c r="R132" s="526">
        <v>0.28000000000000003</v>
      </c>
      <c r="S132" s="526">
        <v>0.4</v>
      </c>
      <c r="T132" s="526">
        <v>95</v>
      </c>
    </row>
    <row r="133" spans="1:20" ht="28">
      <c r="A133" s="543" t="s">
        <v>579</v>
      </c>
      <c r="B133" s="526">
        <v>92</v>
      </c>
      <c r="C133" s="526">
        <v>55</v>
      </c>
      <c r="D133" s="526">
        <v>55</v>
      </c>
      <c r="E133" s="526">
        <v>21</v>
      </c>
      <c r="F133" s="526">
        <v>54</v>
      </c>
      <c r="G133" s="526">
        <v>9</v>
      </c>
      <c r="H133" s="525"/>
      <c r="I133" s="526">
        <v>24</v>
      </c>
      <c r="J133" s="526">
        <v>46</v>
      </c>
      <c r="K133" s="526">
        <v>63</v>
      </c>
      <c r="L133" s="526">
        <v>85</v>
      </c>
      <c r="M133" s="526">
        <v>2</v>
      </c>
      <c r="N133" s="526">
        <v>10</v>
      </c>
      <c r="O133" s="526">
        <v>0.35</v>
      </c>
      <c r="P133" s="526">
        <v>0.3</v>
      </c>
      <c r="Q133" s="526">
        <v>1.3</v>
      </c>
      <c r="R133" s="525"/>
      <c r="S133" s="526">
        <v>0.1</v>
      </c>
      <c r="T133" s="525"/>
    </row>
    <row r="134" spans="1:20">
      <c r="A134" s="531" t="s">
        <v>116</v>
      </c>
      <c r="B134" s="526">
        <v>99</v>
      </c>
      <c r="C134" s="526">
        <v>195</v>
      </c>
      <c r="D134" s="526">
        <v>285</v>
      </c>
      <c r="E134" s="526">
        <v>230</v>
      </c>
      <c r="F134" s="526">
        <v>285</v>
      </c>
      <c r="G134" s="526">
        <v>0</v>
      </c>
      <c r="H134" s="525"/>
      <c r="I134" s="526">
        <v>0</v>
      </c>
      <c r="J134" s="526">
        <v>0</v>
      </c>
      <c r="K134" s="526">
        <v>0</v>
      </c>
      <c r="L134" s="526">
        <v>0</v>
      </c>
      <c r="M134" s="526">
        <v>99</v>
      </c>
      <c r="N134" s="526">
        <v>0</v>
      </c>
      <c r="O134" s="526">
        <v>0</v>
      </c>
      <c r="P134" s="526">
        <v>0</v>
      </c>
      <c r="Q134" s="526">
        <v>0</v>
      </c>
      <c r="R134" s="525"/>
      <c r="S134" s="525"/>
      <c r="T134" s="525"/>
    </row>
    <row r="135" spans="1:20">
      <c r="A135" s="531" t="s">
        <v>117</v>
      </c>
      <c r="B135" s="526">
        <v>93</v>
      </c>
      <c r="C135" s="526">
        <v>67</v>
      </c>
      <c r="D135" s="526">
        <v>69</v>
      </c>
      <c r="E135" s="526">
        <v>40</v>
      </c>
      <c r="F135" s="526">
        <v>68</v>
      </c>
      <c r="G135" s="526">
        <v>87</v>
      </c>
      <c r="H135" s="526">
        <v>68</v>
      </c>
      <c r="I135" s="526">
        <v>1</v>
      </c>
      <c r="J135" s="526">
        <v>14</v>
      </c>
      <c r="K135" s="526">
        <v>42</v>
      </c>
      <c r="L135" s="526">
        <v>23</v>
      </c>
      <c r="M135" s="526">
        <v>7</v>
      </c>
      <c r="N135" s="526">
        <v>3</v>
      </c>
      <c r="O135" s="526">
        <v>0.48</v>
      </c>
      <c r="P135" s="526">
        <v>0.45</v>
      </c>
      <c r="Q135" s="526">
        <v>0.1</v>
      </c>
      <c r="R135" s="526">
        <v>0.2</v>
      </c>
      <c r="S135" s="526">
        <v>1.82</v>
      </c>
      <c r="T135" s="526">
        <v>90</v>
      </c>
    </row>
    <row r="136" spans="1:20">
      <c r="A136" s="531" t="s">
        <v>121</v>
      </c>
      <c r="B136" s="526">
        <v>94</v>
      </c>
      <c r="C136" s="526">
        <v>43</v>
      </c>
      <c r="D136" s="526">
        <v>44</v>
      </c>
      <c r="E136" s="526">
        <v>0</v>
      </c>
      <c r="F136" s="526">
        <v>41</v>
      </c>
      <c r="G136" s="526">
        <v>4</v>
      </c>
      <c r="H136" s="525"/>
      <c r="I136" s="526">
        <v>41</v>
      </c>
      <c r="J136" s="525"/>
      <c r="K136" s="525"/>
      <c r="L136" s="525"/>
      <c r="M136" s="526">
        <v>1.1000000000000001</v>
      </c>
      <c r="N136" s="526">
        <v>6</v>
      </c>
      <c r="O136" s="526">
        <v>0</v>
      </c>
      <c r="P136" s="526">
        <v>0.06</v>
      </c>
      <c r="Q136" s="525"/>
      <c r="R136" s="525"/>
      <c r="S136" s="525"/>
      <c r="T136" s="525"/>
    </row>
    <row r="137" spans="1:20">
      <c r="A137" s="531" t="s">
        <v>118</v>
      </c>
      <c r="B137" s="526">
        <v>29</v>
      </c>
      <c r="C137" s="526">
        <v>64</v>
      </c>
      <c r="D137" s="526">
        <v>65</v>
      </c>
      <c r="E137" s="526">
        <v>36</v>
      </c>
      <c r="F137" s="526">
        <v>65</v>
      </c>
      <c r="G137" s="526">
        <v>15</v>
      </c>
      <c r="H137" s="526">
        <v>20</v>
      </c>
      <c r="I137" s="526">
        <v>25</v>
      </c>
      <c r="J137" s="526">
        <v>32</v>
      </c>
      <c r="K137" s="526">
        <v>64</v>
      </c>
      <c r="L137" s="526">
        <v>40</v>
      </c>
      <c r="M137" s="526">
        <v>5.5</v>
      </c>
      <c r="N137" s="526">
        <v>9</v>
      </c>
      <c r="O137" s="526">
        <v>0.48</v>
      </c>
      <c r="P137" s="526">
        <v>0.37</v>
      </c>
      <c r="Q137" s="526">
        <v>2.5</v>
      </c>
      <c r="R137" s="525"/>
      <c r="S137" s="526">
        <v>0.18</v>
      </c>
      <c r="T137" s="526">
        <v>22</v>
      </c>
    </row>
    <row r="138" spans="1:20">
      <c r="A138" s="543" t="s">
        <v>119</v>
      </c>
      <c r="B138" s="526">
        <v>88</v>
      </c>
      <c r="C138" s="526">
        <v>65</v>
      </c>
      <c r="D138" s="526">
        <v>66</v>
      </c>
      <c r="E138" s="526">
        <v>37</v>
      </c>
      <c r="F138" s="526">
        <v>66</v>
      </c>
      <c r="G138" s="526">
        <v>18</v>
      </c>
      <c r="H138" s="526">
        <v>22</v>
      </c>
      <c r="I138" s="526">
        <v>25</v>
      </c>
      <c r="J138" s="526">
        <v>31</v>
      </c>
      <c r="K138" s="526">
        <v>64</v>
      </c>
      <c r="L138" s="526">
        <v>98</v>
      </c>
      <c r="M138" s="526">
        <v>6.6</v>
      </c>
      <c r="N138" s="526">
        <v>8</v>
      </c>
      <c r="O138" s="526">
        <v>0.48</v>
      </c>
      <c r="P138" s="526">
        <v>0.36</v>
      </c>
      <c r="Q138" s="526">
        <v>2.6</v>
      </c>
      <c r="R138" s="525"/>
      <c r="S138" s="526">
        <v>0.27</v>
      </c>
      <c r="T138" s="526">
        <v>24</v>
      </c>
    </row>
    <row r="139" spans="1:20">
      <c r="A139" s="543" t="s">
        <v>120</v>
      </c>
      <c r="B139" s="526">
        <v>88</v>
      </c>
      <c r="C139" s="526">
        <v>52</v>
      </c>
      <c r="D139" s="526">
        <v>52</v>
      </c>
      <c r="E139" s="526">
        <v>16</v>
      </c>
      <c r="F139" s="526">
        <v>51</v>
      </c>
      <c r="G139" s="526">
        <v>11</v>
      </c>
      <c r="H139" s="526">
        <v>30</v>
      </c>
      <c r="I139" s="526">
        <v>30</v>
      </c>
      <c r="J139" s="526">
        <v>42</v>
      </c>
      <c r="K139" s="526">
        <v>73</v>
      </c>
      <c r="L139" s="526">
        <v>98</v>
      </c>
      <c r="M139" s="526">
        <v>5</v>
      </c>
      <c r="N139" s="526">
        <v>6</v>
      </c>
      <c r="O139" s="526">
        <v>0.45</v>
      </c>
      <c r="P139" s="526">
        <v>0.26</v>
      </c>
      <c r="Q139" s="526">
        <v>1.7</v>
      </c>
      <c r="R139" s="525"/>
      <c r="S139" s="526">
        <v>0.14000000000000001</v>
      </c>
      <c r="T139" s="526">
        <v>22</v>
      </c>
    </row>
    <row r="140" spans="1:20">
      <c r="A140" s="531" t="s">
        <v>122</v>
      </c>
      <c r="B140" s="526">
        <v>90</v>
      </c>
      <c r="C140" s="526">
        <v>74</v>
      </c>
      <c r="D140" s="526">
        <v>78</v>
      </c>
      <c r="E140" s="526">
        <v>49</v>
      </c>
      <c r="F140" s="526">
        <v>76</v>
      </c>
      <c r="G140" s="526">
        <v>66</v>
      </c>
      <c r="H140" s="526">
        <v>60</v>
      </c>
      <c r="I140" s="526">
        <v>1</v>
      </c>
      <c r="J140" s="526">
        <v>2</v>
      </c>
      <c r="K140" s="526">
        <v>12</v>
      </c>
      <c r="L140" s="526">
        <v>10</v>
      </c>
      <c r="M140" s="526">
        <v>9</v>
      </c>
      <c r="N140" s="526">
        <v>20</v>
      </c>
      <c r="O140" s="526">
        <v>5.55</v>
      </c>
      <c r="P140" s="526">
        <v>3.15</v>
      </c>
      <c r="Q140" s="526">
        <v>0.7</v>
      </c>
      <c r="R140" s="526">
        <v>0.76</v>
      </c>
      <c r="S140" s="526">
        <v>0.8</v>
      </c>
      <c r="T140" s="526">
        <v>130</v>
      </c>
    </row>
    <row r="141" spans="1:20">
      <c r="A141" s="531" t="s">
        <v>123</v>
      </c>
      <c r="B141" s="526">
        <v>91</v>
      </c>
      <c r="C141" s="526">
        <v>38</v>
      </c>
      <c r="D141" s="526">
        <v>40</v>
      </c>
      <c r="E141" s="526">
        <v>0</v>
      </c>
      <c r="F141" s="526">
        <v>36</v>
      </c>
      <c r="G141" s="526">
        <v>9</v>
      </c>
      <c r="H141" s="525"/>
      <c r="I141" s="526">
        <v>32</v>
      </c>
      <c r="J141" s="526">
        <v>39</v>
      </c>
      <c r="K141" s="526">
        <v>50</v>
      </c>
      <c r="L141" s="526">
        <v>98</v>
      </c>
      <c r="M141" s="526">
        <v>1.5</v>
      </c>
      <c r="N141" s="526">
        <v>10</v>
      </c>
      <c r="O141" s="525"/>
      <c r="P141" s="525"/>
      <c r="Q141" s="525"/>
      <c r="R141" s="525"/>
      <c r="S141" s="525"/>
      <c r="T141" s="525"/>
    </row>
    <row r="142" spans="1:20">
      <c r="A142" s="531" t="s">
        <v>124</v>
      </c>
      <c r="B142" s="526">
        <v>23</v>
      </c>
      <c r="C142" s="526">
        <v>80</v>
      </c>
      <c r="D142" s="526">
        <v>86</v>
      </c>
      <c r="E142" s="526">
        <v>56</v>
      </c>
      <c r="F142" s="526">
        <v>83</v>
      </c>
      <c r="G142" s="526">
        <v>16</v>
      </c>
      <c r="H142" s="525"/>
      <c r="I142" s="526">
        <v>9</v>
      </c>
      <c r="J142" s="526">
        <v>50</v>
      </c>
      <c r="K142" s="526">
        <v>59</v>
      </c>
      <c r="L142" s="526">
        <v>30</v>
      </c>
      <c r="M142" s="526">
        <v>20</v>
      </c>
      <c r="N142" s="526">
        <v>10</v>
      </c>
      <c r="O142" s="526">
        <v>1.2</v>
      </c>
      <c r="P142" s="526">
        <v>0.43</v>
      </c>
      <c r="Q142" s="526">
        <v>0.6</v>
      </c>
      <c r="R142" s="526">
        <v>0.67</v>
      </c>
      <c r="S142" s="525"/>
      <c r="T142" s="525"/>
    </row>
    <row r="143" spans="1:20">
      <c r="A143" s="531" t="s">
        <v>228</v>
      </c>
      <c r="B143" s="526">
        <v>88</v>
      </c>
      <c r="C143" s="526">
        <v>90</v>
      </c>
      <c r="D143" s="526">
        <v>100</v>
      </c>
      <c r="E143" s="526">
        <v>68</v>
      </c>
      <c r="F143" s="526">
        <v>94</v>
      </c>
      <c r="G143" s="526">
        <v>0</v>
      </c>
      <c r="H143" s="526">
        <v>0</v>
      </c>
      <c r="I143" s="526">
        <v>0</v>
      </c>
      <c r="J143" s="526">
        <v>0</v>
      </c>
      <c r="K143" s="526">
        <v>0</v>
      </c>
      <c r="L143" s="526">
        <v>0</v>
      </c>
      <c r="M143" s="526">
        <v>0</v>
      </c>
      <c r="N143" s="526">
        <v>5</v>
      </c>
      <c r="O143" s="525"/>
      <c r="P143" s="525"/>
      <c r="Q143" s="525"/>
      <c r="R143" s="526">
        <v>3</v>
      </c>
      <c r="S143" s="525"/>
      <c r="T143" s="525"/>
    </row>
    <row r="144" spans="1:20">
      <c r="A144" s="531" t="s">
        <v>112</v>
      </c>
      <c r="B144" s="526">
        <v>92</v>
      </c>
      <c r="C144" s="526">
        <v>73</v>
      </c>
      <c r="D144" s="526">
        <v>77</v>
      </c>
      <c r="E144" s="526">
        <v>48</v>
      </c>
      <c r="F144" s="526">
        <v>75</v>
      </c>
      <c r="G144" s="526">
        <v>10</v>
      </c>
      <c r="H144" s="525"/>
      <c r="I144" s="526">
        <v>11</v>
      </c>
      <c r="J144" s="525"/>
      <c r="K144" s="525"/>
      <c r="L144" s="525"/>
      <c r="M144" s="526">
        <v>2.2000000000000002</v>
      </c>
      <c r="N144" s="526">
        <v>10</v>
      </c>
      <c r="O144" s="526">
        <v>0.3</v>
      </c>
      <c r="P144" s="526">
        <v>0.18</v>
      </c>
      <c r="Q144" s="525"/>
      <c r="R144" s="525"/>
      <c r="S144" s="525"/>
      <c r="T144" s="526">
        <v>42</v>
      </c>
    </row>
    <row r="145" spans="1:22">
      <c r="A145" s="531" t="s">
        <v>229</v>
      </c>
      <c r="B145" s="526">
        <v>90</v>
      </c>
      <c r="C145" s="526">
        <v>65</v>
      </c>
      <c r="D145" s="526">
        <v>66</v>
      </c>
      <c r="E145" s="526">
        <v>37</v>
      </c>
      <c r="F145" s="526">
        <v>66</v>
      </c>
      <c r="G145" s="526">
        <v>14</v>
      </c>
      <c r="H145" s="525"/>
      <c r="I145" s="526">
        <v>14</v>
      </c>
      <c r="J145" s="525"/>
      <c r="K145" s="525"/>
      <c r="L145" s="525"/>
      <c r="M145" s="526">
        <v>5.5</v>
      </c>
      <c r="N145" s="526">
        <v>9</v>
      </c>
      <c r="O145" s="526">
        <v>0.25</v>
      </c>
      <c r="P145" s="526">
        <v>0.34</v>
      </c>
      <c r="Q145" s="525"/>
      <c r="R145" s="525"/>
      <c r="S145" s="525"/>
      <c r="T145" s="526">
        <v>30</v>
      </c>
    </row>
    <row r="146" spans="1:22">
      <c r="A146" s="531" t="s">
        <v>113</v>
      </c>
      <c r="B146" s="526">
        <v>91</v>
      </c>
      <c r="C146" s="526">
        <v>40</v>
      </c>
      <c r="D146" s="526">
        <v>42</v>
      </c>
      <c r="E146" s="526">
        <v>0</v>
      </c>
      <c r="F146" s="526">
        <v>38</v>
      </c>
      <c r="G146" s="526">
        <v>12</v>
      </c>
      <c r="H146" s="526">
        <v>45</v>
      </c>
      <c r="I146" s="526">
        <v>32</v>
      </c>
      <c r="J146" s="526">
        <v>46</v>
      </c>
      <c r="K146" s="526">
        <v>54</v>
      </c>
      <c r="L146" s="526">
        <v>34</v>
      </c>
      <c r="M146" s="526">
        <v>7.6</v>
      </c>
      <c r="N146" s="526">
        <v>9</v>
      </c>
      <c r="O146" s="526">
        <v>0.55000000000000004</v>
      </c>
      <c r="P146" s="526">
        <v>7.0000000000000007E-2</v>
      </c>
      <c r="Q146" s="526">
        <v>0.6</v>
      </c>
      <c r="R146" s="526">
        <v>0.01</v>
      </c>
      <c r="S146" s="525"/>
      <c r="T146" s="526">
        <v>24</v>
      </c>
    </row>
    <row r="147" spans="1:22">
      <c r="A147" s="543" t="s">
        <v>479</v>
      </c>
      <c r="B147" s="526">
        <v>88</v>
      </c>
      <c r="C147" s="526">
        <v>58</v>
      </c>
      <c r="D147" s="526">
        <v>58</v>
      </c>
      <c r="E147" s="526">
        <v>26</v>
      </c>
      <c r="F147" s="526">
        <v>58</v>
      </c>
      <c r="G147" s="526">
        <v>10</v>
      </c>
      <c r="H147" s="526">
        <v>30</v>
      </c>
      <c r="I147" s="526">
        <v>33</v>
      </c>
      <c r="J147" s="526">
        <v>41</v>
      </c>
      <c r="K147" s="526">
        <v>63</v>
      </c>
      <c r="L147" s="526">
        <v>98</v>
      </c>
      <c r="M147" s="526">
        <v>3</v>
      </c>
      <c r="N147" s="526">
        <v>6</v>
      </c>
      <c r="O147" s="526">
        <v>0.6</v>
      </c>
      <c r="P147" s="526">
        <v>0.21</v>
      </c>
      <c r="Q147" s="526">
        <v>2</v>
      </c>
      <c r="R147" s="525"/>
      <c r="S147" s="526">
        <v>0.2</v>
      </c>
      <c r="T147" s="526">
        <v>28</v>
      </c>
      <c r="V147" s="938">
        <f>C147*0.02*2.2</f>
        <v>2.552</v>
      </c>
    </row>
    <row r="148" spans="1:22">
      <c r="A148" s="531" t="s">
        <v>480</v>
      </c>
      <c r="B148" s="526">
        <v>30</v>
      </c>
      <c r="C148" s="526">
        <v>61</v>
      </c>
      <c r="D148" s="526">
        <v>62</v>
      </c>
      <c r="E148" s="526">
        <v>31</v>
      </c>
      <c r="F148" s="526">
        <v>61</v>
      </c>
      <c r="G148" s="526">
        <v>11</v>
      </c>
      <c r="H148" s="526">
        <v>24</v>
      </c>
      <c r="I148" s="526">
        <v>32</v>
      </c>
      <c r="J148" s="526">
        <v>39</v>
      </c>
      <c r="K148" s="526">
        <v>60</v>
      </c>
      <c r="L148" s="526">
        <v>61</v>
      </c>
      <c r="M148" s="526">
        <v>3.4</v>
      </c>
      <c r="N148" s="526">
        <v>8</v>
      </c>
      <c r="O148" s="526">
        <v>0.7</v>
      </c>
      <c r="P148" s="526">
        <v>0.24</v>
      </c>
      <c r="Q148" s="526">
        <v>2.1</v>
      </c>
      <c r="R148" s="525"/>
      <c r="S148" s="526">
        <v>0.22</v>
      </c>
      <c r="T148" s="526">
        <v>29</v>
      </c>
    </row>
    <row r="149" spans="1:22">
      <c r="A149" s="531" t="s">
        <v>481</v>
      </c>
      <c r="B149" s="526">
        <v>90</v>
      </c>
      <c r="C149" s="526">
        <v>72</v>
      </c>
      <c r="D149" s="526">
        <v>75</v>
      </c>
      <c r="E149" s="526">
        <v>47</v>
      </c>
      <c r="F149" s="526">
        <v>74</v>
      </c>
      <c r="G149" s="526">
        <v>39</v>
      </c>
      <c r="H149" s="526">
        <v>34</v>
      </c>
      <c r="I149" s="526">
        <v>16</v>
      </c>
      <c r="J149" s="525"/>
      <c r="K149" s="525"/>
      <c r="L149" s="525"/>
      <c r="M149" s="526">
        <v>3.9</v>
      </c>
      <c r="N149" s="526">
        <v>5</v>
      </c>
      <c r="O149" s="525"/>
      <c r="P149" s="525"/>
      <c r="Q149" s="525"/>
      <c r="R149" s="525"/>
      <c r="S149" s="525"/>
      <c r="T149" s="525"/>
    </row>
    <row r="150" spans="1:22">
      <c r="A150" s="531" t="s">
        <v>482</v>
      </c>
      <c r="B150" s="526">
        <v>90</v>
      </c>
      <c r="C150" s="526">
        <v>89</v>
      </c>
      <c r="D150" s="526">
        <v>99</v>
      </c>
      <c r="E150" s="526">
        <v>67</v>
      </c>
      <c r="F150" s="526">
        <v>93</v>
      </c>
      <c r="G150" s="526">
        <v>11</v>
      </c>
      <c r="H150" s="526">
        <v>48</v>
      </c>
      <c r="I150" s="526">
        <v>5</v>
      </c>
      <c r="J150" s="526">
        <v>8</v>
      </c>
      <c r="K150" s="526">
        <v>21</v>
      </c>
      <c r="L150" s="526">
        <v>9</v>
      </c>
      <c r="M150" s="526">
        <v>6.5</v>
      </c>
      <c r="N150" s="526">
        <v>3</v>
      </c>
      <c r="O150" s="526">
        <v>0.04</v>
      </c>
      <c r="P150" s="526">
        <v>0.55000000000000004</v>
      </c>
      <c r="Q150" s="526">
        <v>0.6</v>
      </c>
      <c r="R150" s="526">
        <v>0.06</v>
      </c>
      <c r="S150" s="526">
        <v>0.1</v>
      </c>
      <c r="T150" s="526">
        <v>32</v>
      </c>
    </row>
    <row r="151" spans="1:22">
      <c r="A151" s="531" t="s">
        <v>483</v>
      </c>
      <c r="B151" s="526">
        <v>37</v>
      </c>
      <c r="C151" s="526">
        <v>49</v>
      </c>
      <c r="D151" s="526">
        <v>49</v>
      </c>
      <c r="E151" s="526">
        <v>11</v>
      </c>
      <c r="F151" s="526">
        <v>48</v>
      </c>
      <c r="G151" s="526">
        <v>15</v>
      </c>
      <c r="H151" s="525"/>
      <c r="I151" s="526">
        <v>15</v>
      </c>
      <c r="J151" s="525"/>
      <c r="K151" s="525"/>
      <c r="L151" s="525"/>
      <c r="M151" s="526">
        <v>3.6</v>
      </c>
      <c r="N151" s="526">
        <v>35</v>
      </c>
      <c r="O151" s="526">
        <v>2.8</v>
      </c>
      <c r="P151" s="526">
        <v>0.64</v>
      </c>
      <c r="Q151" s="525"/>
      <c r="R151" s="525"/>
      <c r="S151" s="525"/>
      <c r="T151" s="525"/>
    </row>
    <row r="152" spans="1:22">
      <c r="A152" s="531" t="s">
        <v>349</v>
      </c>
      <c r="B152" s="526">
        <v>30</v>
      </c>
      <c r="C152" s="526">
        <v>53</v>
      </c>
      <c r="D152" s="526">
        <v>53</v>
      </c>
      <c r="E152" s="526">
        <v>18</v>
      </c>
      <c r="F152" s="526">
        <v>53</v>
      </c>
      <c r="G152" s="526">
        <v>15</v>
      </c>
      <c r="H152" s="525"/>
      <c r="I152" s="526">
        <v>21</v>
      </c>
      <c r="J152" s="526">
        <v>24</v>
      </c>
      <c r="K152" s="525"/>
      <c r="L152" s="525"/>
      <c r="M152" s="526">
        <v>3.1</v>
      </c>
      <c r="N152" s="526">
        <v>20</v>
      </c>
      <c r="O152" s="526">
        <v>3.3</v>
      </c>
      <c r="P152" s="526">
        <v>0.37</v>
      </c>
      <c r="Q152" s="526">
        <v>1.8</v>
      </c>
      <c r="R152" s="525"/>
      <c r="S152" s="526">
        <v>0.22</v>
      </c>
      <c r="T152" s="526">
        <v>44</v>
      </c>
    </row>
    <row r="153" spans="1:22">
      <c r="A153" s="531" t="s">
        <v>350</v>
      </c>
      <c r="B153" s="526">
        <v>89</v>
      </c>
      <c r="C153" s="526">
        <v>35</v>
      </c>
      <c r="D153" s="526">
        <v>39</v>
      </c>
      <c r="E153" s="526">
        <v>0</v>
      </c>
      <c r="F153" s="526">
        <v>33</v>
      </c>
      <c r="G153" s="526">
        <v>23</v>
      </c>
      <c r="H153" s="525"/>
      <c r="I153" s="526">
        <v>26</v>
      </c>
      <c r="J153" s="526">
        <v>30</v>
      </c>
      <c r="K153" s="525"/>
      <c r="L153" s="525"/>
      <c r="M153" s="526">
        <v>4.5999999999999996</v>
      </c>
      <c r="N153" s="526">
        <v>7</v>
      </c>
      <c r="O153" s="526">
        <v>1.6</v>
      </c>
      <c r="P153" s="526">
        <v>0.6</v>
      </c>
      <c r="Q153" s="525"/>
      <c r="R153" s="525"/>
      <c r="S153" s="525"/>
      <c r="T153" s="525"/>
    </row>
    <row r="154" spans="1:22">
      <c r="A154" s="531" t="s">
        <v>351</v>
      </c>
      <c r="B154" s="526">
        <v>91</v>
      </c>
      <c r="C154" s="526">
        <v>32</v>
      </c>
      <c r="D154" s="526">
        <v>38</v>
      </c>
      <c r="E154" s="526">
        <v>0</v>
      </c>
      <c r="F154" s="526">
        <v>29</v>
      </c>
      <c r="G154" s="526">
        <v>7</v>
      </c>
      <c r="H154" s="525"/>
      <c r="I154" s="526">
        <v>7</v>
      </c>
      <c r="J154" s="526">
        <v>10</v>
      </c>
      <c r="K154" s="525"/>
      <c r="L154" s="525"/>
      <c r="M154" s="526">
        <v>0.5</v>
      </c>
      <c r="N154" s="526">
        <v>39</v>
      </c>
      <c r="O154" s="526">
        <v>2.72</v>
      </c>
      <c r="P154" s="526">
        <v>0.31</v>
      </c>
      <c r="Q154" s="525"/>
      <c r="R154" s="525"/>
      <c r="S154" s="525"/>
      <c r="T154" s="525"/>
    </row>
    <row r="155" spans="1:22">
      <c r="A155" s="543" t="s">
        <v>352</v>
      </c>
      <c r="B155" s="526">
        <v>92</v>
      </c>
      <c r="C155" s="526">
        <v>48</v>
      </c>
      <c r="D155" s="526">
        <v>48</v>
      </c>
      <c r="E155" s="526">
        <v>9</v>
      </c>
      <c r="F155" s="526">
        <v>47</v>
      </c>
      <c r="G155" s="526">
        <v>10</v>
      </c>
      <c r="H155" s="525"/>
      <c r="I155" s="526">
        <v>31</v>
      </c>
      <c r="J155" s="526">
        <v>44</v>
      </c>
      <c r="K155" s="526">
        <v>56</v>
      </c>
      <c r="L155" s="526">
        <v>98</v>
      </c>
      <c r="M155" s="526">
        <v>2.9</v>
      </c>
      <c r="N155" s="526">
        <v>12</v>
      </c>
      <c r="O155" s="525"/>
      <c r="P155" s="525"/>
      <c r="Q155" s="525"/>
      <c r="R155" s="525"/>
      <c r="S155" s="525"/>
      <c r="T155" s="525"/>
    </row>
    <row r="156" spans="1:22">
      <c r="A156" s="531" t="s">
        <v>353</v>
      </c>
      <c r="B156" s="526">
        <v>29</v>
      </c>
      <c r="C156" s="526">
        <v>55</v>
      </c>
      <c r="D156" s="526">
        <v>55</v>
      </c>
      <c r="E156" s="526">
        <v>21</v>
      </c>
      <c r="F156" s="526">
        <v>55</v>
      </c>
      <c r="G156" s="526">
        <v>16</v>
      </c>
      <c r="H156" s="525"/>
      <c r="I156" s="526">
        <v>23</v>
      </c>
      <c r="J156" s="525"/>
      <c r="K156" s="525"/>
      <c r="L156" s="525"/>
      <c r="M156" s="526">
        <v>1.2</v>
      </c>
      <c r="N156" s="526">
        <v>18</v>
      </c>
      <c r="O156" s="526">
        <v>1.1000000000000001</v>
      </c>
      <c r="P156" s="526">
        <v>0.3</v>
      </c>
      <c r="Q156" s="525"/>
      <c r="R156" s="525"/>
      <c r="S156" s="525"/>
      <c r="T156" s="525"/>
    </row>
    <row r="157" spans="1:22">
      <c r="A157" s="543" t="s">
        <v>354</v>
      </c>
      <c r="B157" s="526">
        <v>90</v>
      </c>
      <c r="C157" s="526">
        <v>53</v>
      </c>
      <c r="D157" s="526">
        <v>53</v>
      </c>
      <c r="E157" s="526">
        <v>18</v>
      </c>
      <c r="F157" s="526">
        <v>53</v>
      </c>
      <c r="G157" s="526">
        <v>14</v>
      </c>
      <c r="H157" s="525"/>
      <c r="I157" s="526">
        <v>27</v>
      </c>
      <c r="J157" s="525"/>
      <c r="K157" s="525"/>
      <c r="L157" s="525"/>
      <c r="M157" s="526">
        <v>1.7</v>
      </c>
      <c r="N157" s="526">
        <v>14</v>
      </c>
      <c r="O157" s="526">
        <v>1</v>
      </c>
      <c r="P157" s="526">
        <v>0.2</v>
      </c>
      <c r="Q157" s="525"/>
      <c r="R157" s="525"/>
      <c r="S157" s="525"/>
      <c r="T157" s="525"/>
    </row>
    <row r="158" spans="1:22">
      <c r="A158" s="543" t="s">
        <v>355</v>
      </c>
      <c r="B158" s="526">
        <v>90</v>
      </c>
      <c r="C158" s="526">
        <v>54</v>
      </c>
      <c r="D158" s="526">
        <v>54</v>
      </c>
      <c r="E158" s="526">
        <v>20</v>
      </c>
      <c r="F158" s="526">
        <v>54</v>
      </c>
      <c r="G158" s="526">
        <v>16</v>
      </c>
      <c r="H158" s="525"/>
      <c r="I158" s="526">
        <v>33</v>
      </c>
      <c r="J158" s="525"/>
      <c r="K158" s="525"/>
      <c r="L158" s="525"/>
      <c r="M158" s="526">
        <v>2.6</v>
      </c>
      <c r="N158" s="526">
        <v>7</v>
      </c>
      <c r="O158" s="526">
        <v>3</v>
      </c>
      <c r="P158" s="526">
        <v>0.23</v>
      </c>
      <c r="Q158" s="525"/>
      <c r="R158" s="525"/>
      <c r="S158" s="525"/>
      <c r="T158" s="525"/>
    </row>
    <row r="159" spans="1:22">
      <c r="A159" s="531" t="s">
        <v>127</v>
      </c>
      <c r="B159" s="526">
        <v>25</v>
      </c>
      <c r="C159" s="526">
        <v>60</v>
      </c>
      <c r="D159" s="526">
        <v>60</v>
      </c>
      <c r="E159" s="526">
        <v>30</v>
      </c>
      <c r="F159" s="526">
        <v>60</v>
      </c>
      <c r="G159" s="526">
        <v>16</v>
      </c>
      <c r="H159" s="526">
        <v>50</v>
      </c>
      <c r="I159" s="526">
        <v>32</v>
      </c>
      <c r="J159" s="525"/>
      <c r="K159" s="525"/>
      <c r="L159" s="525"/>
      <c r="M159" s="526">
        <v>2</v>
      </c>
      <c r="N159" s="526">
        <v>10</v>
      </c>
      <c r="O159" s="526">
        <v>1.2</v>
      </c>
      <c r="P159" s="526">
        <v>0.24</v>
      </c>
      <c r="Q159" s="526">
        <v>1.1000000000000001</v>
      </c>
      <c r="R159" s="525"/>
      <c r="S159" s="526">
        <v>0.21</v>
      </c>
      <c r="T159" s="525"/>
    </row>
    <row r="160" spans="1:22">
      <c r="A160" s="543" t="s">
        <v>128</v>
      </c>
      <c r="B160" s="526">
        <v>92</v>
      </c>
      <c r="C160" s="526">
        <v>54</v>
      </c>
      <c r="D160" s="526">
        <v>54</v>
      </c>
      <c r="E160" s="526">
        <v>20</v>
      </c>
      <c r="F160" s="526">
        <v>54</v>
      </c>
      <c r="G160" s="526">
        <v>14</v>
      </c>
      <c r="H160" s="526">
        <v>60</v>
      </c>
      <c r="I160" s="526">
        <v>30</v>
      </c>
      <c r="J160" s="525"/>
      <c r="K160" s="525"/>
      <c r="L160" s="525"/>
      <c r="M160" s="526">
        <v>3</v>
      </c>
      <c r="N160" s="526">
        <v>7</v>
      </c>
      <c r="O160" s="526">
        <v>1.1000000000000001</v>
      </c>
      <c r="P160" s="526">
        <v>0.22</v>
      </c>
      <c r="Q160" s="526">
        <v>1</v>
      </c>
      <c r="R160" s="525"/>
      <c r="S160" s="526">
        <v>0.19</v>
      </c>
      <c r="T160" s="526">
        <v>29</v>
      </c>
    </row>
    <row r="161" spans="1:20">
      <c r="A161" s="531" t="s">
        <v>130</v>
      </c>
      <c r="B161" s="526">
        <v>99</v>
      </c>
      <c r="C161" s="526">
        <v>0</v>
      </c>
      <c r="D161" s="526">
        <v>0</v>
      </c>
      <c r="E161" s="526">
        <v>0</v>
      </c>
      <c r="F161" s="526">
        <v>0</v>
      </c>
      <c r="G161" s="526">
        <v>0</v>
      </c>
      <c r="H161" s="526">
        <v>0</v>
      </c>
      <c r="I161" s="526">
        <v>0</v>
      </c>
      <c r="J161" s="526">
        <v>0</v>
      </c>
      <c r="K161" s="526">
        <v>0</v>
      </c>
      <c r="L161" s="526">
        <v>0</v>
      </c>
      <c r="M161" s="526">
        <v>0</v>
      </c>
      <c r="N161" s="526">
        <v>98</v>
      </c>
      <c r="O161" s="526">
        <v>22.3</v>
      </c>
      <c r="P161" s="526">
        <v>0.04</v>
      </c>
      <c r="Q161" s="526">
        <v>0.4</v>
      </c>
      <c r="R161" s="525"/>
      <c r="S161" s="525"/>
      <c r="T161" s="525"/>
    </row>
    <row r="162" spans="1:20">
      <c r="A162" s="531" t="s">
        <v>129</v>
      </c>
      <c r="B162" s="526">
        <v>98</v>
      </c>
      <c r="C162" s="526">
        <v>0</v>
      </c>
      <c r="D162" s="526">
        <v>0</v>
      </c>
      <c r="E162" s="526">
        <v>0</v>
      </c>
      <c r="F162" s="526">
        <v>0</v>
      </c>
      <c r="G162" s="526">
        <v>0</v>
      </c>
      <c r="H162" s="526">
        <v>0</v>
      </c>
      <c r="I162" s="526">
        <v>0</v>
      </c>
      <c r="J162" s="526">
        <v>0</v>
      </c>
      <c r="K162" s="526">
        <v>0</v>
      </c>
      <c r="L162" s="526">
        <v>0</v>
      </c>
      <c r="M162" s="526">
        <v>0</v>
      </c>
      <c r="N162" s="526">
        <v>98</v>
      </c>
      <c r="O162" s="526">
        <v>34</v>
      </c>
      <c r="P162" s="526">
        <v>0.02</v>
      </c>
      <c r="Q162" s="525"/>
      <c r="R162" s="525"/>
      <c r="S162" s="526">
        <v>0.03</v>
      </c>
      <c r="T162" s="525"/>
    </row>
    <row r="163" spans="1:20">
      <c r="A163" s="531" t="s">
        <v>132</v>
      </c>
      <c r="B163" s="526">
        <v>91</v>
      </c>
      <c r="C163" s="526">
        <v>82</v>
      </c>
      <c r="D163" s="526">
        <v>89</v>
      </c>
      <c r="E163" s="526">
        <v>59</v>
      </c>
      <c r="F163" s="526">
        <v>85</v>
      </c>
      <c r="G163" s="526">
        <v>37</v>
      </c>
      <c r="H163" s="526">
        <v>40</v>
      </c>
      <c r="I163" s="526">
        <v>10</v>
      </c>
      <c r="J163" s="526">
        <v>17</v>
      </c>
      <c r="K163" s="526">
        <v>24</v>
      </c>
      <c r="L163" s="526">
        <v>23</v>
      </c>
      <c r="M163" s="526">
        <v>6</v>
      </c>
      <c r="N163" s="526">
        <v>6</v>
      </c>
      <c r="O163" s="526">
        <v>0.42</v>
      </c>
      <c r="P163" s="526">
        <v>0.9</v>
      </c>
      <c r="Q163" s="526">
        <v>1.4</v>
      </c>
      <c r="R163" s="526">
        <v>0.04</v>
      </c>
      <c r="S163" s="526">
        <v>0.46</v>
      </c>
      <c r="T163" s="526">
        <v>59</v>
      </c>
    </row>
    <row r="164" spans="1:20">
      <c r="A164" s="531" t="s">
        <v>131</v>
      </c>
      <c r="B164" s="526">
        <v>91</v>
      </c>
      <c r="C164" s="526">
        <v>77</v>
      </c>
      <c r="D164" s="526">
        <v>82</v>
      </c>
      <c r="E164" s="526">
        <v>53</v>
      </c>
      <c r="F164" s="526">
        <v>79</v>
      </c>
      <c r="G164" s="526">
        <v>38</v>
      </c>
      <c r="H164" s="526">
        <v>36</v>
      </c>
      <c r="I164" s="526">
        <v>10</v>
      </c>
      <c r="J164" s="526">
        <v>18</v>
      </c>
      <c r="K164" s="526">
        <v>25</v>
      </c>
      <c r="L164" s="526">
        <v>23</v>
      </c>
      <c r="M164" s="526">
        <v>1.7</v>
      </c>
      <c r="N164" s="526">
        <v>6</v>
      </c>
      <c r="O164" s="526">
        <v>0.43</v>
      </c>
      <c r="P164" s="526">
        <v>0.91</v>
      </c>
      <c r="Q164" s="526">
        <v>1.5</v>
      </c>
      <c r="R164" s="526">
        <v>0.04</v>
      </c>
      <c r="S164" s="526">
        <v>0.47</v>
      </c>
      <c r="T164" s="526">
        <v>60</v>
      </c>
    </row>
    <row r="165" spans="1:20">
      <c r="A165" s="543" t="s">
        <v>78</v>
      </c>
      <c r="B165" s="526">
        <v>90</v>
      </c>
      <c r="C165" s="526">
        <v>50</v>
      </c>
      <c r="D165" s="526">
        <v>50</v>
      </c>
      <c r="E165" s="526">
        <v>12</v>
      </c>
      <c r="F165" s="526">
        <v>49</v>
      </c>
      <c r="G165" s="526">
        <v>7</v>
      </c>
      <c r="H165" s="526">
        <v>23</v>
      </c>
      <c r="I165" s="526">
        <v>33</v>
      </c>
      <c r="J165" s="526">
        <v>44</v>
      </c>
      <c r="K165" s="526">
        <v>70</v>
      </c>
      <c r="L165" s="526">
        <v>98</v>
      </c>
      <c r="M165" s="526">
        <v>2.5</v>
      </c>
      <c r="N165" s="526">
        <v>9</v>
      </c>
      <c r="O165" s="526">
        <v>0.61</v>
      </c>
      <c r="P165" s="526">
        <v>0.18</v>
      </c>
      <c r="Q165" s="526">
        <v>1.6</v>
      </c>
      <c r="R165" s="525"/>
      <c r="S165" s="526">
        <v>0.17</v>
      </c>
      <c r="T165" s="526">
        <v>24</v>
      </c>
    </row>
    <row r="166" spans="1:20" ht="28">
      <c r="A166" s="531" t="s">
        <v>140</v>
      </c>
      <c r="B166" s="526">
        <v>93</v>
      </c>
      <c r="C166" s="526">
        <v>72</v>
      </c>
      <c r="D166" s="526">
        <v>75</v>
      </c>
      <c r="E166" s="526">
        <v>47</v>
      </c>
      <c r="F166" s="526">
        <v>74</v>
      </c>
      <c r="G166" s="526">
        <v>56</v>
      </c>
      <c r="H166" s="526">
        <v>24</v>
      </c>
      <c r="I166" s="526">
        <v>1</v>
      </c>
      <c r="J166" s="526">
        <v>5</v>
      </c>
      <c r="K166" s="526">
        <v>34</v>
      </c>
      <c r="L166" s="526">
        <v>0</v>
      </c>
      <c r="M166" s="526">
        <v>10</v>
      </c>
      <c r="N166" s="526">
        <v>29</v>
      </c>
      <c r="O166" s="526">
        <v>13.5</v>
      </c>
      <c r="P166" s="526">
        <v>6.5</v>
      </c>
      <c r="Q166" s="525"/>
      <c r="R166" s="525"/>
      <c r="S166" s="525"/>
      <c r="T166" s="525"/>
    </row>
    <row r="167" spans="1:20">
      <c r="A167" s="531" t="s">
        <v>134</v>
      </c>
      <c r="B167" s="526">
        <v>93</v>
      </c>
      <c r="C167" s="526">
        <v>71</v>
      </c>
      <c r="D167" s="526">
        <v>74</v>
      </c>
      <c r="E167" s="526">
        <v>46</v>
      </c>
      <c r="F167" s="526">
        <v>73</v>
      </c>
      <c r="G167" s="526">
        <v>56</v>
      </c>
      <c r="H167" s="526">
        <v>64</v>
      </c>
      <c r="I167" s="526">
        <v>2</v>
      </c>
      <c r="J167" s="526">
        <v>7</v>
      </c>
      <c r="K167" s="526">
        <v>48</v>
      </c>
      <c r="L167" s="526">
        <v>0</v>
      </c>
      <c r="M167" s="526">
        <v>10.5</v>
      </c>
      <c r="N167" s="526">
        <v>24</v>
      </c>
      <c r="O167" s="526">
        <v>9</v>
      </c>
      <c r="P167" s="526">
        <v>4.42</v>
      </c>
      <c r="Q167" s="526">
        <v>0.5</v>
      </c>
      <c r="R167" s="526">
        <v>1.27</v>
      </c>
      <c r="S167" s="526">
        <v>0.48</v>
      </c>
      <c r="T167" s="526">
        <v>190</v>
      </c>
    </row>
    <row r="168" spans="1:20">
      <c r="A168" s="531" t="s">
        <v>141</v>
      </c>
      <c r="B168" s="526">
        <v>94</v>
      </c>
      <c r="C168" s="526">
        <v>87</v>
      </c>
      <c r="D168" s="526">
        <v>96</v>
      </c>
      <c r="E168" s="526">
        <v>64</v>
      </c>
      <c r="F168" s="526">
        <v>90</v>
      </c>
      <c r="G168" s="526">
        <v>36</v>
      </c>
      <c r="H168" s="526">
        <v>0</v>
      </c>
      <c r="I168" s="526">
        <v>0</v>
      </c>
      <c r="J168" s="526">
        <v>0</v>
      </c>
      <c r="K168" s="526">
        <v>0</v>
      </c>
      <c r="L168" s="526">
        <v>0</v>
      </c>
      <c r="M168" s="526">
        <v>0.9</v>
      </c>
      <c r="N168" s="526">
        <v>8</v>
      </c>
      <c r="O168" s="526">
        <v>1.36</v>
      </c>
      <c r="P168" s="526">
        <v>1.0900000000000001</v>
      </c>
      <c r="Q168" s="526">
        <v>1.7</v>
      </c>
      <c r="R168" s="526">
        <v>0.96</v>
      </c>
      <c r="S168" s="526">
        <v>0.34</v>
      </c>
      <c r="T168" s="526">
        <v>41</v>
      </c>
    </row>
    <row r="169" spans="1:20">
      <c r="A169" s="531" t="s">
        <v>237</v>
      </c>
      <c r="B169" s="526">
        <v>27</v>
      </c>
      <c r="C169" s="526">
        <v>55</v>
      </c>
      <c r="D169" s="526">
        <v>55</v>
      </c>
      <c r="E169" s="526">
        <v>21</v>
      </c>
      <c r="F169" s="526">
        <v>55</v>
      </c>
      <c r="G169" s="526">
        <v>14</v>
      </c>
      <c r="H169" s="525"/>
      <c r="I169" s="526">
        <v>24</v>
      </c>
      <c r="J169" s="525"/>
      <c r="K169" s="525"/>
      <c r="L169" s="525"/>
      <c r="M169" s="526">
        <v>1.8</v>
      </c>
      <c r="N169" s="526">
        <v>16</v>
      </c>
      <c r="O169" s="526">
        <v>1.1000000000000001</v>
      </c>
      <c r="P169" s="526">
        <v>0.56999999999999995</v>
      </c>
      <c r="Q169" s="525"/>
      <c r="R169" s="525"/>
      <c r="S169" s="525"/>
      <c r="T169" s="525"/>
    </row>
    <row r="170" spans="1:20">
      <c r="A170" s="531" t="s">
        <v>135</v>
      </c>
      <c r="B170" s="526">
        <v>77</v>
      </c>
      <c r="C170" s="526">
        <v>75</v>
      </c>
      <c r="D170" s="526">
        <v>79</v>
      </c>
      <c r="E170" s="526">
        <v>50</v>
      </c>
      <c r="F170" s="526">
        <v>77</v>
      </c>
      <c r="G170" s="526">
        <v>8</v>
      </c>
      <c r="H170" s="526">
        <v>0</v>
      </c>
      <c r="I170" s="526">
        <v>0</v>
      </c>
      <c r="J170" s="526">
        <v>0</v>
      </c>
      <c r="K170" s="526">
        <v>0</v>
      </c>
      <c r="L170" s="526">
        <v>0</v>
      </c>
      <c r="M170" s="526">
        <v>0.2</v>
      </c>
      <c r="N170" s="526">
        <v>12</v>
      </c>
      <c r="O170" s="526">
        <v>0.14000000000000001</v>
      </c>
      <c r="P170" s="526">
        <v>0.03</v>
      </c>
      <c r="Q170" s="526">
        <v>6</v>
      </c>
      <c r="R170" s="526">
        <v>1.64</v>
      </c>
      <c r="S170" s="526">
        <v>0.6</v>
      </c>
      <c r="T170" s="526">
        <v>18</v>
      </c>
    </row>
    <row r="171" spans="1:20">
      <c r="A171" s="531" t="s">
        <v>136</v>
      </c>
      <c r="B171" s="526">
        <v>77</v>
      </c>
      <c r="C171" s="526">
        <v>74</v>
      </c>
      <c r="D171" s="526">
        <v>78</v>
      </c>
      <c r="E171" s="526">
        <v>49</v>
      </c>
      <c r="F171" s="526">
        <v>76</v>
      </c>
      <c r="G171" s="526">
        <v>6</v>
      </c>
      <c r="H171" s="526">
        <v>0</v>
      </c>
      <c r="I171" s="526">
        <v>0</v>
      </c>
      <c r="J171" s="526">
        <v>0</v>
      </c>
      <c r="K171" s="526">
        <v>0</v>
      </c>
      <c r="L171" s="526">
        <v>0</v>
      </c>
      <c r="M171" s="526">
        <v>0.5</v>
      </c>
      <c r="N171" s="526">
        <v>14</v>
      </c>
      <c r="O171" s="526">
        <v>0.95</v>
      </c>
      <c r="P171" s="526">
        <v>0.09</v>
      </c>
      <c r="Q171" s="526">
        <v>4.2</v>
      </c>
      <c r="R171" s="526">
        <v>2.2999999999999998</v>
      </c>
      <c r="S171" s="526">
        <v>0.68</v>
      </c>
      <c r="T171" s="526">
        <v>15</v>
      </c>
    </row>
    <row r="172" spans="1:20">
      <c r="A172" s="531" t="s">
        <v>133</v>
      </c>
      <c r="B172" s="526">
        <v>94</v>
      </c>
      <c r="C172" s="526">
        <v>74</v>
      </c>
      <c r="D172" s="526">
        <v>78</v>
      </c>
      <c r="E172" s="526">
        <v>49</v>
      </c>
      <c r="F172" s="526">
        <v>76</v>
      </c>
      <c r="G172" s="526">
        <v>9</v>
      </c>
      <c r="H172" s="526">
        <v>0</v>
      </c>
      <c r="I172" s="526">
        <v>2</v>
      </c>
      <c r="J172" s="526">
        <v>3</v>
      </c>
      <c r="K172" s="526">
        <v>7</v>
      </c>
      <c r="L172" s="526">
        <v>0</v>
      </c>
      <c r="M172" s="526">
        <v>0.3</v>
      </c>
      <c r="N172" s="526">
        <v>14</v>
      </c>
      <c r="O172" s="526">
        <v>1.1000000000000001</v>
      </c>
      <c r="P172" s="526">
        <v>0.15</v>
      </c>
      <c r="Q172" s="526">
        <v>3.6</v>
      </c>
      <c r="R172" s="526">
        <v>3</v>
      </c>
      <c r="S172" s="525"/>
      <c r="T172" s="526">
        <v>30</v>
      </c>
    </row>
    <row r="173" spans="1:20">
      <c r="A173" s="531" t="s">
        <v>138</v>
      </c>
      <c r="B173" s="526">
        <v>65</v>
      </c>
      <c r="C173" s="526">
        <v>75</v>
      </c>
      <c r="D173" s="526">
        <v>79</v>
      </c>
      <c r="E173" s="526">
        <v>50</v>
      </c>
      <c r="F173" s="526">
        <v>77</v>
      </c>
      <c r="G173" s="526">
        <v>9</v>
      </c>
      <c r="H173" s="526">
        <v>0</v>
      </c>
      <c r="I173" s="526">
        <v>0</v>
      </c>
      <c r="J173" s="526">
        <v>0</v>
      </c>
      <c r="K173" s="526">
        <v>0</v>
      </c>
      <c r="L173" s="526">
        <v>0</v>
      </c>
      <c r="M173" s="526">
        <v>0.3</v>
      </c>
      <c r="N173" s="526">
        <v>8</v>
      </c>
      <c r="O173" s="526">
        <v>1.84</v>
      </c>
      <c r="P173" s="526">
        <v>0.15</v>
      </c>
      <c r="Q173" s="526">
        <v>0.2</v>
      </c>
      <c r="R173" s="526">
        <v>0.11</v>
      </c>
      <c r="S173" s="526">
        <v>0.23</v>
      </c>
      <c r="T173" s="526">
        <v>137</v>
      </c>
    </row>
    <row r="174" spans="1:20">
      <c r="A174" s="531" t="s">
        <v>139</v>
      </c>
      <c r="B174" s="526">
        <v>61</v>
      </c>
      <c r="C174" s="526">
        <v>70</v>
      </c>
      <c r="D174" s="526">
        <v>73</v>
      </c>
      <c r="E174" s="526">
        <v>44</v>
      </c>
      <c r="F174" s="526">
        <v>71</v>
      </c>
      <c r="G174" s="526">
        <v>1</v>
      </c>
      <c r="H174" s="526">
        <v>0</v>
      </c>
      <c r="I174" s="526">
        <v>1</v>
      </c>
      <c r="J174" s="526">
        <v>2</v>
      </c>
      <c r="K174" s="526">
        <v>4</v>
      </c>
      <c r="L174" s="526">
        <v>0</v>
      </c>
      <c r="M174" s="526">
        <v>0.6</v>
      </c>
      <c r="N174" s="526">
        <v>7</v>
      </c>
      <c r="O174" s="526">
        <v>1.1000000000000001</v>
      </c>
      <c r="P174" s="526">
        <v>0.1</v>
      </c>
      <c r="Q174" s="526">
        <v>0.1</v>
      </c>
      <c r="R174" s="525"/>
      <c r="S174" s="526">
        <v>0.05</v>
      </c>
      <c r="T174" s="525"/>
    </row>
    <row r="175" spans="1:20" ht="28">
      <c r="A175" s="531" t="s">
        <v>137</v>
      </c>
      <c r="B175" s="526">
        <v>43</v>
      </c>
      <c r="C175" s="526">
        <v>69</v>
      </c>
      <c r="D175" s="526">
        <v>71</v>
      </c>
      <c r="E175" s="526">
        <v>43</v>
      </c>
      <c r="F175" s="526">
        <v>70</v>
      </c>
      <c r="G175" s="526">
        <v>16</v>
      </c>
      <c r="H175" s="526">
        <v>0</v>
      </c>
      <c r="I175" s="526">
        <v>0</v>
      </c>
      <c r="J175" s="526">
        <v>0</v>
      </c>
      <c r="K175" s="526">
        <v>0</v>
      </c>
      <c r="L175" s="526">
        <v>0</v>
      </c>
      <c r="M175" s="526">
        <v>1</v>
      </c>
      <c r="N175" s="526">
        <v>26</v>
      </c>
      <c r="O175" s="526">
        <v>2.12</v>
      </c>
      <c r="P175" s="526">
        <v>0.14000000000000001</v>
      </c>
      <c r="Q175" s="526">
        <v>7.5</v>
      </c>
      <c r="R175" s="526">
        <v>2.73</v>
      </c>
      <c r="S175" s="526">
        <v>0.93</v>
      </c>
      <c r="T175" s="526">
        <v>30</v>
      </c>
    </row>
    <row r="176" spans="1:20">
      <c r="A176" s="531" t="s">
        <v>264</v>
      </c>
      <c r="B176" s="526">
        <v>98</v>
      </c>
      <c r="C176" s="526">
        <v>0</v>
      </c>
      <c r="D176" s="526">
        <v>0</v>
      </c>
      <c r="E176" s="526">
        <v>0</v>
      </c>
      <c r="F176" s="526">
        <v>0</v>
      </c>
      <c r="G176" s="526">
        <v>70</v>
      </c>
      <c r="H176" s="526">
        <v>0</v>
      </c>
      <c r="I176" s="526">
        <v>0</v>
      </c>
      <c r="J176" s="526">
        <v>0</v>
      </c>
      <c r="K176" s="526">
        <v>0</v>
      </c>
      <c r="L176" s="526">
        <v>0</v>
      </c>
      <c r="M176" s="526">
        <v>0</v>
      </c>
      <c r="N176" s="526">
        <v>24</v>
      </c>
      <c r="O176" s="526">
        <v>0.3</v>
      </c>
      <c r="P176" s="526">
        <v>24.7</v>
      </c>
      <c r="Q176" s="526">
        <v>0</v>
      </c>
      <c r="R176" s="525"/>
      <c r="S176" s="526">
        <v>1.42</v>
      </c>
      <c r="T176" s="526">
        <v>81</v>
      </c>
    </row>
    <row r="177" spans="1:23">
      <c r="A177" s="531" t="s">
        <v>265</v>
      </c>
      <c r="B177" s="526">
        <v>97</v>
      </c>
      <c r="C177" s="526">
        <v>0</v>
      </c>
      <c r="D177" s="526">
        <v>0</v>
      </c>
      <c r="E177" s="526">
        <v>0</v>
      </c>
      <c r="F177" s="526">
        <v>0</v>
      </c>
      <c r="G177" s="526">
        <v>0</v>
      </c>
      <c r="H177" s="525"/>
      <c r="I177" s="526">
        <v>0</v>
      </c>
      <c r="J177" s="526">
        <v>0</v>
      </c>
      <c r="K177" s="526">
        <v>0</v>
      </c>
      <c r="L177" s="526">
        <v>0</v>
      </c>
      <c r="M177" s="526">
        <v>0</v>
      </c>
      <c r="N177" s="526">
        <v>94</v>
      </c>
      <c r="O177" s="526">
        <v>16.7</v>
      </c>
      <c r="P177" s="526">
        <v>21.1</v>
      </c>
      <c r="Q177" s="526">
        <v>0.1</v>
      </c>
      <c r="R177" s="525"/>
      <c r="S177" s="526">
        <v>1.2</v>
      </c>
      <c r="T177" s="526">
        <v>70</v>
      </c>
    </row>
    <row r="178" spans="1:23">
      <c r="A178" s="535" t="s">
        <v>269</v>
      </c>
      <c r="B178" s="526">
        <v>89</v>
      </c>
      <c r="C178" s="526">
        <v>76</v>
      </c>
      <c r="D178" s="526">
        <v>81</v>
      </c>
      <c r="E178" s="526">
        <v>52</v>
      </c>
      <c r="F178" s="526">
        <v>78</v>
      </c>
      <c r="G178" s="526">
        <v>13</v>
      </c>
      <c r="H178" s="526">
        <v>18</v>
      </c>
      <c r="I178" s="526">
        <v>11</v>
      </c>
      <c r="J178" s="526">
        <v>15</v>
      </c>
      <c r="K178" s="526">
        <v>28</v>
      </c>
      <c r="L178" s="526">
        <v>34</v>
      </c>
      <c r="M178" s="526">
        <v>5</v>
      </c>
      <c r="N178" s="526">
        <v>4</v>
      </c>
      <c r="O178" s="526">
        <v>0.05</v>
      </c>
      <c r="P178" s="526">
        <v>0.41</v>
      </c>
      <c r="Q178" s="526">
        <v>0.5</v>
      </c>
      <c r="R178" s="526">
        <v>0.11</v>
      </c>
      <c r="S178" s="526">
        <v>0.2</v>
      </c>
      <c r="T178" s="526">
        <v>40</v>
      </c>
    </row>
    <row r="179" spans="1:23">
      <c r="A179" s="535" t="s">
        <v>270</v>
      </c>
      <c r="B179" s="526">
        <v>84</v>
      </c>
      <c r="C179" s="526">
        <v>88</v>
      </c>
      <c r="D179" s="526">
        <v>98</v>
      </c>
      <c r="E179" s="526">
        <v>65</v>
      </c>
      <c r="F179" s="526">
        <v>91</v>
      </c>
      <c r="G179" s="526">
        <v>13</v>
      </c>
      <c r="H179" s="526">
        <v>26</v>
      </c>
      <c r="I179" s="526">
        <v>11</v>
      </c>
      <c r="J179" s="526">
        <v>15</v>
      </c>
      <c r="K179" s="526">
        <v>30</v>
      </c>
      <c r="L179" s="526">
        <v>32</v>
      </c>
      <c r="M179" s="526">
        <v>4.9000000000000004</v>
      </c>
      <c r="N179" s="526">
        <v>4</v>
      </c>
      <c r="O179" s="526">
        <v>0.05</v>
      </c>
      <c r="P179" s="526">
        <v>0.37</v>
      </c>
      <c r="Q179" s="526">
        <v>0.5</v>
      </c>
      <c r="R179" s="526">
        <v>0.11</v>
      </c>
      <c r="S179" s="526">
        <v>0.2</v>
      </c>
      <c r="T179" s="526">
        <v>40</v>
      </c>
      <c r="V179" s="938">
        <f>C179*0.02*2.2</f>
        <v>3.8720000000000003</v>
      </c>
      <c r="W179" s="938">
        <f>V179/2.2</f>
        <v>1.76</v>
      </c>
    </row>
    <row r="180" spans="1:23">
      <c r="A180" s="535" t="s">
        <v>271</v>
      </c>
      <c r="B180" s="526">
        <v>91</v>
      </c>
      <c r="C180" s="526">
        <v>91</v>
      </c>
      <c r="D180" s="526">
        <v>102</v>
      </c>
      <c r="E180" s="526">
        <v>69</v>
      </c>
      <c r="F180" s="526">
        <v>95</v>
      </c>
      <c r="G180" s="526">
        <v>18</v>
      </c>
      <c r="H180" s="526">
        <v>15</v>
      </c>
      <c r="I180" s="526">
        <v>3</v>
      </c>
      <c r="J180" s="525"/>
      <c r="K180" s="525"/>
      <c r="L180" s="525"/>
      <c r="M180" s="526">
        <v>6.6</v>
      </c>
      <c r="N180" s="526">
        <v>2</v>
      </c>
      <c r="O180" s="526">
        <v>0.08</v>
      </c>
      <c r="P180" s="526">
        <v>0.47</v>
      </c>
      <c r="Q180" s="526">
        <v>0.4</v>
      </c>
      <c r="R180" s="526">
        <v>0.1</v>
      </c>
      <c r="S180" s="526">
        <v>0.2</v>
      </c>
      <c r="T180" s="525"/>
      <c r="V180" s="938">
        <f>C180*0.02*2.2</f>
        <v>4.0040000000000004</v>
      </c>
      <c r="W180" s="938">
        <f>V180/2.2</f>
        <v>1.82</v>
      </c>
    </row>
    <row r="181" spans="1:23">
      <c r="A181" s="543" t="s">
        <v>266</v>
      </c>
      <c r="B181" s="526">
        <v>90</v>
      </c>
      <c r="C181" s="526">
        <v>54</v>
      </c>
      <c r="D181" s="526">
        <v>54</v>
      </c>
      <c r="E181" s="526">
        <v>20</v>
      </c>
      <c r="F181" s="526">
        <v>54</v>
      </c>
      <c r="G181" s="526">
        <v>10</v>
      </c>
      <c r="H181" s="526">
        <v>25</v>
      </c>
      <c r="I181" s="526">
        <v>31</v>
      </c>
      <c r="J181" s="526">
        <v>39</v>
      </c>
      <c r="K181" s="526">
        <v>63</v>
      </c>
      <c r="L181" s="526">
        <v>98</v>
      </c>
      <c r="M181" s="526">
        <v>2.2999999999999998</v>
      </c>
      <c r="N181" s="526">
        <v>8</v>
      </c>
      <c r="O181" s="526">
        <v>0.4</v>
      </c>
      <c r="P181" s="526">
        <v>0.27</v>
      </c>
      <c r="Q181" s="526">
        <v>1.6</v>
      </c>
      <c r="R181" s="526">
        <v>0.42</v>
      </c>
      <c r="S181" s="526">
        <v>0.21</v>
      </c>
      <c r="T181" s="526">
        <v>28</v>
      </c>
      <c r="V181" s="938">
        <f>C181*0.02*2.2</f>
        <v>2.3760000000000003</v>
      </c>
      <c r="W181" s="938">
        <f>V181/2.2</f>
        <v>1.08</v>
      </c>
    </row>
    <row r="182" spans="1:23">
      <c r="A182" s="531" t="s">
        <v>146</v>
      </c>
      <c r="B182" s="526">
        <v>93</v>
      </c>
      <c r="C182" s="526">
        <v>38</v>
      </c>
      <c r="D182" s="526">
        <v>40</v>
      </c>
      <c r="E182" s="526">
        <v>0</v>
      </c>
      <c r="F182" s="526">
        <v>36</v>
      </c>
      <c r="G182" s="526">
        <v>4</v>
      </c>
      <c r="H182" s="526">
        <v>25</v>
      </c>
      <c r="I182" s="526">
        <v>33</v>
      </c>
      <c r="J182" s="526">
        <v>41</v>
      </c>
      <c r="K182" s="526">
        <v>75</v>
      </c>
      <c r="L182" s="526">
        <v>90</v>
      </c>
      <c r="M182" s="526">
        <v>1.6</v>
      </c>
      <c r="N182" s="526">
        <v>7</v>
      </c>
      <c r="O182" s="526">
        <v>0.16</v>
      </c>
      <c r="P182" s="526">
        <v>0.15</v>
      </c>
      <c r="Q182" s="526">
        <v>0.6</v>
      </c>
      <c r="R182" s="526">
        <v>0.08</v>
      </c>
      <c r="S182" s="526">
        <v>0.14000000000000001</v>
      </c>
      <c r="T182" s="526">
        <v>31</v>
      </c>
    </row>
    <row r="183" spans="1:23">
      <c r="A183" s="535" t="s">
        <v>144</v>
      </c>
      <c r="B183" s="526">
        <v>90</v>
      </c>
      <c r="C183" s="526">
        <v>91</v>
      </c>
      <c r="D183" s="526">
        <v>102</v>
      </c>
      <c r="E183" s="526">
        <v>69</v>
      </c>
      <c r="F183" s="526">
        <v>95</v>
      </c>
      <c r="G183" s="526">
        <v>16</v>
      </c>
      <c r="H183" s="526">
        <v>20</v>
      </c>
      <c r="I183" s="526">
        <v>4</v>
      </c>
      <c r="J183" s="526">
        <v>6</v>
      </c>
      <c r="K183" s="525"/>
      <c r="L183" s="525"/>
      <c r="M183" s="526">
        <v>6</v>
      </c>
      <c r="N183" s="526">
        <v>3</v>
      </c>
      <c r="O183" s="526">
        <v>7.0000000000000007E-2</v>
      </c>
      <c r="P183" s="526">
        <v>0.48</v>
      </c>
      <c r="Q183" s="526">
        <v>0.5</v>
      </c>
      <c r="R183" s="525"/>
      <c r="S183" s="526">
        <v>0.23</v>
      </c>
      <c r="T183" s="525"/>
      <c r="V183" s="938">
        <f>C183*0.02*2.2</f>
        <v>4.0040000000000004</v>
      </c>
    </row>
    <row r="184" spans="1:23">
      <c r="A184" s="531" t="s">
        <v>145</v>
      </c>
      <c r="B184" s="526">
        <v>89</v>
      </c>
      <c r="C184" s="526">
        <v>33</v>
      </c>
      <c r="D184" s="526">
        <v>38</v>
      </c>
      <c r="E184" s="526">
        <v>0</v>
      </c>
      <c r="F184" s="526">
        <v>30</v>
      </c>
      <c r="G184" s="526">
        <v>7</v>
      </c>
      <c r="H184" s="525"/>
      <c r="I184" s="526">
        <v>27</v>
      </c>
      <c r="J184" s="526">
        <v>37</v>
      </c>
      <c r="K184" s="525"/>
      <c r="L184" s="525"/>
      <c r="M184" s="526">
        <v>2.4</v>
      </c>
      <c r="N184" s="526">
        <v>6</v>
      </c>
      <c r="O184" s="526">
        <v>0.13</v>
      </c>
      <c r="P184" s="526">
        <v>0.22</v>
      </c>
      <c r="Q184" s="526">
        <v>0.6</v>
      </c>
      <c r="R184" s="525"/>
      <c r="S184" s="526">
        <v>0.24</v>
      </c>
      <c r="T184" s="525"/>
    </row>
    <row r="185" spans="1:23">
      <c r="A185" s="531" t="s">
        <v>267</v>
      </c>
      <c r="B185" s="526">
        <v>35</v>
      </c>
      <c r="C185" s="526">
        <v>60</v>
      </c>
      <c r="D185" s="526">
        <v>60</v>
      </c>
      <c r="E185" s="526">
        <v>30</v>
      </c>
      <c r="F185" s="526">
        <v>60</v>
      </c>
      <c r="G185" s="526">
        <v>12</v>
      </c>
      <c r="H185" s="526">
        <v>21</v>
      </c>
      <c r="I185" s="526">
        <v>31</v>
      </c>
      <c r="J185" s="526">
        <v>39</v>
      </c>
      <c r="K185" s="526">
        <v>59</v>
      </c>
      <c r="L185" s="526">
        <v>61</v>
      </c>
      <c r="M185" s="526">
        <v>3.2</v>
      </c>
      <c r="N185" s="526">
        <v>10</v>
      </c>
      <c r="O185" s="526">
        <v>0.34</v>
      </c>
      <c r="P185" s="526">
        <v>0.3</v>
      </c>
      <c r="Q185" s="526">
        <v>2.4</v>
      </c>
      <c r="R185" s="526">
        <v>0.5</v>
      </c>
      <c r="S185" s="526">
        <v>0.25</v>
      </c>
      <c r="T185" s="526">
        <v>27</v>
      </c>
    </row>
    <row r="186" spans="1:23">
      <c r="A186" s="531" t="s">
        <v>268</v>
      </c>
      <c r="B186" s="526">
        <v>91</v>
      </c>
      <c r="C186" s="526">
        <v>48</v>
      </c>
      <c r="D186" s="526">
        <v>48</v>
      </c>
      <c r="E186" s="526">
        <v>9</v>
      </c>
      <c r="F186" s="526">
        <v>47</v>
      </c>
      <c r="G186" s="526">
        <v>4</v>
      </c>
      <c r="H186" s="526">
        <v>40</v>
      </c>
      <c r="I186" s="526">
        <v>41</v>
      </c>
      <c r="J186" s="526">
        <v>48</v>
      </c>
      <c r="K186" s="526">
        <v>73</v>
      </c>
      <c r="L186" s="526">
        <v>98</v>
      </c>
      <c r="M186" s="526">
        <v>2.2999999999999998</v>
      </c>
      <c r="N186" s="526">
        <v>8</v>
      </c>
      <c r="O186" s="526">
        <v>0.24</v>
      </c>
      <c r="P186" s="526">
        <v>7.0000000000000007E-2</v>
      </c>
      <c r="Q186" s="526">
        <v>2.5</v>
      </c>
      <c r="R186" s="526">
        <v>0.78</v>
      </c>
      <c r="S186" s="526">
        <v>0.22</v>
      </c>
      <c r="T186" s="526">
        <v>6</v>
      </c>
    </row>
    <row r="187" spans="1:23">
      <c r="A187" s="531" t="s">
        <v>147</v>
      </c>
      <c r="B187" s="526">
        <v>89</v>
      </c>
      <c r="C187" s="526">
        <v>79</v>
      </c>
      <c r="D187" s="526">
        <v>85</v>
      </c>
      <c r="E187" s="526">
        <v>55</v>
      </c>
      <c r="F187" s="526">
        <v>81</v>
      </c>
      <c r="G187" s="526">
        <v>9</v>
      </c>
      <c r="H187" s="525"/>
      <c r="I187" s="526">
        <v>9</v>
      </c>
      <c r="J187" s="526">
        <v>16</v>
      </c>
      <c r="K187" s="526">
        <v>20</v>
      </c>
      <c r="L187" s="526">
        <v>33</v>
      </c>
      <c r="M187" s="526">
        <v>1.8</v>
      </c>
      <c r="N187" s="526">
        <v>4</v>
      </c>
      <c r="O187" s="526">
        <v>0.71</v>
      </c>
      <c r="P187" s="526">
        <v>0.11</v>
      </c>
      <c r="Q187" s="526">
        <v>0.6</v>
      </c>
      <c r="R187" s="525"/>
      <c r="S187" s="526">
        <v>0.05</v>
      </c>
      <c r="T187" s="525"/>
    </row>
    <row r="188" spans="1:23">
      <c r="A188" s="531" t="s">
        <v>148</v>
      </c>
      <c r="B188" s="526">
        <v>24</v>
      </c>
      <c r="C188" s="526">
        <v>65</v>
      </c>
      <c r="D188" s="526">
        <v>66</v>
      </c>
      <c r="E188" s="526">
        <v>37</v>
      </c>
      <c r="F188" s="526">
        <v>66</v>
      </c>
      <c r="G188" s="526">
        <v>14</v>
      </c>
      <c r="H188" s="526">
        <v>23</v>
      </c>
      <c r="I188" s="526">
        <v>30</v>
      </c>
      <c r="J188" s="526">
        <v>32</v>
      </c>
      <c r="K188" s="526">
        <v>54</v>
      </c>
      <c r="L188" s="526">
        <v>41</v>
      </c>
      <c r="M188" s="526">
        <v>4</v>
      </c>
      <c r="N188" s="526">
        <v>9</v>
      </c>
      <c r="O188" s="526">
        <v>0.33</v>
      </c>
      <c r="P188" s="526">
        <v>0.39</v>
      </c>
      <c r="Q188" s="526">
        <v>2.7</v>
      </c>
      <c r="R188" s="526">
        <v>0.08</v>
      </c>
      <c r="S188" s="526">
        <v>0.2</v>
      </c>
      <c r="T188" s="526">
        <v>21</v>
      </c>
    </row>
    <row r="189" spans="1:23">
      <c r="A189" s="543" t="s">
        <v>149</v>
      </c>
      <c r="B189" s="526">
        <v>88</v>
      </c>
      <c r="C189" s="526">
        <v>59</v>
      </c>
      <c r="D189" s="526">
        <v>59</v>
      </c>
      <c r="E189" s="526">
        <v>28</v>
      </c>
      <c r="F189" s="526">
        <v>59</v>
      </c>
      <c r="G189" s="526">
        <v>10</v>
      </c>
      <c r="H189" s="526">
        <v>27</v>
      </c>
      <c r="I189" s="526">
        <v>34</v>
      </c>
      <c r="J189" s="526">
        <v>40</v>
      </c>
      <c r="K189" s="526">
        <v>67</v>
      </c>
      <c r="L189" s="526">
        <v>98</v>
      </c>
      <c r="M189" s="526">
        <v>3.3</v>
      </c>
      <c r="N189" s="526">
        <v>8</v>
      </c>
      <c r="O189" s="526">
        <v>0.32</v>
      </c>
      <c r="P189" s="526">
        <v>0.3</v>
      </c>
      <c r="Q189" s="526">
        <v>2.6</v>
      </c>
      <c r="R189" s="526">
        <v>0.41</v>
      </c>
      <c r="S189" s="526">
        <v>0.2</v>
      </c>
      <c r="T189" s="526">
        <v>26</v>
      </c>
    </row>
    <row r="190" spans="1:23">
      <c r="A190" s="543" t="s">
        <v>150</v>
      </c>
      <c r="B190" s="526">
        <v>89</v>
      </c>
      <c r="C190" s="526">
        <v>59</v>
      </c>
      <c r="D190" s="526">
        <v>59</v>
      </c>
      <c r="E190" s="526">
        <v>28</v>
      </c>
      <c r="F190" s="526">
        <v>59</v>
      </c>
      <c r="G190" s="526">
        <v>11</v>
      </c>
      <c r="H190" s="525"/>
      <c r="I190" s="526">
        <v>32</v>
      </c>
      <c r="J190" s="526">
        <v>50</v>
      </c>
      <c r="K190" s="526">
        <v>62</v>
      </c>
      <c r="L190" s="526">
        <v>92</v>
      </c>
      <c r="M190" s="526">
        <v>2</v>
      </c>
      <c r="N190" s="526">
        <v>7</v>
      </c>
      <c r="O190" s="526">
        <v>1.25</v>
      </c>
      <c r="P190" s="526">
        <v>0.24</v>
      </c>
      <c r="Q190" s="526">
        <v>1.3</v>
      </c>
      <c r="R190" s="525"/>
      <c r="S190" s="526">
        <v>0.2</v>
      </c>
      <c r="T190" s="526">
        <v>20</v>
      </c>
    </row>
    <row r="191" spans="1:23">
      <c r="A191" s="531" t="s">
        <v>387</v>
      </c>
      <c r="B191" s="526">
        <v>25</v>
      </c>
      <c r="C191" s="526">
        <v>58</v>
      </c>
      <c r="D191" s="526">
        <v>58</v>
      </c>
      <c r="E191" s="526">
        <v>26</v>
      </c>
      <c r="F191" s="526">
        <v>58</v>
      </c>
      <c r="G191" s="526">
        <v>16</v>
      </c>
      <c r="H191" s="525"/>
      <c r="I191" s="526">
        <v>29</v>
      </c>
      <c r="J191" s="526">
        <v>44</v>
      </c>
      <c r="K191" s="526">
        <v>55</v>
      </c>
      <c r="L191" s="526">
        <v>61</v>
      </c>
      <c r="M191" s="526">
        <v>3.3</v>
      </c>
      <c r="N191" s="526">
        <v>8</v>
      </c>
      <c r="O191" s="526">
        <v>1.25</v>
      </c>
      <c r="P191" s="526">
        <v>0.28000000000000003</v>
      </c>
      <c r="Q191" s="526">
        <v>1.6</v>
      </c>
      <c r="R191" s="525"/>
      <c r="S191" s="526">
        <v>0.28999999999999998</v>
      </c>
      <c r="T191" s="526">
        <v>32</v>
      </c>
    </row>
    <row r="192" spans="1:23">
      <c r="A192" s="531" t="s">
        <v>388</v>
      </c>
      <c r="B192" s="526">
        <v>89</v>
      </c>
      <c r="C192" s="526">
        <v>51</v>
      </c>
      <c r="D192" s="526">
        <v>51</v>
      </c>
      <c r="E192" s="526">
        <v>14</v>
      </c>
      <c r="F192" s="526">
        <v>50</v>
      </c>
      <c r="G192" s="526">
        <v>7</v>
      </c>
      <c r="H192" s="525"/>
      <c r="I192" s="526">
        <v>41</v>
      </c>
      <c r="J192" s="526">
        <v>49</v>
      </c>
      <c r="K192" s="526">
        <v>72</v>
      </c>
      <c r="L192" s="526">
        <v>98</v>
      </c>
      <c r="M192" s="526">
        <v>1.4</v>
      </c>
      <c r="N192" s="526">
        <v>7</v>
      </c>
      <c r="O192" s="526">
        <v>0.75</v>
      </c>
      <c r="P192" s="526">
        <v>0.13</v>
      </c>
      <c r="Q192" s="526">
        <v>1.1000000000000001</v>
      </c>
      <c r="R192" s="525"/>
      <c r="S192" s="526">
        <v>0.15</v>
      </c>
      <c r="T192" s="525"/>
    </row>
    <row r="193" spans="1:20">
      <c r="A193" s="531" t="s">
        <v>390</v>
      </c>
      <c r="B193" s="526">
        <v>91</v>
      </c>
      <c r="C193" s="526">
        <v>22</v>
      </c>
      <c r="D193" s="526">
        <v>36</v>
      </c>
      <c r="E193" s="526">
        <v>0</v>
      </c>
      <c r="F193" s="526">
        <v>18</v>
      </c>
      <c r="G193" s="526">
        <v>7</v>
      </c>
      <c r="H193" s="525"/>
      <c r="I193" s="526">
        <v>63</v>
      </c>
      <c r="J193" s="526">
        <v>65</v>
      </c>
      <c r="K193" s="526">
        <v>74</v>
      </c>
      <c r="L193" s="526">
        <v>98</v>
      </c>
      <c r="M193" s="526">
        <v>1.5</v>
      </c>
      <c r="N193" s="526">
        <v>5</v>
      </c>
      <c r="O193" s="526">
        <v>0.2</v>
      </c>
      <c r="P193" s="526">
        <v>7.0000000000000007E-2</v>
      </c>
      <c r="Q193" s="526">
        <v>0.9</v>
      </c>
      <c r="R193" s="525"/>
      <c r="S193" s="525"/>
      <c r="T193" s="525"/>
    </row>
    <row r="194" spans="1:20">
      <c r="A194" s="531" t="s">
        <v>391</v>
      </c>
      <c r="B194" s="526">
        <v>91</v>
      </c>
      <c r="C194" s="526">
        <v>77</v>
      </c>
      <c r="D194" s="526">
        <v>82</v>
      </c>
      <c r="E194" s="526">
        <v>53</v>
      </c>
      <c r="F194" s="526">
        <v>79</v>
      </c>
      <c r="G194" s="526">
        <v>51</v>
      </c>
      <c r="H194" s="526">
        <v>27</v>
      </c>
      <c r="I194" s="526">
        <v>9</v>
      </c>
      <c r="J194" s="526">
        <v>16</v>
      </c>
      <c r="K194" s="526">
        <v>27</v>
      </c>
      <c r="L194" s="526">
        <v>23</v>
      </c>
      <c r="M194" s="526">
        <v>2.5</v>
      </c>
      <c r="N194" s="526">
        <v>6</v>
      </c>
      <c r="O194" s="526">
        <v>0.26</v>
      </c>
      <c r="P194" s="526">
        <v>0.62</v>
      </c>
      <c r="Q194" s="526">
        <v>1.1000000000000001</v>
      </c>
      <c r="R194" s="526">
        <v>0.03</v>
      </c>
      <c r="S194" s="526">
        <v>0.3</v>
      </c>
      <c r="T194" s="526">
        <v>38</v>
      </c>
    </row>
    <row r="195" spans="1:20">
      <c r="A195" s="531" t="s">
        <v>532</v>
      </c>
      <c r="B195" s="526">
        <v>92</v>
      </c>
      <c r="C195" s="526">
        <v>0</v>
      </c>
      <c r="D195" s="526">
        <v>0</v>
      </c>
      <c r="E195" s="526">
        <v>0</v>
      </c>
      <c r="F195" s="526">
        <v>0</v>
      </c>
      <c r="G195" s="526">
        <v>17</v>
      </c>
      <c r="H195" s="525"/>
      <c r="I195" s="526">
        <v>13</v>
      </c>
      <c r="J195" s="526">
        <v>20</v>
      </c>
      <c r="K195" s="526">
        <v>28</v>
      </c>
      <c r="L195" s="526">
        <v>0</v>
      </c>
      <c r="M195" s="526">
        <v>22</v>
      </c>
      <c r="N195" s="526">
        <v>3</v>
      </c>
      <c r="O195" s="526">
        <v>0.19</v>
      </c>
      <c r="P195" s="526">
        <v>0.2</v>
      </c>
      <c r="Q195" s="525"/>
      <c r="R195" s="525"/>
      <c r="S195" s="525"/>
      <c r="T195" s="525"/>
    </row>
    <row r="196" spans="1:20">
      <c r="A196" s="531" t="s">
        <v>533</v>
      </c>
      <c r="B196" s="526">
        <v>87</v>
      </c>
      <c r="C196" s="526">
        <v>82</v>
      </c>
      <c r="D196" s="526">
        <v>89</v>
      </c>
      <c r="E196" s="526">
        <v>59</v>
      </c>
      <c r="F196" s="526">
        <v>85</v>
      </c>
      <c r="G196" s="526">
        <v>13</v>
      </c>
      <c r="H196" s="525"/>
      <c r="I196" s="526">
        <v>2</v>
      </c>
      <c r="J196" s="526">
        <v>6</v>
      </c>
      <c r="K196" s="526">
        <v>18</v>
      </c>
      <c r="L196" s="526">
        <v>34</v>
      </c>
      <c r="M196" s="526">
        <v>4.5</v>
      </c>
      <c r="N196" s="526">
        <v>3</v>
      </c>
      <c r="O196" s="526">
        <v>0.03</v>
      </c>
      <c r="P196" s="526">
        <v>0.36</v>
      </c>
      <c r="Q196" s="526">
        <v>0.5</v>
      </c>
      <c r="R196" s="525"/>
      <c r="S196" s="525"/>
      <c r="T196" s="525"/>
    </row>
    <row r="197" spans="1:20">
      <c r="A197" s="531" t="s">
        <v>389</v>
      </c>
      <c r="B197" s="526">
        <v>89</v>
      </c>
      <c r="C197" s="526">
        <v>85</v>
      </c>
      <c r="D197" s="526">
        <v>93</v>
      </c>
      <c r="E197" s="526">
        <v>62</v>
      </c>
      <c r="F197" s="526">
        <v>88</v>
      </c>
      <c r="G197" s="526">
        <v>25</v>
      </c>
      <c r="H197" s="526">
        <v>22</v>
      </c>
      <c r="I197" s="526">
        <v>7</v>
      </c>
      <c r="J197" s="526">
        <v>9</v>
      </c>
      <c r="K197" s="526">
        <v>15</v>
      </c>
      <c r="L197" s="526">
        <v>0</v>
      </c>
      <c r="M197" s="526">
        <v>1.4</v>
      </c>
      <c r="N197" s="526">
        <v>4</v>
      </c>
      <c r="O197" s="526">
        <v>0.14000000000000001</v>
      </c>
      <c r="P197" s="526">
        <v>0.46</v>
      </c>
      <c r="Q197" s="526">
        <v>1.1000000000000001</v>
      </c>
      <c r="R197" s="526">
        <v>0.06</v>
      </c>
      <c r="S197" s="526">
        <v>0.26</v>
      </c>
      <c r="T197" s="526">
        <v>30</v>
      </c>
    </row>
    <row r="198" spans="1:20">
      <c r="A198" s="531" t="s">
        <v>535</v>
      </c>
      <c r="B198" s="526">
        <v>89</v>
      </c>
      <c r="C198" s="526">
        <v>71</v>
      </c>
      <c r="D198" s="526">
        <v>74</v>
      </c>
      <c r="E198" s="526">
        <v>46</v>
      </c>
      <c r="F198" s="526">
        <v>73</v>
      </c>
      <c r="G198" s="526">
        <v>5</v>
      </c>
      <c r="H198" s="525"/>
      <c r="I198" s="526">
        <v>20</v>
      </c>
      <c r="J198" s="526">
        <v>33</v>
      </c>
      <c r="K198" s="526">
        <v>66</v>
      </c>
      <c r="L198" s="526">
        <v>20</v>
      </c>
      <c r="M198" s="526">
        <v>1.5</v>
      </c>
      <c r="N198" s="526">
        <v>3</v>
      </c>
      <c r="O198" s="526">
        <v>0.26</v>
      </c>
      <c r="P198" s="526">
        <v>0.12</v>
      </c>
      <c r="Q198" s="525"/>
      <c r="R198" s="525"/>
      <c r="S198" s="525"/>
      <c r="T198" s="525"/>
    </row>
    <row r="199" spans="1:20">
      <c r="A199" s="531" t="s">
        <v>534</v>
      </c>
      <c r="B199" s="526">
        <v>17</v>
      </c>
      <c r="C199" s="526">
        <v>47</v>
      </c>
      <c r="D199" s="526">
        <v>47</v>
      </c>
      <c r="E199" s="526">
        <v>7</v>
      </c>
      <c r="F199" s="526">
        <v>46</v>
      </c>
      <c r="G199" s="526">
        <v>8</v>
      </c>
      <c r="H199" s="525"/>
      <c r="I199" s="526">
        <v>24</v>
      </c>
      <c r="J199" s="526">
        <v>35</v>
      </c>
      <c r="K199" s="526">
        <v>64</v>
      </c>
      <c r="L199" s="526">
        <v>41</v>
      </c>
      <c r="M199" s="526">
        <v>2.4</v>
      </c>
      <c r="N199" s="526">
        <v>7</v>
      </c>
      <c r="O199" s="526">
        <v>0.28000000000000003</v>
      </c>
      <c r="P199" s="526">
        <v>0.08</v>
      </c>
      <c r="Q199" s="525"/>
      <c r="R199" s="525"/>
      <c r="S199" s="525"/>
      <c r="T199" s="525"/>
    </row>
    <row r="200" spans="1:20">
      <c r="A200" s="531" t="s">
        <v>394</v>
      </c>
      <c r="B200" s="526">
        <v>21</v>
      </c>
      <c r="C200" s="526">
        <v>71</v>
      </c>
      <c r="D200" s="526">
        <v>74</v>
      </c>
      <c r="E200" s="526">
        <v>46</v>
      </c>
      <c r="F200" s="526">
        <v>73</v>
      </c>
      <c r="G200" s="526">
        <v>5</v>
      </c>
      <c r="H200" s="525"/>
      <c r="I200" s="526">
        <v>24</v>
      </c>
      <c r="J200" s="526">
        <v>35</v>
      </c>
      <c r="K200" s="526">
        <v>69</v>
      </c>
      <c r="L200" s="526">
        <v>20</v>
      </c>
      <c r="M200" s="526">
        <v>0.8</v>
      </c>
      <c r="N200" s="526">
        <v>3</v>
      </c>
      <c r="O200" s="526">
        <v>0.25</v>
      </c>
      <c r="P200" s="526">
        <v>0.09</v>
      </c>
      <c r="Q200" s="525"/>
      <c r="R200" s="525"/>
      <c r="S200" s="525"/>
      <c r="T200" s="525"/>
    </row>
    <row r="201" spans="1:20">
      <c r="A201" s="531" t="s">
        <v>273</v>
      </c>
      <c r="B201" s="526">
        <v>15</v>
      </c>
      <c r="C201" s="526">
        <v>59</v>
      </c>
      <c r="D201" s="526">
        <v>59</v>
      </c>
      <c r="E201" s="526">
        <v>28</v>
      </c>
      <c r="F201" s="526">
        <v>59</v>
      </c>
      <c r="G201" s="526">
        <v>15</v>
      </c>
      <c r="H201" s="525"/>
      <c r="I201" s="526">
        <v>26</v>
      </c>
      <c r="J201" s="525"/>
      <c r="K201" s="525"/>
      <c r="L201" s="525"/>
      <c r="M201" s="526">
        <v>3.7</v>
      </c>
      <c r="N201" s="526">
        <v>19</v>
      </c>
      <c r="O201" s="526">
        <v>2.1</v>
      </c>
      <c r="P201" s="526">
        <v>0.28999999999999998</v>
      </c>
      <c r="Q201" s="526">
        <v>4</v>
      </c>
      <c r="R201" s="525"/>
      <c r="S201" s="526">
        <v>0.37</v>
      </c>
      <c r="T201" s="525"/>
    </row>
    <row r="202" spans="1:20">
      <c r="A202" s="531" t="s">
        <v>288</v>
      </c>
      <c r="B202" s="526">
        <v>89</v>
      </c>
      <c r="C202" s="526">
        <v>85</v>
      </c>
      <c r="D202" s="526">
        <v>93</v>
      </c>
      <c r="E202" s="526">
        <v>62</v>
      </c>
      <c r="F202" s="526">
        <v>88</v>
      </c>
      <c r="G202" s="526">
        <v>8</v>
      </c>
      <c r="H202" s="526">
        <v>0</v>
      </c>
      <c r="I202" s="526">
        <v>7</v>
      </c>
      <c r="J202" s="526">
        <v>9</v>
      </c>
      <c r="K202" s="526">
        <v>15</v>
      </c>
      <c r="L202" s="526">
        <v>0</v>
      </c>
      <c r="M202" s="526">
        <v>0.5</v>
      </c>
      <c r="N202" s="526">
        <v>5</v>
      </c>
      <c r="O202" s="526">
        <v>0.16</v>
      </c>
      <c r="P202" s="526">
        <v>0.25</v>
      </c>
      <c r="Q202" s="526">
        <v>1.2</v>
      </c>
      <c r="R202" s="526">
        <v>0.39</v>
      </c>
      <c r="S202" s="526">
        <v>0.11</v>
      </c>
      <c r="T202" s="526">
        <v>12</v>
      </c>
    </row>
    <row r="203" spans="1:20">
      <c r="A203" s="531" t="s">
        <v>290</v>
      </c>
      <c r="B203" s="526">
        <v>14</v>
      </c>
      <c r="C203" s="526">
        <v>77</v>
      </c>
      <c r="D203" s="526">
        <v>82</v>
      </c>
      <c r="E203" s="526">
        <v>53</v>
      </c>
      <c r="F203" s="526">
        <v>79</v>
      </c>
      <c r="G203" s="526">
        <v>5</v>
      </c>
      <c r="H203" s="526">
        <v>0</v>
      </c>
      <c r="I203" s="526">
        <v>2</v>
      </c>
      <c r="J203" s="525"/>
      <c r="K203" s="525"/>
      <c r="L203" s="525"/>
      <c r="M203" s="526">
        <v>7.7</v>
      </c>
      <c r="N203" s="526">
        <v>3</v>
      </c>
      <c r="O203" s="526">
        <v>0.1</v>
      </c>
      <c r="P203" s="526">
        <v>0.19</v>
      </c>
      <c r="Q203" s="526">
        <v>0.2</v>
      </c>
      <c r="R203" s="525"/>
      <c r="S203" s="525"/>
      <c r="T203" s="525"/>
    </row>
    <row r="204" spans="1:20">
      <c r="A204" s="531" t="s">
        <v>287</v>
      </c>
      <c r="B204" s="526">
        <v>14</v>
      </c>
      <c r="C204" s="526">
        <v>82</v>
      </c>
      <c r="D204" s="526">
        <v>89</v>
      </c>
      <c r="E204" s="526">
        <v>59</v>
      </c>
      <c r="F204" s="526">
        <v>85</v>
      </c>
      <c r="G204" s="526">
        <v>7</v>
      </c>
      <c r="H204" s="526">
        <v>0</v>
      </c>
      <c r="I204" s="526">
        <v>9</v>
      </c>
      <c r="J204" s="526">
        <v>11</v>
      </c>
      <c r="K204" s="526">
        <v>18</v>
      </c>
      <c r="L204" s="526">
        <v>0</v>
      </c>
      <c r="M204" s="526">
        <v>1.5</v>
      </c>
      <c r="N204" s="526">
        <v>3</v>
      </c>
      <c r="O204" s="526">
        <v>0.16</v>
      </c>
      <c r="P204" s="526">
        <v>0.25</v>
      </c>
      <c r="Q204" s="526">
        <v>1.2</v>
      </c>
      <c r="R204" s="526">
        <v>0.36</v>
      </c>
      <c r="S204" s="526">
        <v>0.11</v>
      </c>
      <c r="T204" s="526">
        <v>12</v>
      </c>
    </row>
    <row r="205" spans="1:20">
      <c r="A205" s="531" t="s">
        <v>289</v>
      </c>
      <c r="B205" s="526">
        <v>17</v>
      </c>
      <c r="C205" s="526">
        <v>80</v>
      </c>
      <c r="D205" s="526">
        <v>86</v>
      </c>
      <c r="E205" s="526">
        <v>56</v>
      </c>
      <c r="F205" s="526">
        <v>83</v>
      </c>
      <c r="G205" s="526">
        <v>5</v>
      </c>
      <c r="H205" s="526">
        <v>0</v>
      </c>
      <c r="I205" s="526">
        <v>10</v>
      </c>
      <c r="J205" s="526">
        <v>12</v>
      </c>
      <c r="K205" s="526">
        <v>16</v>
      </c>
      <c r="L205" s="526">
        <v>0</v>
      </c>
      <c r="M205" s="526">
        <v>0.3</v>
      </c>
      <c r="N205" s="526">
        <v>9</v>
      </c>
      <c r="O205" s="526">
        <v>4.2</v>
      </c>
      <c r="P205" s="526">
        <v>0.18</v>
      </c>
      <c r="Q205" s="525"/>
      <c r="R205" s="525"/>
      <c r="S205" s="525"/>
      <c r="T205" s="525"/>
    </row>
    <row r="206" spans="1:20">
      <c r="A206" s="531" t="s">
        <v>274</v>
      </c>
      <c r="B206" s="526">
        <v>21</v>
      </c>
      <c r="C206" s="526">
        <v>80</v>
      </c>
      <c r="D206" s="526">
        <v>86</v>
      </c>
      <c r="E206" s="526">
        <v>56</v>
      </c>
      <c r="F206" s="526">
        <v>83</v>
      </c>
      <c r="G206" s="526">
        <v>10</v>
      </c>
      <c r="H206" s="526">
        <v>0</v>
      </c>
      <c r="I206" s="526">
        <v>2</v>
      </c>
      <c r="J206" s="526">
        <v>3</v>
      </c>
      <c r="K206" s="526">
        <v>4</v>
      </c>
      <c r="L206" s="526">
        <v>0</v>
      </c>
      <c r="M206" s="526">
        <v>0.4</v>
      </c>
      <c r="N206" s="526">
        <v>5</v>
      </c>
      <c r="O206" s="526">
        <v>0.03</v>
      </c>
      <c r="P206" s="526">
        <v>0.24</v>
      </c>
      <c r="Q206" s="526">
        <v>2.2000000000000002</v>
      </c>
      <c r="R206" s="526">
        <v>0.3</v>
      </c>
      <c r="S206" s="526">
        <v>0.09</v>
      </c>
      <c r="T206" s="525"/>
    </row>
    <row r="207" spans="1:20">
      <c r="A207" s="531" t="s">
        <v>291</v>
      </c>
      <c r="B207" s="526">
        <v>93</v>
      </c>
      <c r="C207" s="526">
        <v>79</v>
      </c>
      <c r="D207" s="526">
        <v>85</v>
      </c>
      <c r="E207" s="526">
        <v>55</v>
      </c>
      <c r="F207" s="526">
        <v>81</v>
      </c>
      <c r="G207" s="526">
        <v>62</v>
      </c>
      <c r="H207" s="526">
        <v>49</v>
      </c>
      <c r="I207" s="526">
        <v>2</v>
      </c>
      <c r="J207" s="525"/>
      <c r="K207" s="525"/>
      <c r="L207" s="525"/>
      <c r="M207" s="526">
        <v>14.5</v>
      </c>
      <c r="N207" s="526">
        <v>17</v>
      </c>
      <c r="O207" s="526">
        <v>4</v>
      </c>
      <c r="P207" s="526">
        <v>2.25</v>
      </c>
      <c r="Q207" s="526">
        <v>0.5</v>
      </c>
      <c r="R207" s="526">
        <v>0.57999999999999996</v>
      </c>
      <c r="S207" s="526">
        <v>0.56000000000000005</v>
      </c>
      <c r="T207" s="526">
        <v>129</v>
      </c>
    </row>
    <row r="208" spans="1:20">
      <c r="A208" s="531" t="s">
        <v>292</v>
      </c>
      <c r="B208" s="526">
        <v>89</v>
      </c>
      <c r="C208" s="526">
        <v>38</v>
      </c>
      <c r="D208" s="526">
        <v>40</v>
      </c>
      <c r="E208" s="526">
        <v>0</v>
      </c>
      <c r="F208" s="526">
        <v>36</v>
      </c>
      <c r="G208" s="526">
        <v>28</v>
      </c>
      <c r="H208" s="526">
        <v>22</v>
      </c>
      <c r="I208" s="526">
        <v>13</v>
      </c>
      <c r="J208" s="526">
        <v>15</v>
      </c>
      <c r="K208" s="526">
        <v>35</v>
      </c>
      <c r="L208" s="526">
        <v>0</v>
      </c>
      <c r="M208" s="526">
        <v>2.1</v>
      </c>
      <c r="N208" s="526">
        <v>33</v>
      </c>
      <c r="O208" s="526">
        <v>10.199999999999999</v>
      </c>
      <c r="P208" s="526">
        <v>2.8</v>
      </c>
      <c r="Q208" s="526">
        <v>2.2999999999999998</v>
      </c>
      <c r="R208" s="526">
        <v>1.05</v>
      </c>
      <c r="S208" s="526">
        <v>0.2</v>
      </c>
      <c r="T208" s="526">
        <v>520</v>
      </c>
    </row>
    <row r="209" spans="1:22">
      <c r="A209" s="543" t="s">
        <v>293</v>
      </c>
      <c r="B209" s="526">
        <v>91</v>
      </c>
      <c r="C209" s="526">
        <v>50</v>
      </c>
      <c r="D209" s="526">
        <v>50</v>
      </c>
      <c r="E209" s="526">
        <v>12</v>
      </c>
      <c r="F209" s="526">
        <v>49</v>
      </c>
      <c r="G209" s="526">
        <v>7</v>
      </c>
      <c r="H209" s="526">
        <v>37</v>
      </c>
      <c r="I209" s="526">
        <v>34</v>
      </c>
      <c r="J209" s="526">
        <v>47</v>
      </c>
      <c r="K209" s="526">
        <v>67</v>
      </c>
      <c r="L209" s="526">
        <v>98</v>
      </c>
      <c r="M209" s="526">
        <v>2</v>
      </c>
      <c r="N209" s="526">
        <v>8</v>
      </c>
      <c r="O209" s="526">
        <v>0.4</v>
      </c>
      <c r="P209" s="526">
        <v>0.15</v>
      </c>
      <c r="Q209" s="526">
        <v>1.1000000000000001</v>
      </c>
      <c r="R209" s="526">
        <v>0.06</v>
      </c>
      <c r="S209" s="526">
        <v>0.06</v>
      </c>
      <c r="T209" s="526">
        <v>34</v>
      </c>
      <c r="V209" s="938">
        <f>C209*0.02*2.2</f>
        <v>2.2000000000000002</v>
      </c>
    </row>
    <row r="210" spans="1:22">
      <c r="A210" s="531" t="s">
        <v>294</v>
      </c>
      <c r="B210" s="526">
        <v>10</v>
      </c>
      <c r="C210" s="526">
        <v>85</v>
      </c>
      <c r="D210" s="526">
        <v>93</v>
      </c>
      <c r="E210" s="526">
        <v>62</v>
      </c>
      <c r="F210" s="526">
        <v>88</v>
      </c>
      <c r="G210" s="526">
        <v>16</v>
      </c>
      <c r="H210" s="525"/>
      <c r="I210" s="526">
        <v>14</v>
      </c>
      <c r="J210" s="526">
        <v>18</v>
      </c>
      <c r="K210" s="526">
        <v>25</v>
      </c>
      <c r="L210" s="526">
        <v>0</v>
      </c>
      <c r="M210" s="526">
        <v>8.9</v>
      </c>
      <c r="N210" s="526">
        <v>9</v>
      </c>
      <c r="O210" s="526">
        <v>0.24</v>
      </c>
      <c r="P210" s="526">
        <v>0.43</v>
      </c>
      <c r="Q210" s="526">
        <v>3.3</v>
      </c>
      <c r="R210" s="525"/>
      <c r="S210" s="525"/>
      <c r="T210" s="525"/>
    </row>
    <row r="211" spans="1:22">
      <c r="A211" s="531" t="s">
        <v>164</v>
      </c>
      <c r="B211" s="526">
        <v>91</v>
      </c>
      <c r="C211" s="526">
        <v>71</v>
      </c>
      <c r="D211" s="526">
        <v>74</v>
      </c>
      <c r="E211" s="526">
        <v>46</v>
      </c>
      <c r="F211" s="526">
        <v>73</v>
      </c>
      <c r="G211" s="526">
        <v>14</v>
      </c>
      <c r="H211" s="526">
        <v>30</v>
      </c>
      <c r="I211" s="526">
        <v>13</v>
      </c>
      <c r="J211" s="526">
        <v>18</v>
      </c>
      <c r="K211" s="526">
        <v>24</v>
      </c>
      <c r="L211" s="526">
        <v>0</v>
      </c>
      <c r="M211" s="526">
        <v>16</v>
      </c>
      <c r="N211" s="526">
        <v>11</v>
      </c>
      <c r="O211" s="526">
        <v>7.0000000000000007E-2</v>
      </c>
      <c r="P211" s="526">
        <v>1.7</v>
      </c>
      <c r="Q211" s="526">
        <v>1.8</v>
      </c>
      <c r="R211" s="526">
        <v>0.09</v>
      </c>
      <c r="S211" s="526">
        <v>0.19</v>
      </c>
      <c r="T211" s="526">
        <v>40</v>
      </c>
    </row>
    <row r="212" spans="1:22">
      <c r="A212" s="531" t="s">
        <v>162</v>
      </c>
      <c r="B212" s="526">
        <v>89</v>
      </c>
      <c r="C212" s="526">
        <v>79</v>
      </c>
      <c r="D212" s="526">
        <v>85</v>
      </c>
      <c r="E212" s="526">
        <v>55</v>
      </c>
      <c r="F212" s="526">
        <v>81</v>
      </c>
      <c r="G212" s="526">
        <v>8</v>
      </c>
      <c r="H212" s="526">
        <v>30</v>
      </c>
      <c r="I212" s="526">
        <v>10</v>
      </c>
      <c r="J212" s="526">
        <v>12</v>
      </c>
      <c r="K212" s="526">
        <v>16</v>
      </c>
      <c r="L212" s="526">
        <v>34</v>
      </c>
      <c r="M212" s="526">
        <v>1.9</v>
      </c>
      <c r="N212" s="526">
        <v>5</v>
      </c>
      <c r="O212" s="526">
        <v>7.0000000000000007E-2</v>
      </c>
      <c r="P212" s="526">
        <v>0.32</v>
      </c>
      <c r="Q212" s="526">
        <v>0.4</v>
      </c>
      <c r="R212" s="526">
        <v>0.09</v>
      </c>
      <c r="S212" s="526">
        <v>0.05</v>
      </c>
      <c r="T212" s="526">
        <v>17</v>
      </c>
    </row>
    <row r="213" spans="1:22">
      <c r="A213" s="531" t="s">
        <v>165</v>
      </c>
      <c r="B213" s="526">
        <v>92</v>
      </c>
      <c r="C213" s="526">
        <v>13</v>
      </c>
      <c r="D213" s="526">
        <v>35</v>
      </c>
      <c r="E213" s="526">
        <v>0</v>
      </c>
      <c r="F213" s="526">
        <v>8</v>
      </c>
      <c r="G213" s="526">
        <v>3</v>
      </c>
      <c r="H213" s="526">
        <v>45</v>
      </c>
      <c r="I213" s="526">
        <v>44</v>
      </c>
      <c r="J213" s="526">
        <v>70</v>
      </c>
      <c r="K213" s="526">
        <v>81</v>
      </c>
      <c r="L213" s="526">
        <v>90</v>
      </c>
      <c r="M213" s="526">
        <v>0.9</v>
      </c>
      <c r="N213" s="526">
        <v>20</v>
      </c>
      <c r="O213" s="526">
        <v>0.12</v>
      </c>
      <c r="P213" s="526">
        <v>7.0000000000000007E-2</v>
      </c>
      <c r="Q213" s="526">
        <v>0.5</v>
      </c>
      <c r="R213" s="526">
        <v>0.08</v>
      </c>
      <c r="S213" s="526">
        <v>0.08</v>
      </c>
      <c r="T213" s="526">
        <v>24</v>
      </c>
    </row>
    <row r="214" spans="1:22">
      <c r="A214" s="531" t="s">
        <v>14</v>
      </c>
      <c r="B214" s="526">
        <v>91</v>
      </c>
      <c r="C214" s="526">
        <v>39</v>
      </c>
      <c r="D214" s="526">
        <v>41</v>
      </c>
      <c r="E214" s="526">
        <v>0</v>
      </c>
      <c r="F214" s="526">
        <v>37</v>
      </c>
      <c r="G214" s="526">
        <v>7</v>
      </c>
      <c r="H214" s="525"/>
      <c r="I214" s="526">
        <v>32</v>
      </c>
      <c r="J214" s="526">
        <v>50</v>
      </c>
      <c r="K214" s="526">
        <v>60</v>
      </c>
      <c r="L214" s="526">
        <v>0</v>
      </c>
      <c r="M214" s="526">
        <v>5.7</v>
      </c>
      <c r="N214" s="526">
        <v>19</v>
      </c>
      <c r="O214" s="526">
        <v>0.25</v>
      </c>
      <c r="P214" s="526">
        <v>0.48</v>
      </c>
      <c r="Q214" s="526">
        <v>2.2000000000000002</v>
      </c>
      <c r="R214" s="525"/>
      <c r="S214" s="526">
        <v>0.3</v>
      </c>
      <c r="T214" s="526">
        <v>31</v>
      </c>
    </row>
    <row r="215" spans="1:22">
      <c r="A215" s="531" t="s">
        <v>163</v>
      </c>
      <c r="B215" s="526">
        <v>90</v>
      </c>
      <c r="C215" s="526">
        <v>90</v>
      </c>
      <c r="D215" s="526">
        <v>100</v>
      </c>
      <c r="E215" s="526">
        <v>68</v>
      </c>
      <c r="F215" s="526">
        <v>94</v>
      </c>
      <c r="G215" s="526">
        <v>14</v>
      </c>
      <c r="H215" s="525"/>
      <c r="I215" s="526">
        <v>4</v>
      </c>
      <c r="J215" s="526">
        <v>5</v>
      </c>
      <c r="K215" s="525"/>
      <c r="L215" s="525"/>
      <c r="M215" s="526">
        <v>14</v>
      </c>
      <c r="N215" s="526">
        <v>9</v>
      </c>
      <c r="O215" s="526">
        <v>0.05</v>
      </c>
      <c r="P215" s="526">
        <v>1.34</v>
      </c>
      <c r="Q215" s="526">
        <v>1.2</v>
      </c>
      <c r="R215" s="526">
        <v>0.12</v>
      </c>
      <c r="S215" s="526">
        <v>0.19</v>
      </c>
      <c r="T215" s="526">
        <v>28</v>
      </c>
    </row>
    <row r="216" spans="1:22">
      <c r="A216" s="531" t="s">
        <v>295</v>
      </c>
      <c r="B216" s="526">
        <v>91</v>
      </c>
      <c r="C216" s="526">
        <v>40</v>
      </c>
      <c r="D216" s="526">
        <v>42</v>
      </c>
      <c r="E216" s="526">
        <v>0</v>
      </c>
      <c r="F216" s="526">
        <v>38</v>
      </c>
      <c r="G216" s="526">
        <v>4</v>
      </c>
      <c r="H216" s="525"/>
      <c r="I216" s="526">
        <v>38</v>
      </c>
      <c r="J216" s="526">
        <v>47</v>
      </c>
      <c r="K216" s="526">
        <v>72</v>
      </c>
      <c r="L216" s="526">
        <v>100</v>
      </c>
      <c r="M216" s="526">
        <v>1.4</v>
      </c>
      <c r="N216" s="526">
        <v>13</v>
      </c>
      <c r="O216" s="526">
        <v>0.23</v>
      </c>
      <c r="P216" s="526">
        <v>0.08</v>
      </c>
      <c r="Q216" s="526">
        <v>1.2</v>
      </c>
      <c r="R216" s="525"/>
      <c r="S216" s="526">
        <v>0.11</v>
      </c>
      <c r="T216" s="525"/>
    </row>
    <row r="217" spans="1:22">
      <c r="A217" s="531" t="s">
        <v>296</v>
      </c>
      <c r="B217" s="526">
        <v>87</v>
      </c>
      <c r="C217" s="526">
        <v>45</v>
      </c>
      <c r="D217" s="526">
        <v>45</v>
      </c>
      <c r="E217" s="526">
        <v>3</v>
      </c>
      <c r="F217" s="526">
        <v>44</v>
      </c>
      <c r="G217" s="526">
        <v>9</v>
      </c>
      <c r="H217" s="525"/>
      <c r="I217" s="526">
        <v>39</v>
      </c>
      <c r="J217" s="526">
        <v>53</v>
      </c>
      <c r="K217" s="526">
        <v>68</v>
      </c>
      <c r="L217" s="526">
        <v>100</v>
      </c>
      <c r="M217" s="526">
        <v>1.3</v>
      </c>
      <c r="N217" s="526">
        <v>12</v>
      </c>
      <c r="O217" s="526">
        <v>0.25</v>
      </c>
      <c r="P217" s="526">
        <v>0.08</v>
      </c>
      <c r="Q217" s="526">
        <v>1.1000000000000001</v>
      </c>
      <c r="R217" s="525"/>
      <c r="S217" s="526">
        <v>0.11</v>
      </c>
      <c r="T217" s="525"/>
    </row>
    <row r="218" spans="1:22">
      <c r="A218" s="531" t="s">
        <v>18</v>
      </c>
      <c r="B218" s="526">
        <v>89</v>
      </c>
      <c r="C218" s="526">
        <v>80</v>
      </c>
      <c r="D218" s="526">
        <v>86</v>
      </c>
      <c r="E218" s="526">
        <v>56</v>
      </c>
      <c r="F218" s="526">
        <v>83</v>
      </c>
      <c r="G218" s="526">
        <v>14</v>
      </c>
      <c r="H218" s="526">
        <v>20</v>
      </c>
      <c r="I218" s="526">
        <v>3</v>
      </c>
      <c r="J218" s="526">
        <v>9</v>
      </c>
      <c r="K218" s="526">
        <v>19</v>
      </c>
      <c r="L218" s="526">
        <v>34</v>
      </c>
      <c r="M218" s="526">
        <v>2.5</v>
      </c>
      <c r="N218" s="526">
        <v>3</v>
      </c>
      <c r="O218" s="526">
        <v>7.0000000000000007E-2</v>
      </c>
      <c r="P218" s="526">
        <v>0.55000000000000004</v>
      </c>
      <c r="Q218" s="526">
        <v>0.5</v>
      </c>
      <c r="R218" s="526">
        <v>0.03</v>
      </c>
      <c r="S218" s="526">
        <v>0.17</v>
      </c>
      <c r="T218" s="526">
        <v>33</v>
      </c>
    </row>
    <row r="219" spans="1:22">
      <c r="A219" s="543" t="s">
        <v>15</v>
      </c>
      <c r="B219" s="526">
        <v>90</v>
      </c>
      <c r="C219" s="526">
        <v>58</v>
      </c>
      <c r="D219" s="526">
        <v>58</v>
      </c>
      <c r="E219" s="526">
        <v>26</v>
      </c>
      <c r="F219" s="526">
        <v>58</v>
      </c>
      <c r="G219" s="526">
        <v>10</v>
      </c>
      <c r="H219" s="526">
        <v>30</v>
      </c>
      <c r="I219" s="526">
        <v>33</v>
      </c>
      <c r="J219" s="526">
        <v>38</v>
      </c>
      <c r="K219" s="526">
        <v>65</v>
      </c>
      <c r="L219" s="526">
        <v>98</v>
      </c>
      <c r="M219" s="526">
        <v>3.3</v>
      </c>
      <c r="N219" s="526">
        <v>8</v>
      </c>
      <c r="O219" s="526">
        <v>0.45</v>
      </c>
      <c r="P219" s="526">
        <v>0.3</v>
      </c>
      <c r="Q219" s="526">
        <v>2.2000000000000002</v>
      </c>
      <c r="R219" s="525"/>
      <c r="S219" s="526">
        <v>0.18</v>
      </c>
      <c r="T219" s="526">
        <v>27</v>
      </c>
    </row>
    <row r="220" spans="1:22">
      <c r="A220" s="531" t="s">
        <v>16</v>
      </c>
      <c r="B220" s="526">
        <v>32</v>
      </c>
      <c r="C220" s="526">
        <v>59</v>
      </c>
      <c r="D220" s="526">
        <v>59</v>
      </c>
      <c r="E220" s="526">
        <v>28</v>
      </c>
      <c r="F220" s="526">
        <v>59</v>
      </c>
      <c r="G220" s="526">
        <v>14</v>
      </c>
      <c r="H220" s="526">
        <v>25</v>
      </c>
      <c r="I220" s="526">
        <v>22</v>
      </c>
      <c r="J220" s="526">
        <v>37</v>
      </c>
      <c r="K220" s="526">
        <v>59</v>
      </c>
      <c r="L220" s="526">
        <v>61</v>
      </c>
      <c r="M220" s="526">
        <v>3.3</v>
      </c>
      <c r="N220" s="526">
        <v>8</v>
      </c>
      <c r="O220" s="526">
        <v>0.43</v>
      </c>
      <c r="P220" s="526">
        <v>0.38</v>
      </c>
      <c r="Q220" s="526">
        <v>2.9</v>
      </c>
      <c r="R220" s="526">
        <v>0.73</v>
      </c>
      <c r="S220" s="526">
        <v>0.23</v>
      </c>
      <c r="T220" s="526">
        <v>29</v>
      </c>
    </row>
    <row r="221" spans="1:22">
      <c r="A221" s="531" t="s">
        <v>17</v>
      </c>
      <c r="B221" s="526">
        <v>89</v>
      </c>
      <c r="C221" s="526">
        <v>44</v>
      </c>
      <c r="D221" s="526">
        <v>44</v>
      </c>
      <c r="E221" s="526">
        <v>1</v>
      </c>
      <c r="F221" s="526">
        <v>43</v>
      </c>
      <c r="G221" s="526">
        <v>4</v>
      </c>
      <c r="H221" s="525"/>
      <c r="I221" s="526">
        <v>44</v>
      </c>
      <c r="J221" s="526">
        <v>55</v>
      </c>
      <c r="K221" s="526">
        <v>71</v>
      </c>
      <c r="L221" s="526">
        <v>100</v>
      </c>
      <c r="M221" s="526">
        <v>1.5</v>
      </c>
      <c r="N221" s="526">
        <v>6</v>
      </c>
      <c r="O221" s="526">
        <v>0.24</v>
      </c>
      <c r="P221" s="526">
        <v>0.09</v>
      </c>
      <c r="Q221" s="526">
        <v>1</v>
      </c>
      <c r="R221" s="526">
        <v>0.24</v>
      </c>
      <c r="S221" s="526">
        <v>0.11</v>
      </c>
      <c r="T221" s="525"/>
    </row>
    <row r="222" spans="1:22">
      <c r="A222" s="531" t="s">
        <v>21</v>
      </c>
      <c r="B222" s="526">
        <v>91</v>
      </c>
      <c r="C222" s="526">
        <v>14</v>
      </c>
      <c r="D222" s="526">
        <v>35</v>
      </c>
      <c r="E222" s="526">
        <v>0</v>
      </c>
      <c r="F222" s="526">
        <v>34</v>
      </c>
      <c r="G222" s="526">
        <v>4</v>
      </c>
      <c r="H222" s="525"/>
      <c r="I222" s="526">
        <v>58</v>
      </c>
      <c r="J222" s="526">
        <v>73</v>
      </c>
      <c r="K222" s="526">
        <v>90</v>
      </c>
      <c r="L222" s="526">
        <v>100</v>
      </c>
      <c r="M222" s="526">
        <v>3.7</v>
      </c>
      <c r="N222" s="526">
        <v>2</v>
      </c>
      <c r="O222" s="525"/>
      <c r="P222" s="525"/>
      <c r="Q222" s="525"/>
      <c r="R222" s="525"/>
      <c r="S222" s="525"/>
      <c r="T222" s="525"/>
    </row>
    <row r="223" spans="1:22" ht="28">
      <c r="A223" s="531" t="s">
        <v>20</v>
      </c>
      <c r="B223" s="526">
        <v>91</v>
      </c>
      <c r="C223" s="526">
        <v>75</v>
      </c>
      <c r="D223" s="526">
        <v>79</v>
      </c>
      <c r="E223" s="526">
        <v>50</v>
      </c>
      <c r="F223" s="526">
        <v>77</v>
      </c>
      <c r="G223" s="526">
        <v>47</v>
      </c>
      <c r="H223" s="525"/>
      <c r="I223" s="526">
        <v>11</v>
      </c>
      <c r="J223" s="526">
        <v>20</v>
      </c>
      <c r="K223" s="526">
        <v>27</v>
      </c>
      <c r="L223" s="526">
        <v>30</v>
      </c>
      <c r="M223" s="526">
        <v>0.8</v>
      </c>
      <c r="N223" s="526">
        <v>7</v>
      </c>
      <c r="O223" s="526">
        <v>0.38</v>
      </c>
      <c r="P223" s="526">
        <v>1.5</v>
      </c>
      <c r="Q223" s="526">
        <v>1.2</v>
      </c>
      <c r="R223" s="526">
        <v>0.18</v>
      </c>
      <c r="S223" s="526">
        <v>0.22</v>
      </c>
      <c r="T223" s="526">
        <v>36</v>
      </c>
    </row>
    <row r="224" spans="1:22">
      <c r="A224" s="531" t="s">
        <v>19</v>
      </c>
      <c r="B224" s="526">
        <v>91</v>
      </c>
      <c r="C224" s="526">
        <v>56</v>
      </c>
      <c r="D224" s="526">
        <v>56</v>
      </c>
      <c r="E224" s="526">
        <v>23</v>
      </c>
      <c r="F224" s="526">
        <v>56</v>
      </c>
      <c r="G224" s="526">
        <v>24</v>
      </c>
      <c r="H224" s="525"/>
      <c r="I224" s="526">
        <v>33</v>
      </c>
      <c r="J224" s="526">
        <v>41</v>
      </c>
      <c r="K224" s="526">
        <v>57</v>
      </c>
      <c r="L224" s="526">
        <v>36</v>
      </c>
      <c r="M224" s="526">
        <v>1.3</v>
      </c>
      <c r="N224" s="526">
        <v>6</v>
      </c>
      <c r="O224" s="526">
        <v>0.35</v>
      </c>
      <c r="P224" s="526">
        <v>0.79</v>
      </c>
      <c r="Q224" s="526">
        <v>0.9</v>
      </c>
      <c r="R224" s="526">
        <v>0.21</v>
      </c>
      <c r="S224" s="526">
        <v>0.23</v>
      </c>
      <c r="T224" s="526">
        <v>65</v>
      </c>
    </row>
    <row r="225" spans="1:23">
      <c r="A225" s="531" t="s">
        <v>22</v>
      </c>
      <c r="B225" s="526">
        <v>50</v>
      </c>
      <c r="C225" s="526">
        <v>50</v>
      </c>
      <c r="D225" s="526">
        <v>50</v>
      </c>
      <c r="E225" s="526">
        <v>12</v>
      </c>
      <c r="F225" s="526">
        <v>49</v>
      </c>
      <c r="G225" s="526">
        <v>13</v>
      </c>
      <c r="H225" s="525"/>
      <c r="I225" s="526">
        <v>25</v>
      </c>
      <c r="J225" s="526">
        <v>30</v>
      </c>
      <c r="K225" s="526">
        <v>38</v>
      </c>
      <c r="L225" s="525"/>
      <c r="M225" s="526">
        <v>9.1999999999999993</v>
      </c>
      <c r="N225" s="526">
        <v>10</v>
      </c>
      <c r="O225" s="526">
        <v>1</v>
      </c>
      <c r="P225" s="526">
        <v>0.25</v>
      </c>
      <c r="Q225" s="525"/>
      <c r="R225" s="525"/>
      <c r="S225" s="526">
        <v>0.22</v>
      </c>
      <c r="T225" s="525"/>
    </row>
    <row r="226" spans="1:23">
      <c r="A226" s="543" t="s">
        <v>23</v>
      </c>
      <c r="B226" s="526">
        <v>88</v>
      </c>
      <c r="C226" s="526">
        <v>61</v>
      </c>
      <c r="D226" s="526">
        <v>62</v>
      </c>
      <c r="E226" s="526">
        <v>31</v>
      </c>
      <c r="F226" s="526">
        <v>62</v>
      </c>
      <c r="G226" s="526">
        <v>14</v>
      </c>
      <c r="H226" s="526">
        <v>60</v>
      </c>
      <c r="I226" s="526">
        <v>24</v>
      </c>
      <c r="J226" s="525"/>
      <c r="K226" s="525"/>
      <c r="L226" s="525"/>
      <c r="M226" s="526">
        <v>3.1</v>
      </c>
      <c r="N226" s="526">
        <v>9</v>
      </c>
      <c r="O226" s="525"/>
      <c r="P226" s="525"/>
      <c r="Q226" s="525"/>
      <c r="R226" s="525"/>
      <c r="S226" s="525"/>
      <c r="T226" s="525"/>
    </row>
    <row r="227" spans="1:23">
      <c r="A227" s="531" t="s">
        <v>24</v>
      </c>
      <c r="B227" s="526">
        <v>90</v>
      </c>
      <c r="C227" s="526">
        <v>48</v>
      </c>
      <c r="D227" s="526">
        <v>48</v>
      </c>
      <c r="E227" s="526">
        <v>9</v>
      </c>
      <c r="F227" s="526">
        <v>47</v>
      </c>
      <c r="G227" s="526">
        <v>50</v>
      </c>
      <c r="H227" s="526">
        <v>60</v>
      </c>
      <c r="I227" s="526">
        <v>11</v>
      </c>
      <c r="J227" s="525"/>
      <c r="K227" s="525"/>
      <c r="L227" s="525"/>
      <c r="M227" s="526">
        <v>5.5</v>
      </c>
      <c r="N227" s="526">
        <v>25</v>
      </c>
      <c r="O227" s="526">
        <v>8.5</v>
      </c>
      <c r="P227" s="526">
        <v>1.75</v>
      </c>
      <c r="Q227" s="525"/>
      <c r="R227" s="526">
        <v>1.1499999999999999</v>
      </c>
      <c r="S227" s="525"/>
      <c r="T227" s="525"/>
    </row>
    <row r="228" spans="1:23">
      <c r="A228" s="531" t="s">
        <v>178</v>
      </c>
      <c r="B228" s="526">
        <v>96</v>
      </c>
      <c r="C228" s="526">
        <v>0</v>
      </c>
      <c r="D228" s="526">
        <v>0</v>
      </c>
      <c r="E228" s="526">
        <v>0</v>
      </c>
      <c r="F228" s="526">
        <v>0</v>
      </c>
      <c r="G228" s="526">
        <v>0</v>
      </c>
      <c r="H228" s="525"/>
      <c r="I228" s="526">
        <v>0</v>
      </c>
      <c r="J228" s="526">
        <v>0</v>
      </c>
      <c r="K228" s="526">
        <v>0</v>
      </c>
      <c r="L228" s="526">
        <v>0</v>
      </c>
      <c r="M228" s="526">
        <v>0</v>
      </c>
      <c r="N228" s="526">
        <v>96</v>
      </c>
      <c r="O228" s="526">
        <v>0</v>
      </c>
      <c r="P228" s="526">
        <v>25.98</v>
      </c>
      <c r="Q228" s="526">
        <v>0</v>
      </c>
      <c r="R228" s="525"/>
      <c r="S228" s="526">
        <v>0</v>
      </c>
      <c r="T228" s="525"/>
    </row>
    <row r="229" spans="1:23">
      <c r="A229" s="535" t="s">
        <v>418</v>
      </c>
      <c r="B229" s="526">
        <v>89</v>
      </c>
      <c r="C229" s="526">
        <v>82</v>
      </c>
      <c r="D229" s="526">
        <v>89</v>
      </c>
      <c r="E229" s="526">
        <v>59</v>
      </c>
      <c r="F229" s="526">
        <v>85</v>
      </c>
      <c r="G229" s="526">
        <v>11</v>
      </c>
      <c r="H229" s="526">
        <v>55</v>
      </c>
      <c r="I229" s="526">
        <v>3</v>
      </c>
      <c r="J229" s="526">
        <v>6</v>
      </c>
      <c r="K229" s="526">
        <v>15</v>
      </c>
      <c r="L229" s="526">
        <v>5</v>
      </c>
      <c r="M229" s="526">
        <v>3.1</v>
      </c>
      <c r="N229" s="526">
        <v>2</v>
      </c>
      <c r="O229" s="526">
        <v>0.04</v>
      </c>
      <c r="P229" s="526">
        <v>0.32</v>
      </c>
      <c r="Q229" s="526">
        <v>0.4</v>
      </c>
      <c r="R229" s="526">
        <v>0.1</v>
      </c>
      <c r="S229" s="526">
        <v>0.14000000000000001</v>
      </c>
      <c r="T229" s="526">
        <v>18</v>
      </c>
      <c r="V229" s="938">
        <f>C229*0.02*2.2</f>
        <v>3.6080000000000005</v>
      </c>
      <c r="W229" s="938">
        <f>V229/2.2</f>
        <v>1.6400000000000001</v>
      </c>
    </row>
    <row r="230" spans="1:23">
      <c r="A230" s="536" t="s">
        <v>417</v>
      </c>
      <c r="B230" s="526">
        <v>32</v>
      </c>
      <c r="C230" s="526">
        <v>59</v>
      </c>
      <c r="D230" s="526">
        <v>59</v>
      </c>
      <c r="E230" s="526">
        <v>28</v>
      </c>
      <c r="F230" s="526">
        <v>59</v>
      </c>
      <c r="G230" s="526">
        <v>9</v>
      </c>
      <c r="H230" s="526">
        <v>25</v>
      </c>
      <c r="I230" s="526">
        <v>27</v>
      </c>
      <c r="J230" s="526">
        <v>38</v>
      </c>
      <c r="K230" s="526">
        <v>59</v>
      </c>
      <c r="L230" s="526">
        <v>70</v>
      </c>
      <c r="M230" s="526">
        <v>2.7</v>
      </c>
      <c r="N230" s="526">
        <v>6</v>
      </c>
      <c r="O230" s="526">
        <v>0.48</v>
      </c>
      <c r="P230" s="526">
        <v>0.21</v>
      </c>
      <c r="Q230" s="526">
        <v>1.7</v>
      </c>
      <c r="R230" s="526">
        <v>0.45</v>
      </c>
      <c r="S230" s="526">
        <v>0.11</v>
      </c>
      <c r="T230" s="526">
        <v>30</v>
      </c>
      <c r="V230" s="938">
        <f>C230*0.02*2.2</f>
        <v>2.5960000000000001</v>
      </c>
      <c r="W230" s="938">
        <f>V230/2.2</f>
        <v>1.18</v>
      </c>
    </row>
    <row r="231" spans="1:23">
      <c r="A231" s="531" t="s">
        <v>416</v>
      </c>
      <c r="B231" s="526">
        <v>87</v>
      </c>
      <c r="C231" s="526">
        <v>54</v>
      </c>
      <c r="D231" s="526">
        <v>54</v>
      </c>
      <c r="E231" s="526">
        <v>20</v>
      </c>
      <c r="F231" s="526">
        <v>54</v>
      </c>
      <c r="G231" s="526">
        <v>5</v>
      </c>
      <c r="H231" s="525"/>
      <c r="I231" s="526">
        <v>33</v>
      </c>
      <c r="J231" s="526">
        <v>41</v>
      </c>
      <c r="K231" s="526">
        <v>65</v>
      </c>
      <c r="L231" s="526">
        <v>100</v>
      </c>
      <c r="M231" s="526">
        <v>1.8</v>
      </c>
      <c r="N231" s="526">
        <v>10</v>
      </c>
      <c r="O231" s="526">
        <v>0.5</v>
      </c>
      <c r="P231" s="526">
        <v>0.12</v>
      </c>
      <c r="Q231" s="526">
        <v>1.2</v>
      </c>
      <c r="R231" s="525"/>
      <c r="S231" s="525"/>
      <c r="T231" s="525"/>
    </row>
    <row r="232" spans="1:23">
      <c r="A232" s="535" t="s">
        <v>299</v>
      </c>
      <c r="B232" s="526">
        <v>82</v>
      </c>
      <c r="C232" s="526">
        <v>90</v>
      </c>
      <c r="D232" s="526">
        <v>100</v>
      </c>
      <c r="E232" s="526">
        <v>68</v>
      </c>
      <c r="F232" s="526">
        <v>94</v>
      </c>
      <c r="G232" s="526">
        <v>11</v>
      </c>
      <c r="H232" s="526">
        <v>62</v>
      </c>
      <c r="I232" s="526">
        <v>3</v>
      </c>
      <c r="J232" s="526">
        <v>6</v>
      </c>
      <c r="K232" s="526">
        <v>15</v>
      </c>
      <c r="L232" s="526">
        <v>38</v>
      </c>
      <c r="M232" s="526">
        <v>3.1</v>
      </c>
      <c r="N232" s="526">
        <v>2</v>
      </c>
      <c r="O232" s="526">
        <v>0.04</v>
      </c>
      <c r="P232" s="526">
        <v>0.28000000000000003</v>
      </c>
      <c r="Q232" s="526">
        <v>0.4</v>
      </c>
      <c r="R232" s="526">
        <v>0.1</v>
      </c>
      <c r="S232" s="526">
        <v>0.14000000000000001</v>
      </c>
      <c r="T232" s="526">
        <v>18</v>
      </c>
    </row>
    <row r="233" spans="1:23">
      <c r="A233" s="543" t="s">
        <v>300</v>
      </c>
      <c r="B233" s="526">
        <v>89</v>
      </c>
      <c r="C233" s="526">
        <v>52</v>
      </c>
      <c r="D233" s="526">
        <v>52</v>
      </c>
      <c r="E233" s="526">
        <v>16</v>
      </c>
      <c r="F233" s="526">
        <v>51</v>
      </c>
      <c r="G233" s="526">
        <v>16</v>
      </c>
      <c r="H233" s="525"/>
      <c r="I233" s="526">
        <v>33</v>
      </c>
      <c r="J233" s="526">
        <v>40</v>
      </c>
      <c r="K233" s="526">
        <v>55</v>
      </c>
      <c r="L233" s="526">
        <v>92</v>
      </c>
      <c r="M233" s="526">
        <v>3.5</v>
      </c>
      <c r="N233" s="526">
        <v>8</v>
      </c>
      <c r="O233" s="526">
        <v>1.28</v>
      </c>
      <c r="P233" s="526">
        <v>0.28999999999999998</v>
      </c>
      <c r="Q233" s="526">
        <v>1</v>
      </c>
      <c r="R233" s="526">
        <v>0.15</v>
      </c>
      <c r="S233" s="526">
        <v>0.24</v>
      </c>
      <c r="T233" s="526">
        <v>24</v>
      </c>
      <c r="V233" s="938">
        <f t="shared" ref="V233:V241" si="8">C233*0.02*2.2</f>
        <v>2.2880000000000003</v>
      </c>
      <c r="W233" s="938">
        <f t="shared" ref="W233:W241" si="9">V233/2.2</f>
        <v>1.04</v>
      </c>
    </row>
    <row r="234" spans="1:23">
      <c r="A234" s="535" t="s">
        <v>305</v>
      </c>
      <c r="B234" s="526">
        <v>90</v>
      </c>
      <c r="C234" s="526">
        <v>77</v>
      </c>
      <c r="D234" s="526">
        <v>82</v>
      </c>
      <c r="E234" s="526">
        <v>52</v>
      </c>
      <c r="F234" s="526">
        <v>79</v>
      </c>
      <c r="G234" s="526">
        <v>13</v>
      </c>
      <c r="H234" s="526">
        <v>28</v>
      </c>
      <c r="I234" s="526">
        <v>39</v>
      </c>
      <c r="J234" s="526">
        <v>48</v>
      </c>
      <c r="K234" s="526">
        <v>62</v>
      </c>
      <c r="L234" s="526">
        <v>28</v>
      </c>
      <c r="M234" s="526">
        <v>2.2999999999999998</v>
      </c>
      <c r="N234" s="526">
        <v>5</v>
      </c>
      <c r="O234" s="526">
        <v>0.6</v>
      </c>
      <c r="P234" s="526">
        <v>0.19</v>
      </c>
      <c r="Q234" s="526">
        <v>1.3</v>
      </c>
      <c r="R234" s="526">
        <v>0.02</v>
      </c>
      <c r="S234" s="526">
        <v>0.12</v>
      </c>
      <c r="T234" s="526">
        <v>38</v>
      </c>
      <c r="V234" s="938">
        <f t="shared" si="8"/>
        <v>3.3880000000000003</v>
      </c>
      <c r="W234" s="938">
        <f t="shared" si="9"/>
        <v>1.54</v>
      </c>
    </row>
    <row r="235" spans="1:23">
      <c r="A235" s="535" t="s">
        <v>306</v>
      </c>
      <c r="B235" s="526">
        <v>90</v>
      </c>
      <c r="C235" s="526">
        <v>84</v>
      </c>
      <c r="D235" s="526">
        <v>92</v>
      </c>
      <c r="E235" s="526">
        <v>61</v>
      </c>
      <c r="F235" s="526">
        <v>87</v>
      </c>
      <c r="G235" s="526">
        <v>49</v>
      </c>
      <c r="H235" s="526">
        <v>35</v>
      </c>
      <c r="I235" s="526">
        <v>7</v>
      </c>
      <c r="J235" s="526">
        <v>10</v>
      </c>
      <c r="K235" s="526">
        <v>15</v>
      </c>
      <c r="L235" s="526">
        <v>23</v>
      </c>
      <c r="M235" s="526">
        <v>1.5</v>
      </c>
      <c r="N235" s="526">
        <v>7</v>
      </c>
      <c r="O235" s="526">
        <v>0.36</v>
      </c>
      <c r="P235" s="526">
        <v>0.7</v>
      </c>
      <c r="Q235" s="526">
        <v>2.2000000000000002</v>
      </c>
      <c r="R235" s="526">
        <v>7.0000000000000007E-2</v>
      </c>
      <c r="S235" s="526">
        <v>0.41</v>
      </c>
      <c r="T235" s="526">
        <v>62</v>
      </c>
      <c r="V235" s="938">
        <f t="shared" si="8"/>
        <v>3.6960000000000002</v>
      </c>
      <c r="W235" s="938">
        <f t="shared" si="9"/>
        <v>1.68</v>
      </c>
    </row>
    <row r="236" spans="1:23">
      <c r="A236" s="535" t="s">
        <v>307</v>
      </c>
      <c r="B236" s="526">
        <v>90</v>
      </c>
      <c r="C236" s="526">
        <v>87</v>
      </c>
      <c r="D236" s="526">
        <v>96</v>
      </c>
      <c r="E236" s="526">
        <v>64</v>
      </c>
      <c r="F236" s="526">
        <v>90</v>
      </c>
      <c r="G236" s="526">
        <v>54</v>
      </c>
      <c r="H236" s="526">
        <v>36</v>
      </c>
      <c r="I236" s="526">
        <v>4</v>
      </c>
      <c r="J236" s="526">
        <v>6</v>
      </c>
      <c r="K236" s="526">
        <v>9</v>
      </c>
      <c r="L236" s="526">
        <v>23</v>
      </c>
      <c r="M236" s="526">
        <v>1.1000000000000001</v>
      </c>
      <c r="N236" s="526">
        <v>6</v>
      </c>
      <c r="O236" s="526">
        <v>0.28000000000000003</v>
      </c>
      <c r="P236" s="526">
        <v>0.71</v>
      </c>
      <c r="Q236" s="526">
        <v>2.2000000000000002</v>
      </c>
      <c r="R236" s="526">
        <v>0.08</v>
      </c>
      <c r="S236" s="526">
        <v>0.45</v>
      </c>
      <c r="T236" s="526">
        <v>61</v>
      </c>
      <c r="V236" s="938">
        <f t="shared" si="8"/>
        <v>3.8280000000000003</v>
      </c>
      <c r="W236" s="938">
        <f t="shared" si="9"/>
        <v>1.74</v>
      </c>
    </row>
    <row r="237" spans="1:23">
      <c r="A237" s="531" t="s">
        <v>185</v>
      </c>
      <c r="B237" s="526">
        <v>90</v>
      </c>
      <c r="C237" s="526">
        <v>50</v>
      </c>
      <c r="D237" s="526">
        <v>50</v>
      </c>
      <c r="E237" s="526">
        <v>12</v>
      </c>
      <c r="F237" s="526">
        <v>49</v>
      </c>
      <c r="G237" s="526">
        <v>15</v>
      </c>
      <c r="H237" s="525"/>
      <c r="I237" s="526">
        <v>36</v>
      </c>
      <c r="J237" s="526">
        <v>46</v>
      </c>
      <c r="K237" s="525"/>
      <c r="L237" s="525"/>
      <c r="M237" s="526">
        <v>1.9</v>
      </c>
      <c r="N237" s="526">
        <v>6</v>
      </c>
      <c r="O237" s="526">
        <v>0.46</v>
      </c>
      <c r="P237" s="526">
        <v>0.19</v>
      </c>
      <c r="Q237" s="526">
        <v>1.7</v>
      </c>
      <c r="R237" s="525"/>
      <c r="S237" s="526">
        <v>7.0000000000000007E-2</v>
      </c>
      <c r="T237" s="525"/>
      <c r="V237" s="938">
        <f t="shared" si="8"/>
        <v>2.2000000000000002</v>
      </c>
      <c r="W237" s="938">
        <f t="shared" si="9"/>
        <v>1</v>
      </c>
    </row>
    <row r="238" spans="1:23">
      <c r="A238" s="531" t="s">
        <v>301</v>
      </c>
      <c r="B238" s="526">
        <v>88</v>
      </c>
      <c r="C238" s="526">
        <v>42</v>
      </c>
      <c r="D238" s="526">
        <v>43</v>
      </c>
      <c r="E238" s="526">
        <v>0</v>
      </c>
      <c r="F238" s="526">
        <v>40</v>
      </c>
      <c r="G238" s="526">
        <v>5</v>
      </c>
      <c r="H238" s="525"/>
      <c r="I238" s="526">
        <v>44</v>
      </c>
      <c r="J238" s="526">
        <v>54</v>
      </c>
      <c r="K238" s="526">
        <v>70</v>
      </c>
      <c r="L238" s="526">
        <v>100</v>
      </c>
      <c r="M238" s="526">
        <v>1.4</v>
      </c>
      <c r="N238" s="526">
        <v>6</v>
      </c>
      <c r="O238" s="526">
        <v>1.59</v>
      </c>
      <c r="P238" s="526">
        <v>0.06</v>
      </c>
      <c r="Q238" s="526">
        <v>0.6</v>
      </c>
      <c r="R238" s="525"/>
      <c r="S238" s="526">
        <v>0.26</v>
      </c>
      <c r="T238" s="525"/>
      <c r="V238" s="938">
        <f t="shared" si="8"/>
        <v>1.8480000000000001</v>
      </c>
      <c r="W238" s="938">
        <f t="shared" si="9"/>
        <v>0.84</v>
      </c>
    </row>
    <row r="239" spans="1:23">
      <c r="A239" s="535" t="s">
        <v>302</v>
      </c>
      <c r="B239" s="526">
        <v>88</v>
      </c>
      <c r="C239" s="526">
        <v>92</v>
      </c>
      <c r="D239" s="526">
        <v>103</v>
      </c>
      <c r="E239" s="526">
        <v>70</v>
      </c>
      <c r="F239" s="526">
        <v>96</v>
      </c>
      <c r="G239" s="526">
        <v>41</v>
      </c>
      <c r="H239" s="526">
        <v>28</v>
      </c>
      <c r="I239" s="526">
        <v>8</v>
      </c>
      <c r="J239" s="526">
        <v>11</v>
      </c>
      <c r="K239" s="526">
        <v>15</v>
      </c>
      <c r="L239" s="526">
        <v>100</v>
      </c>
      <c r="M239" s="526">
        <v>18.8</v>
      </c>
      <c r="N239" s="526">
        <v>5</v>
      </c>
      <c r="O239" s="526">
        <v>0.27</v>
      </c>
      <c r="P239" s="526">
        <v>0.64</v>
      </c>
      <c r="Q239" s="526">
        <v>1.9</v>
      </c>
      <c r="R239" s="526">
        <v>0.03</v>
      </c>
      <c r="S239" s="526">
        <v>0.34</v>
      </c>
      <c r="T239" s="526">
        <v>56</v>
      </c>
      <c r="V239" s="938">
        <f t="shared" si="8"/>
        <v>4.0480000000000009</v>
      </c>
      <c r="W239" s="938">
        <f t="shared" si="9"/>
        <v>1.8400000000000003</v>
      </c>
    </row>
    <row r="240" spans="1:23">
      <c r="A240" s="535" t="s">
        <v>182</v>
      </c>
      <c r="B240" s="526">
        <v>88</v>
      </c>
      <c r="C240" s="526">
        <v>93</v>
      </c>
      <c r="D240" s="526">
        <v>104</v>
      </c>
      <c r="E240" s="526">
        <v>71</v>
      </c>
      <c r="F240" s="526">
        <v>97</v>
      </c>
      <c r="G240" s="526">
        <v>40</v>
      </c>
      <c r="H240" s="526">
        <v>35</v>
      </c>
      <c r="I240" s="526">
        <v>9</v>
      </c>
      <c r="J240" s="526">
        <v>11</v>
      </c>
      <c r="K240" s="526">
        <v>15</v>
      </c>
      <c r="L240" s="526">
        <v>100</v>
      </c>
      <c r="M240" s="526">
        <v>18.8</v>
      </c>
      <c r="N240" s="526">
        <v>5</v>
      </c>
      <c r="O240" s="526">
        <v>0.27</v>
      </c>
      <c r="P240" s="526">
        <v>0.64</v>
      </c>
      <c r="Q240" s="526">
        <v>2</v>
      </c>
      <c r="R240" s="526">
        <v>0.03</v>
      </c>
      <c r="S240" s="526">
        <v>0.34</v>
      </c>
      <c r="T240" s="526">
        <v>56</v>
      </c>
      <c r="V240" s="938">
        <f t="shared" si="8"/>
        <v>4.0920000000000005</v>
      </c>
      <c r="W240" s="938">
        <f t="shared" si="9"/>
        <v>1.86</v>
      </c>
    </row>
    <row r="241" spans="1:23">
      <c r="A241" s="535" t="s">
        <v>183</v>
      </c>
      <c r="B241" s="526">
        <v>88</v>
      </c>
      <c r="C241" s="526">
        <v>93</v>
      </c>
      <c r="D241" s="526">
        <v>104</v>
      </c>
      <c r="E241" s="526">
        <v>71</v>
      </c>
      <c r="F241" s="526">
        <v>97</v>
      </c>
      <c r="G241" s="526">
        <v>40</v>
      </c>
      <c r="H241" s="526">
        <v>48</v>
      </c>
      <c r="I241" s="526">
        <v>9</v>
      </c>
      <c r="J241" s="526">
        <v>11</v>
      </c>
      <c r="K241" s="526">
        <v>15</v>
      </c>
      <c r="L241" s="526">
        <v>100</v>
      </c>
      <c r="M241" s="526">
        <v>18.8</v>
      </c>
      <c r="N241" s="526">
        <v>5</v>
      </c>
      <c r="O241" s="526">
        <v>0.27</v>
      </c>
      <c r="P241" s="526">
        <v>0.64</v>
      </c>
      <c r="Q241" s="526">
        <v>2</v>
      </c>
      <c r="R241" s="526">
        <v>0.03</v>
      </c>
      <c r="S241" s="526">
        <v>0.34</v>
      </c>
      <c r="T241" s="526">
        <v>56</v>
      </c>
      <c r="V241" s="938">
        <f t="shared" si="8"/>
        <v>4.0920000000000005</v>
      </c>
      <c r="W241" s="938">
        <f t="shared" si="9"/>
        <v>1.86</v>
      </c>
    </row>
    <row r="242" spans="1:23">
      <c r="A242" s="531" t="s">
        <v>100</v>
      </c>
      <c r="B242" s="526">
        <v>88</v>
      </c>
      <c r="C242" s="526">
        <v>75</v>
      </c>
      <c r="D242" s="526">
        <v>79</v>
      </c>
      <c r="E242" s="526">
        <v>50</v>
      </c>
      <c r="F242" s="526">
        <v>77</v>
      </c>
      <c r="G242" s="526">
        <v>13</v>
      </c>
      <c r="H242" s="526">
        <v>27</v>
      </c>
      <c r="I242" s="526">
        <v>10</v>
      </c>
      <c r="J242" s="526">
        <v>17</v>
      </c>
      <c r="K242" s="526">
        <v>21</v>
      </c>
      <c r="L242" s="526">
        <v>34</v>
      </c>
      <c r="M242" s="526">
        <v>2.1</v>
      </c>
      <c r="N242" s="526">
        <v>4</v>
      </c>
      <c r="O242" s="526">
        <v>0.04</v>
      </c>
      <c r="P242" s="526">
        <v>0.4</v>
      </c>
      <c r="Q242" s="526">
        <v>0.4</v>
      </c>
      <c r="R242" s="525"/>
      <c r="S242" s="526">
        <v>0.15</v>
      </c>
      <c r="T242" s="526">
        <v>47</v>
      </c>
    </row>
    <row r="243" spans="1:23">
      <c r="A243" s="531" t="s">
        <v>86</v>
      </c>
      <c r="B243" s="526">
        <v>18</v>
      </c>
      <c r="C243" s="526">
        <v>70</v>
      </c>
      <c r="D243" s="526">
        <v>73</v>
      </c>
      <c r="E243" s="526">
        <v>44</v>
      </c>
      <c r="F243" s="526">
        <v>71</v>
      </c>
      <c r="G243" s="526">
        <v>17</v>
      </c>
      <c r="H243" s="525"/>
      <c r="I243" s="526">
        <v>23</v>
      </c>
      <c r="J243" s="526">
        <v>29</v>
      </c>
      <c r="K243" s="526">
        <v>55</v>
      </c>
      <c r="L243" s="526">
        <v>41</v>
      </c>
      <c r="M243" s="526">
        <v>3.9</v>
      </c>
      <c r="N243" s="526">
        <v>9</v>
      </c>
      <c r="O243" s="526">
        <v>0.46</v>
      </c>
      <c r="P243" s="526">
        <v>0.36</v>
      </c>
      <c r="Q243" s="526">
        <v>2</v>
      </c>
      <c r="R243" s="525"/>
      <c r="S243" s="526">
        <v>0.11</v>
      </c>
      <c r="T243" s="526">
        <v>24</v>
      </c>
    </row>
    <row r="244" spans="1:23">
      <c r="A244" s="543" t="s">
        <v>87</v>
      </c>
      <c r="B244" s="526">
        <v>88</v>
      </c>
      <c r="C244" s="526">
        <v>57</v>
      </c>
      <c r="D244" s="526">
        <v>57</v>
      </c>
      <c r="E244" s="526">
        <v>25</v>
      </c>
      <c r="F244" s="526">
        <v>57</v>
      </c>
      <c r="G244" s="526">
        <v>9</v>
      </c>
      <c r="H244" s="526">
        <v>30</v>
      </c>
      <c r="I244" s="526">
        <v>36</v>
      </c>
      <c r="J244" s="526">
        <v>43</v>
      </c>
      <c r="K244" s="526">
        <v>67</v>
      </c>
      <c r="L244" s="526">
        <v>98</v>
      </c>
      <c r="M244" s="526">
        <v>1.8</v>
      </c>
      <c r="N244" s="526">
        <v>10</v>
      </c>
      <c r="O244" s="526">
        <v>0.5</v>
      </c>
      <c r="P244" s="526">
        <v>0.22</v>
      </c>
      <c r="Q244" s="526">
        <v>2.2000000000000002</v>
      </c>
      <c r="R244" s="526">
        <v>0.8</v>
      </c>
      <c r="S244" s="526">
        <v>0.12</v>
      </c>
      <c r="T244" s="526">
        <v>26</v>
      </c>
    </row>
    <row r="245" spans="1:23">
      <c r="A245" s="531" t="s">
        <v>88</v>
      </c>
      <c r="B245" s="526">
        <v>31</v>
      </c>
      <c r="C245" s="526">
        <v>58</v>
      </c>
      <c r="D245" s="526">
        <v>58</v>
      </c>
      <c r="E245" s="526">
        <v>26</v>
      </c>
      <c r="F245" s="526">
        <v>58</v>
      </c>
      <c r="G245" s="526">
        <v>10</v>
      </c>
      <c r="H245" s="526">
        <v>28</v>
      </c>
      <c r="I245" s="526">
        <v>30</v>
      </c>
      <c r="J245" s="526">
        <v>42</v>
      </c>
      <c r="K245" s="526">
        <v>64</v>
      </c>
      <c r="L245" s="526">
        <v>61</v>
      </c>
      <c r="M245" s="526">
        <v>3.1</v>
      </c>
      <c r="N245" s="526">
        <v>10</v>
      </c>
      <c r="O245" s="526">
        <v>0.57999999999999996</v>
      </c>
      <c r="P245" s="526">
        <v>0.27</v>
      </c>
      <c r="Q245" s="526">
        <v>2.4</v>
      </c>
      <c r="R245" s="526">
        <v>0.52</v>
      </c>
      <c r="S245" s="526">
        <v>0.14000000000000001</v>
      </c>
      <c r="T245" s="526">
        <v>29</v>
      </c>
    </row>
    <row r="246" spans="1:23">
      <c r="A246" s="531" t="s">
        <v>210</v>
      </c>
      <c r="B246" s="526">
        <v>91</v>
      </c>
      <c r="C246" s="526">
        <v>39</v>
      </c>
      <c r="D246" s="526">
        <v>41</v>
      </c>
      <c r="E246" s="526">
        <v>0</v>
      </c>
      <c r="F246" s="526">
        <v>37</v>
      </c>
      <c r="G246" s="526">
        <v>1</v>
      </c>
      <c r="H246" s="525"/>
      <c r="I246" s="526">
        <v>49</v>
      </c>
      <c r="J246" s="526">
        <v>60</v>
      </c>
      <c r="K246" s="526">
        <v>86</v>
      </c>
      <c r="L246" s="526">
        <v>100</v>
      </c>
      <c r="M246" s="526">
        <v>0.6</v>
      </c>
      <c r="N246" s="526">
        <v>4</v>
      </c>
      <c r="O246" s="526">
        <v>0.9</v>
      </c>
      <c r="P246" s="526">
        <v>0.28999999999999998</v>
      </c>
      <c r="Q246" s="526">
        <v>0.5</v>
      </c>
      <c r="R246" s="525"/>
      <c r="S246" s="526">
        <v>0.1</v>
      </c>
      <c r="T246" s="525"/>
    </row>
    <row r="247" spans="1:23">
      <c r="A247" s="531" t="s">
        <v>90</v>
      </c>
      <c r="B247" s="526">
        <v>91</v>
      </c>
      <c r="C247" s="526">
        <v>57</v>
      </c>
      <c r="D247" s="526">
        <v>57</v>
      </c>
      <c r="E247" s="526">
        <v>25</v>
      </c>
      <c r="F247" s="526">
        <v>57</v>
      </c>
      <c r="G247" s="526">
        <v>31</v>
      </c>
      <c r="H247" s="526">
        <v>35</v>
      </c>
      <c r="I247" s="526">
        <v>27</v>
      </c>
      <c r="J247" s="526">
        <v>32</v>
      </c>
      <c r="K247" s="526">
        <v>44</v>
      </c>
      <c r="L247" s="526">
        <v>37</v>
      </c>
      <c r="M247" s="526">
        <v>2.4</v>
      </c>
      <c r="N247" s="526">
        <v>7</v>
      </c>
      <c r="O247" s="526">
        <v>0.4</v>
      </c>
      <c r="P247" s="526">
        <v>1.03</v>
      </c>
      <c r="Q247" s="526">
        <v>1</v>
      </c>
      <c r="R247" s="525"/>
      <c r="S247" s="526">
        <v>0.3</v>
      </c>
      <c r="T247" s="526">
        <v>85</v>
      </c>
      <c r="V247" s="938">
        <f>C247*0.02*2.2</f>
        <v>2.5080000000000005</v>
      </c>
    </row>
    <row r="248" spans="1:23">
      <c r="A248" s="531" t="s">
        <v>89</v>
      </c>
      <c r="B248" s="526">
        <v>92</v>
      </c>
      <c r="C248" s="526">
        <v>65</v>
      </c>
      <c r="D248" s="526">
        <v>66</v>
      </c>
      <c r="E248" s="526">
        <v>37</v>
      </c>
      <c r="F248" s="526">
        <v>66</v>
      </c>
      <c r="G248" s="526">
        <v>40</v>
      </c>
      <c r="H248" s="526">
        <v>27</v>
      </c>
      <c r="I248" s="526">
        <v>18</v>
      </c>
      <c r="J248" s="526">
        <v>22</v>
      </c>
      <c r="K248" s="526">
        <v>36</v>
      </c>
      <c r="L248" s="526">
        <v>23</v>
      </c>
      <c r="M248" s="526">
        <v>2.8</v>
      </c>
      <c r="N248" s="526">
        <v>8</v>
      </c>
      <c r="O248" s="526">
        <v>0.44</v>
      </c>
      <c r="P248" s="526">
        <v>0.97</v>
      </c>
      <c r="Q248" s="526">
        <v>1.1000000000000001</v>
      </c>
      <c r="R248" s="526">
        <v>0.15</v>
      </c>
      <c r="S248" s="526">
        <v>0.33</v>
      </c>
      <c r="T248" s="526">
        <v>55</v>
      </c>
      <c r="V248" s="938">
        <f>C248*0.02*2.2</f>
        <v>2.8600000000000003</v>
      </c>
    </row>
    <row r="249" spans="1:23">
      <c r="A249" s="531" t="s">
        <v>91</v>
      </c>
      <c r="B249" s="526">
        <v>90</v>
      </c>
      <c r="C249" s="526">
        <v>40</v>
      </c>
      <c r="D249" s="526">
        <v>42</v>
      </c>
      <c r="E249" s="526">
        <v>0</v>
      </c>
      <c r="F249" s="526">
        <v>38</v>
      </c>
      <c r="G249" s="526">
        <v>4</v>
      </c>
      <c r="H249" s="526">
        <v>65</v>
      </c>
      <c r="I249" s="526">
        <v>52</v>
      </c>
      <c r="J249" s="526">
        <v>63</v>
      </c>
      <c r="K249" s="526">
        <v>73</v>
      </c>
      <c r="L249" s="526">
        <v>90</v>
      </c>
      <c r="M249" s="526">
        <v>2.2000000000000002</v>
      </c>
      <c r="N249" s="526">
        <v>3</v>
      </c>
      <c r="O249" s="526">
        <v>0</v>
      </c>
      <c r="P249" s="526">
        <v>0.11</v>
      </c>
      <c r="Q249" s="526">
        <v>0.2</v>
      </c>
      <c r="R249" s="525"/>
      <c r="S249" s="526">
        <v>0.19</v>
      </c>
      <c r="T249" s="526">
        <v>200</v>
      </c>
      <c r="V249" s="938">
        <f>C249*0.02*2.2</f>
        <v>1.7600000000000002</v>
      </c>
    </row>
    <row r="250" spans="1:23">
      <c r="A250" s="531" t="s">
        <v>211</v>
      </c>
      <c r="B250" s="526">
        <v>89</v>
      </c>
      <c r="C250" s="526">
        <v>82</v>
      </c>
      <c r="D250" s="526">
        <v>89</v>
      </c>
      <c r="E250" s="526">
        <v>59</v>
      </c>
      <c r="F250" s="526">
        <v>85</v>
      </c>
      <c r="G250" s="526">
        <v>1</v>
      </c>
      <c r="H250" s="525"/>
      <c r="I250" s="526">
        <v>5</v>
      </c>
      <c r="J250" s="526">
        <v>8</v>
      </c>
      <c r="K250" s="526">
        <v>34</v>
      </c>
      <c r="L250" s="525"/>
      <c r="M250" s="526">
        <v>0.8</v>
      </c>
      <c r="N250" s="526">
        <v>3</v>
      </c>
      <c r="O250" s="526">
        <v>0.03</v>
      </c>
      <c r="P250" s="526">
        <v>0.05</v>
      </c>
      <c r="Q250" s="525"/>
      <c r="R250" s="525"/>
      <c r="S250" s="525"/>
      <c r="T250" s="525"/>
    </row>
    <row r="251" spans="1:23">
      <c r="A251" s="531" t="s">
        <v>212</v>
      </c>
      <c r="B251" s="526">
        <v>26</v>
      </c>
      <c r="C251" s="526">
        <v>64</v>
      </c>
      <c r="D251" s="526">
        <v>65</v>
      </c>
      <c r="E251" s="526">
        <v>36</v>
      </c>
      <c r="F251" s="526">
        <v>65</v>
      </c>
      <c r="G251" s="526">
        <v>11</v>
      </c>
      <c r="H251" s="526">
        <v>20</v>
      </c>
      <c r="I251" s="526">
        <v>31</v>
      </c>
      <c r="J251" s="526">
        <v>36</v>
      </c>
      <c r="K251" s="526">
        <v>59</v>
      </c>
      <c r="L251" s="526">
        <v>41</v>
      </c>
      <c r="M251" s="526">
        <v>3.8</v>
      </c>
      <c r="N251" s="526">
        <v>7</v>
      </c>
      <c r="O251" s="526">
        <v>0.4</v>
      </c>
      <c r="P251" s="526">
        <v>0.28000000000000003</v>
      </c>
      <c r="Q251" s="526">
        <v>1.9</v>
      </c>
      <c r="R251" s="526">
        <v>0.56999999999999995</v>
      </c>
      <c r="S251" s="526">
        <v>0.15</v>
      </c>
      <c r="T251" s="526">
        <v>28</v>
      </c>
    </row>
    <row r="252" spans="1:23">
      <c r="A252" s="531" t="s">
        <v>304</v>
      </c>
      <c r="B252" s="526">
        <v>88</v>
      </c>
      <c r="C252" s="526">
        <v>59</v>
      </c>
      <c r="D252" s="526">
        <v>59</v>
      </c>
      <c r="E252" s="526">
        <v>28</v>
      </c>
      <c r="F252" s="526">
        <v>59</v>
      </c>
      <c r="G252" s="526">
        <v>11</v>
      </c>
      <c r="H252" s="526">
        <v>22</v>
      </c>
      <c r="I252" s="526">
        <v>32</v>
      </c>
      <c r="J252" s="526">
        <v>39</v>
      </c>
      <c r="K252" s="526">
        <v>63</v>
      </c>
      <c r="L252" s="526">
        <v>98</v>
      </c>
      <c r="M252" s="526">
        <v>2.7</v>
      </c>
      <c r="N252" s="526">
        <v>6</v>
      </c>
      <c r="O252" s="526">
        <v>0.57999999999999996</v>
      </c>
      <c r="P252" s="526">
        <v>0.26</v>
      </c>
      <c r="Q252" s="526">
        <v>1.9</v>
      </c>
      <c r="R252" s="526">
        <v>0.51</v>
      </c>
      <c r="S252" s="526">
        <v>0.21</v>
      </c>
      <c r="T252" s="526">
        <v>30</v>
      </c>
    </row>
    <row r="253" spans="1:23">
      <c r="A253" s="531" t="s">
        <v>189</v>
      </c>
      <c r="B253" s="526">
        <v>88</v>
      </c>
      <c r="C253" s="526">
        <v>57</v>
      </c>
      <c r="D253" s="526">
        <v>57</v>
      </c>
      <c r="E253" s="526">
        <v>25</v>
      </c>
      <c r="F253" s="526">
        <v>57</v>
      </c>
      <c r="G253" s="526">
        <v>8</v>
      </c>
      <c r="H253" s="526">
        <v>30</v>
      </c>
      <c r="I253" s="526">
        <v>34</v>
      </c>
      <c r="J253" s="526">
        <v>40</v>
      </c>
      <c r="K253" s="526">
        <v>65</v>
      </c>
      <c r="L253" s="526">
        <v>98</v>
      </c>
      <c r="M253" s="526">
        <v>2.6</v>
      </c>
      <c r="N253" s="526">
        <v>5</v>
      </c>
      <c r="O253" s="526">
        <v>0.43</v>
      </c>
      <c r="P253" s="526">
        <v>0.2</v>
      </c>
      <c r="Q253" s="526">
        <v>1.8</v>
      </c>
      <c r="R253" s="526">
        <v>0.62</v>
      </c>
      <c r="S253" s="526">
        <v>0.13</v>
      </c>
      <c r="T253" s="526">
        <v>25</v>
      </c>
    </row>
    <row r="254" spans="1:23">
      <c r="A254" s="531" t="s">
        <v>190</v>
      </c>
      <c r="B254" s="526">
        <v>34</v>
      </c>
      <c r="C254" s="526">
        <v>59</v>
      </c>
      <c r="D254" s="526">
        <v>59</v>
      </c>
      <c r="E254" s="526">
        <v>28</v>
      </c>
      <c r="F254" s="526">
        <v>59</v>
      </c>
      <c r="G254" s="526">
        <v>10</v>
      </c>
      <c r="H254" s="526">
        <v>25</v>
      </c>
      <c r="I254" s="526">
        <v>34</v>
      </c>
      <c r="J254" s="526">
        <v>45</v>
      </c>
      <c r="K254" s="526">
        <v>70</v>
      </c>
      <c r="L254" s="526">
        <v>61</v>
      </c>
      <c r="M254" s="526">
        <v>3.4</v>
      </c>
      <c r="N254" s="526">
        <v>7</v>
      </c>
      <c r="O254" s="526">
        <v>0.5</v>
      </c>
      <c r="P254" s="526">
        <v>0.27</v>
      </c>
      <c r="Q254" s="526">
        <v>1.7</v>
      </c>
      <c r="R254" s="525"/>
      <c r="S254" s="526">
        <v>0.15</v>
      </c>
      <c r="T254" s="525"/>
    </row>
    <row r="255" spans="1:23">
      <c r="A255" s="531" t="s">
        <v>191</v>
      </c>
      <c r="B255" s="526">
        <v>92</v>
      </c>
      <c r="C255" s="526">
        <v>64</v>
      </c>
      <c r="D255" s="526">
        <v>65</v>
      </c>
      <c r="E255" s="526">
        <v>36</v>
      </c>
      <c r="F255" s="526">
        <v>65</v>
      </c>
      <c r="G255" s="526">
        <v>23</v>
      </c>
      <c r="H255" s="525"/>
      <c r="I255" s="526">
        <v>26</v>
      </c>
      <c r="J255" s="526">
        <v>50</v>
      </c>
      <c r="K255" s="526">
        <v>55</v>
      </c>
      <c r="L255" s="526">
        <v>34</v>
      </c>
      <c r="M255" s="526">
        <v>10.6</v>
      </c>
      <c r="N255" s="526">
        <v>6</v>
      </c>
      <c r="O255" s="526">
        <v>0.43</v>
      </c>
      <c r="P255" s="526">
        <v>0.59</v>
      </c>
      <c r="Q255" s="526">
        <v>3.6</v>
      </c>
      <c r="R255" s="525"/>
      <c r="S255" s="525"/>
      <c r="T255" s="525"/>
    </row>
    <row r="256" spans="1:23">
      <c r="A256" s="531" t="s">
        <v>85</v>
      </c>
      <c r="B256" s="526">
        <v>89</v>
      </c>
      <c r="C256" s="526">
        <v>85</v>
      </c>
      <c r="D256" s="526">
        <v>93</v>
      </c>
      <c r="E256" s="526">
        <v>62</v>
      </c>
      <c r="F256" s="526">
        <v>88</v>
      </c>
      <c r="G256" s="526">
        <v>14</v>
      </c>
      <c r="H256" s="526">
        <v>25</v>
      </c>
      <c r="I256" s="526">
        <v>4</v>
      </c>
      <c r="J256" s="526">
        <v>5</v>
      </c>
      <c r="K256" s="526">
        <v>22</v>
      </c>
      <c r="L256" s="526">
        <v>34</v>
      </c>
      <c r="M256" s="526">
        <v>2.4</v>
      </c>
      <c r="N256" s="526">
        <v>2</v>
      </c>
      <c r="O256" s="526">
        <v>7.0000000000000007E-2</v>
      </c>
      <c r="P256" s="526">
        <v>0.39</v>
      </c>
      <c r="Q256" s="526">
        <v>0.5</v>
      </c>
      <c r="R256" s="525"/>
      <c r="S256" s="526">
        <v>0.17</v>
      </c>
      <c r="T256" s="526">
        <v>37</v>
      </c>
    </row>
    <row r="257" spans="1:22">
      <c r="A257" s="543" t="s">
        <v>192</v>
      </c>
      <c r="B257" s="526">
        <v>90</v>
      </c>
      <c r="C257" s="526">
        <v>56</v>
      </c>
      <c r="D257" s="526">
        <v>56</v>
      </c>
      <c r="E257" s="526">
        <v>23</v>
      </c>
      <c r="F257" s="526">
        <v>56</v>
      </c>
      <c r="G257" s="526">
        <v>10</v>
      </c>
      <c r="H257" s="525"/>
      <c r="I257" s="526">
        <v>34</v>
      </c>
      <c r="J257" s="526">
        <v>41</v>
      </c>
      <c r="K257" s="526">
        <v>69</v>
      </c>
      <c r="L257" s="526">
        <v>98</v>
      </c>
      <c r="M257" s="525"/>
      <c r="N257" s="525"/>
      <c r="O257" s="526">
        <v>0.3</v>
      </c>
      <c r="P257" s="526">
        <v>0.26</v>
      </c>
      <c r="Q257" s="526">
        <v>2.2999999999999998</v>
      </c>
      <c r="R257" s="525"/>
      <c r="S257" s="525"/>
      <c r="T257" s="526">
        <v>25</v>
      </c>
    </row>
    <row r="258" spans="1:22">
      <c r="A258" s="531" t="s">
        <v>84</v>
      </c>
      <c r="B258" s="526">
        <v>34</v>
      </c>
      <c r="C258" s="526">
        <v>58</v>
      </c>
      <c r="D258" s="526">
        <v>58</v>
      </c>
      <c r="E258" s="526">
        <v>26</v>
      </c>
      <c r="F258" s="526">
        <v>58</v>
      </c>
      <c r="G258" s="526">
        <v>14</v>
      </c>
      <c r="H258" s="525"/>
      <c r="I258" s="526">
        <v>30</v>
      </c>
      <c r="J258" s="526">
        <v>39</v>
      </c>
      <c r="K258" s="526">
        <v>56</v>
      </c>
      <c r="L258" s="526">
        <v>61</v>
      </c>
      <c r="M258" s="526">
        <v>3.6</v>
      </c>
      <c r="N258" s="525"/>
      <c r="O258" s="526">
        <v>0.57999999999999996</v>
      </c>
      <c r="P258" s="526">
        <v>0.34</v>
      </c>
      <c r="Q258" s="526">
        <v>2.7</v>
      </c>
      <c r="R258" s="525"/>
      <c r="S258" s="526">
        <v>0.28000000000000003</v>
      </c>
      <c r="T258" s="526">
        <v>36</v>
      </c>
    </row>
    <row r="259" spans="1:22">
      <c r="A259" s="531" t="s">
        <v>197</v>
      </c>
      <c r="B259" s="526">
        <v>9</v>
      </c>
      <c r="C259" s="526">
        <v>86</v>
      </c>
      <c r="D259" s="526">
        <v>95</v>
      </c>
      <c r="E259" s="526">
        <v>63</v>
      </c>
      <c r="F259" s="526">
        <v>89</v>
      </c>
      <c r="G259" s="526">
        <v>12</v>
      </c>
      <c r="H259" s="526">
        <v>0</v>
      </c>
      <c r="I259" s="526">
        <v>11</v>
      </c>
      <c r="J259" s="526">
        <v>34</v>
      </c>
      <c r="K259" s="526">
        <v>44</v>
      </c>
      <c r="L259" s="526">
        <v>40</v>
      </c>
      <c r="M259" s="526">
        <v>1.6</v>
      </c>
      <c r="N259" s="526">
        <v>9</v>
      </c>
      <c r="O259" s="526">
        <v>0.65</v>
      </c>
      <c r="P259" s="526">
        <v>0.31</v>
      </c>
      <c r="Q259" s="526">
        <v>3.1</v>
      </c>
      <c r="R259" s="526">
        <v>0.65</v>
      </c>
      <c r="S259" s="526">
        <v>0.43</v>
      </c>
      <c r="T259" s="526">
        <v>40</v>
      </c>
    </row>
    <row r="260" spans="1:22">
      <c r="A260" s="531" t="s">
        <v>99</v>
      </c>
      <c r="B260" s="526">
        <v>18</v>
      </c>
      <c r="C260" s="526">
        <v>68</v>
      </c>
      <c r="D260" s="526">
        <v>70</v>
      </c>
      <c r="E260" s="526">
        <v>41</v>
      </c>
      <c r="F260" s="526">
        <v>69</v>
      </c>
      <c r="G260" s="526">
        <v>18</v>
      </c>
      <c r="H260" s="525"/>
      <c r="I260" s="526">
        <v>10</v>
      </c>
      <c r="J260" s="526">
        <v>13</v>
      </c>
      <c r="K260" s="525"/>
      <c r="L260" s="525"/>
      <c r="M260" s="526">
        <v>2.6</v>
      </c>
      <c r="N260" s="526">
        <v>14</v>
      </c>
      <c r="O260" s="526">
        <v>3.1</v>
      </c>
      <c r="P260" s="526">
        <v>0.4</v>
      </c>
      <c r="Q260" s="526">
        <v>3</v>
      </c>
      <c r="R260" s="526">
        <v>1.8</v>
      </c>
      <c r="S260" s="526">
        <v>0.27</v>
      </c>
      <c r="T260" s="525"/>
    </row>
    <row r="261" spans="1:22">
      <c r="A261" s="531" t="s">
        <v>198</v>
      </c>
      <c r="B261" s="526">
        <v>99</v>
      </c>
      <c r="C261" s="526">
        <v>0</v>
      </c>
      <c r="D261" s="526">
        <v>0</v>
      </c>
      <c r="E261" s="526">
        <v>0</v>
      </c>
      <c r="F261" s="526">
        <v>0</v>
      </c>
      <c r="G261" s="526">
        <v>288</v>
      </c>
      <c r="H261" s="526">
        <v>0</v>
      </c>
      <c r="I261" s="526">
        <v>0</v>
      </c>
      <c r="J261" s="526">
        <v>0</v>
      </c>
      <c r="K261" s="526">
        <v>0</v>
      </c>
      <c r="L261" s="526">
        <v>0</v>
      </c>
      <c r="M261" s="526">
        <v>0</v>
      </c>
      <c r="N261" s="526">
        <v>0</v>
      </c>
      <c r="O261" s="526">
        <v>0</v>
      </c>
      <c r="P261" s="526">
        <v>0</v>
      </c>
      <c r="Q261" s="526">
        <v>0</v>
      </c>
      <c r="R261" s="526">
        <v>0</v>
      </c>
      <c r="S261" s="526">
        <v>0</v>
      </c>
      <c r="T261" s="526">
        <v>0</v>
      </c>
    </row>
    <row r="262" spans="1:22">
      <c r="A262" s="543" t="s">
        <v>199</v>
      </c>
      <c r="B262" s="526">
        <v>89</v>
      </c>
      <c r="C262" s="526">
        <v>58</v>
      </c>
      <c r="D262" s="526">
        <v>58</v>
      </c>
      <c r="E262" s="526">
        <v>26</v>
      </c>
      <c r="F262" s="526">
        <v>58</v>
      </c>
      <c r="G262" s="526">
        <v>18</v>
      </c>
      <c r="H262" s="526">
        <v>14</v>
      </c>
      <c r="I262" s="526">
        <v>30</v>
      </c>
      <c r="J262" s="526">
        <v>33</v>
      </c>
      <c r="K262" s="526">
        <v>48</v>
      </c>
      <c r="L262" s="526">
        <v>92</v>
      </c>
      <c r="M262" s="526">
        <v>1.8</v>
      </c>
      <c r="N262" s="526">
        <v>8</v>
      </c>
      <c r="O262" s="526">
        <v>1.25</v>
      </c>
      <c r="P262" s="526">
        <v>0.34</v>
      </c>
      <c r="Q262" s="526">
        <v>2.4</v>
      </c>
      <c r="R262" s="525"/>
      <c r="S262" s="526">
        <v>0.13</v>
      </c>
      <c r="T262" s="525"/>
    </row>
    <row r="263" spans="1:22">
      <c r="A263" s="535" t="s">
        <v>470</v>
      </c>
      <c r="B263" s="526">
        <v>89</v>
      </c>
      <c r="C263" s="526">
        <v>70</v>
      </c>
      <c r="D263" s="526">
        <v>73</v>
      </c>
      <c r="E263" s="526">
        <v>44</v>
      </c>
      <c r="F263" s="526">
        <v>71</v>
      </c>
      <c r="G263" s="526">
        <v>17</v>
      </c>
      <c r="H263" s="526">
        <v>28</v>
      </c>
      <c r="I263" s="526">
        <v>11</v>
      </c>
      <c r="J263" s="526">
        <v>14</v>
      </c>
      <c r="K263" s="526">
        <v>46</v>
      </c>
      <c r="L263" s="526">
        <v>4</v>
      </c>
      <c r="M263" s="526">
        <v>4.4000000000000004</v>
      </c>
      <c r="N263" s="526">
        <v>7</v>
      </c>
      <c r="O263" s="526">
        <v>0.13</v>
      </c>
      <c r="P263" s="526">
        <v>1.32</v>
      </c>
      <c r="Q263" s="526">
        <v>1.4</v>
      </c>
      <c r="R263" s="526">
        <v>0.05</v>
      </c>
      <c r="S263" s="526">
        <v>0.24</v>
      </c>
      <c r="T263" s="526">
        <v>96</v>
      </c>
    </row>
    <row r="264" spans="1:22">
      <c r="A264" s="531" t="s">
        <v>200</v>
      </c>
      <c r="B264" s="526">
        <v>21</v>
      </c>
      <c r="C264" s="526">
        <v>71</v>
      </c>
      <c r="D264" s="526">
        <v>74</v>
      </c>
      <c r="E264" s="526">
        <v>46</v>
      </c>
      <c r="F264" s="526">
        <v>73</v>
      </c>
      <c r="G264" s="526">
        <v>20</v>
      </c>
      <c r="H264" s="526">
        <v>16</v>
      </c>
      <c r="I264" s="526">
        <v>18</v>
      </c>
      <c r="J264" s="526">
        <v>30</v>
      </c>
      <c r="K264" s="526">
        <v>50</v>
      </c>
      <c r="L264" s="526">
        <v>41</v>
      </c>
      <c r="M264" s="526">
        <v>4</v>
      </c>
      <c r="N264" s="526">
        <v>13</v>
      </c>
      <c r="O264" s="526">
        <v>0.35</v>
      </c>
      <c r="P264" s="526">
        <v>0.36</v>
      </c>
      <c r="Q264" s="526">
        <v>3.1</v>
      </c>
      <c r="R264" s="526">
        <v>0.67</v>
      </c>
      <c r="S264" s="526">
        <v>0.22</v>
      </c>
      <c r="T264" s="525"/>
      <c r="V264" s="938">
        <f t="shared" ref="V264:V269" si="10">C264*0.02*2.2</f>
        <v>3.1240000000000001</v>
      </c>
    </row>
    <row r="265" spans="1:22">
      <c r="A265" s="535" t="s">
        <v>205</v>
      </c>
      <c r="B265" s="526">
        <v>89</v>
      </c>
      <c r="C265" s="526">
        <v>88</v>
      </c>
      <c r="D265" s="526">
        <v>98</v>
      </c>
      <c r="E265" s="526">
        <v>65</v>
      </c>
      <c r="F265" s="526">
        <v>91</v>
      </c>
      <c r="G265" s="526">
        <v>14</v>
      </c>
      <c r="H265" s="526">
        <v>23</v>
      </c>
      <c r="I265" s="526">
        <v>3</v>
      </c>
      <c r="J265" s="526">
        <v>4</v>
      </c>
      <c r="K265" s="526">
        <v>12</v>
      </c>
      <c r="L265" s="526">
        <v>0</v>
      </c>
      <c r="M265" s="526">
        <v>2.2999999999999998</v>
      </c>
      <c r="N265" s="526">
        <v>2</v>
      </c>
      <c r="O265" s="526">
        <v>0.05</v>
      </c>
      <c r="P265" s="526">
        <v>0.43</v>
      </c>
      <c r="Q265" s="526">
        <v>0.4</v>
      </c>
      <c r="R265" s="526">
        <v>0.09</v>
      </c>
      <c r="S265" s="526">
        <v>0.15</v>
      </c>
      <c r="T265" s="526">
        <v>40</v>
      </c>
      <c r="V265" s="938">
        <f t="shared" si="10"/>
        <v>3.8720000000000003</v>
      </c>
    </row>
    <row r="266" spans="1:22">
      <c r="A266" s="535" t="s">
        <v>92</v>
      </c>
      <c r="B266" s="526">
        <v>89</v>
      </c>
      <c r="C266" s="526">
        <v>88</v>
      </c>
      <c r="D266" s="526">
        <v>98</v>
      </c>
      <c r="E266" s="526">
        <v>65</v>
      </c>
      <c r="F266" s="526">
        <v>91</v>
      </c>
      <c r="G266" s="526">
        <v>14</v>
      </c>
      <c r="H266" s="526">
        <v>28</v>
      </c>
      <c r="I266" s="526">
        <v>3</v>
      </c>
      <c r="J266" s="526">
        <v>6</v>
      </c>
      <c r="K266" s="526">
        <v>14</v>
      </c>
      <c r="L266" s="526">
        <v>0</v>
      </c>
      <c r="M266" s="526">
        <v>2</v>
      </c>
      <c r="N266" s="526">
        <v>2</v>
      </c>
      <c r="O266" s="526">
        <v>0.05</v>
      </c>
      <c r="P266" s="526">
        <v>0.43</v>
      </c>
      <c r="Q266" s="526">
        <v>0.5</v>
      </c>
      <c r="R266" s="525"/>
      <c r="S266" s="526">
        <v>0.16</v>
      </c>
      <c r="T266" s="526">
        <v>45</v>
      </c>
      <c r="V266" s="938">
        <f t="shared" si="10"/>
        <v>3.8720000000000003</v>
      </c>
    </row>
    <row r="267" spans="1:22">
      <c r="A267" s="535" t="s">
        <v>93</v>
      </c>
      <c r="B267" s="526">
        <v>89</v>
      </c>
      <c r="C267" s="526">
        <v>88</v>
      </c>
      <c r="D267" s="526">
        <v>98</v>
      </c>
      <c r="E267" s="526">
        <v>65</v>
      </c>
      <c r="F267" s="526">
        <v>91</v>
      </c>
      <c r="G267" s="526">
        <v>12</v>
      </c>
      <c r="H267" s="526">
        <v>23</v>
      </c>
      <c r="I267" s="526">
        <v>3</v>
      </c>
      <c r="J267" s="526">
        <v>4</v>
      </c>
      <c r="K267" s="526">
        <v>12</v>
      </c>
      <c r="L267" s="526">
        <v>0</v>
      </c>
      <c r="M267" s="526">
        <v>2</v>
      </c>
      <c r="N267" s="526">
        <v>2</v>
      </c>
      <c r="O267" s="526">
        <v>0.06</v>
      </c>
      <c r="P267" s="526">
        <v>0.4</v>
      </c>
      <c r="Q267" s="526">
        <v>0.4</v>
      </c>
      <c r="R267" s="525"/>
      <c r="S267" s="526">
        <v>0.15</v>
      </c>
      <c r="T267" s="526">
        <v>30</v>
      </c>
      <c r="V267" s="938">
        <f t="shared" si="10"/>
        <v>3.8720000000000003</v>
      </c>
    </row>
    <row r="268" spans="1:22">
      <c r="A268" s="535" t="s">
        <v>95</v>
      </c>
      <c r="B268" s="526">
        <v>86</v>
      </c>
      <c r="C268" s="526">
        <v>88</v>
      </c>
      <c r="D268" s="526">
        <v>98</v>
      </c>
      <c r="E268" s="526">
        <v>65</v>
      </c>
      <c r="F268" s="526">
        <v>91</v>
      </c>
      <c r="G268" s="526">
        <v>12</v>
      </c>
      <c r="H268" s="526">
        <v>18</v>
      </c>
      <c r="I268" s="526">
        <v>3</v>
      </c>
      <c r="J268" s="526">
        <v>4</v>
      </c>
      <c r="K268" s="526">
        <v>13</v>
      </c>
      <c r="L268" s="526">
        <v>0</v>
      </c>
      <c r="M268" s="526">
        <v>2</v>
      </c>
      <c r="N268" s="526">
        <v>2</v>
      </c>
      <c r="O268" s="526">
        <v>0.04</v>
      </c>
      <c r="P268" s="526">
        <v>0.36</v>
      </c>
      <c r="Q268" s="526">
        <v>0.4</v>
      </c>
      <c r="R268" s="525"/>
      <c r="S268" s="526">
        <v>0.17</v>
      </c>
      <c r="T268" s="526">
        <v>45</v>
      </c>
      <c r="V268" s="938">
        <f t="shared" si="10"/>
        <v>3.8720000000000003</v>
      </c>
    </row>
    <row r="269" spans="1:22">
      <c r="A269" s="535" t="s">
        <v>94</v>
      </c>
      <c r="B269" s="526">
        <v>85</v>
      </c>
      <c r="C269" s="526">
        <v>91</v>
      </c>
      <c r="D269" s="526">
        <v>102</v>
      </c>
      <c r="E269" s="526">
        <v>69</v>
      </c>
      <c r="F269" s="526">
        <v>95</v>
      </c>
      <c r="G269" s="526">
        <v>14</v>
      </c>
      <c r="H269" s="526">
        <v>29</v>
      </c>
      <c r="I269" s="526">
        <v>3</v>
      </c>
      <c r="J269" s="526">
        <v>4</v>
      </c>
      <c r="K269" s="526">
        <v>12</v>
      </c>
      <c r="L269" s="526">
        <v>0</v>
      </c>
      <c r="M269" s="526">
        <v>2.2999999999999998</v>
      </c>
      <c r="N269" s="526">
        <v>2</v>
      </c>
      <c r="O269" s="526">
        <v>0.05</v>
      </c>
      <c r="P269" s="526">
        <v>0.39</v>
      </c>
      <c r="Q269" s="526">
        <v>0.4</v>
      </c>
      <c r="R269" s="525"/>
      <c r="S269" s="526">
        <v>0.15</v>
      </c>
      <c r="T269" s="526">
        <v>40</v>
      </c>
      <c r="V269" s="938">
        <f t="shared" si="10"/>
        <v>4.0040000000000004</v>
      </c>
    </row>
    <row r="270" spans="1:22">
      <c r="A270" s="543" t="s">
        <v>201</v>
      </c>
      <c r="B270" s="526">
        <v>90</v>
      </c>
      <c r="C270" s="526">
        <v>57</v>
      </c>
      <c r="D270" s="526">
        <v>57</v>
      </c>
      <c r="E270" s="526">
        <v>25</v>
      </c>
      <c r="F270" s="526">
        <v>57</v>
      </c>
      <c r="G270" s="526">
        <v>9</v>
      </c>
      <c r="H270" s="526">
        <v>25</v>
      </c>
      <c r="I270" s="526">
        <v>29</v>
      </c>
      <c r="J270" s="526">
        <v>38</v>
      </c>
      <c r="K270" s="526">
        <v>66</v>
      </c>
      <c r="L270" s="526">
        <v>98</v>
      </c>
      <c r="M270" s="526">
        <v>2</v>
      </c>
      <c r="N270" s="526">
        <v>8</v>
      </c>
      <c r="O270" s="526">
        <v>0.21</v>
      </c>
      <c r="P270" s="526">
        <v>0.22</v>
      </c>
      <c r="Q270" s="526">
        <v>1.4</v>
      </c>
      <c r="R270" s="526">
        <v>0.5</v>
      </c>
      <c r="S270" s="526">
        <v>0.19</v>
      </c>
      <c r="T270" s="526">
        <v>23</v>
      </c>
    </row>
    <row r="271" spans="1:22">
      <c r="A271" s="531" t="s">
        <v>471</v>
      </c>
      <c r="B271" s="526">
        <v>89</v>
      </c>
      <c r="C271" s="526">
        <v>80</v>
      </c>
      <c r="D271" s="526">
        <v>86</v>
      </c>
      <c r="E271" s="526">
        <v>56</v>
      </c>
      <c r="F271" s="526">
        <v>83</v>
      </c>
      <c r="G271" s="526">
        <v>18</v>
      </c>
      <c r="H271" s="526">
        <v>22</v>
      </c>
      <c r="I271" s="526">
        <v>8</v>
      </c>
      <c r="J271" s="526">
        <v>11</v>
      </c>
      <c r="K271" s="526">
        <v>36</v>
      </c>
      <c r="L271" s="526">
        <v>2</v>
      </c>
      <c r="M271" s="526">
        <v>4.7</v>
      </c>
      <c r="N271" s="526">
        <v>5</v>
      </c>
      <c r="O271" s="526">
        <v>0.14000000000000001</v>
      </c>
      <c r="P271" s="526">
        <v>1</v>
      </c>
      <c r="Q271" s="526">
        <v>1.3</v>
      </c>
      <c r="R271" s="526">
        <v>0.05</v>
      </c>
      <c r="S271" s="526">
        <v>0.2</v>
      </c>
      <c r="T271" s="526">
        <v>98</v>
      </c>
    </row>
    <row r="272" spans="1:22">
      <c r="A272" s="531" t="s">
        <v>96</v>
      </c>
      <c r="B272" s="526">
        <v>90</v>
      </c>
      <c r="C272" s="526">
        <v>76</v>
      </c>
      <c r="D272" s="526">
        <v>81</v>
      </c>
      <c r="E272" s="526">
        <v>52</v>
      </c>
      <c r="F272" s="526">
        <v>78</v>
      </c>
      <c r="G272" s="526">
        <v>17</v>
      </c>
      <c r="H272" s="526">
        <v>28</v>
      </c>
      <c r="I272" s="526">
        <v>9</v>
      </c>
      <c r="J272" s="526">
        <v>12</v>
      </c>
      <c r="K272" s="526">
        <v>37</v>
      </c>
      <c r="L272" s="526">
        <v>0</v>
      </c>
      <c r="M272" s="526">
        <v>4.5</v>
      </c>
      <c r="N272" s="526">
        <v>6</v>
      </c>
      <c r="O272" s="526">
        <v>0.11</v>
      </c>
      <c r="P272" s="526">
        <v>1.1000000000000001</v>
      </c>
      <c r="Q272" s="526">
        <v>1.2</v>
      </c>
      <c r="R272" s="526">
        <v>7.0000000000000007E-2</v>
      </c>
      <c r="S272" s="526">
        <v>0.22</v>
      </c>
      <c r="T272" s="526">
        <v>90</v>
      </c>
    </row>
    <row r="273" spans="1:20">
      <c r="A273" s="531" t="s">
        <v>97</v>
      </c>
      <c r="B273" s="526">
        <v>89</v>
      </c>
      <c r="C273" s="526">
        <v>78</v>
      </c>
      <c r="D273" s="526">
        <v>83</v>
      </c>
      <c r="E273" s="526">
        <v>54</v>
      </c>
      <c r="F273" s="526">
        <v>80</v>
      </c>
      <c r="G273" s="526">
        <v>19</v>
      </c>
      <c r="H273" s="526">
        <v>25</v>
      </c>
      <c r="I273" s="526">
        <v>8</v>
      </c>
      <c r="J273" s="526">
        <v>10</v>
      </c>
      <c r="K273" s="526">
        <v>30</v>
      </c>
      <c r="L273" s="526">
        <v>0</v>
      </c>
      <c r="M273" s="526">
        <v>5.3</v>
      </c>
      <c r="N273" s="526">
        <v>5</v>
      </c>
      <c r="O273" s="526">
        <v>0.1</v>
      </c>
      <c r="P273" s="526">
        <v>0.93</v>
      </c>
      <c r="Q273" s="526">
        <v>1.1000000000000001</v>
      </c>
      <c r="R273" s="526">
        <v>0.08</v>
      </c>
      <c r="S273" s="526">
        <v>0.2</v>
      </c>
      <c r="T273" s="526">
        <v>118</v>
      </c>
    </row>
    <row r="274" spans="1:20">
      <c r="A274" s="531" t="s">
        <v>202</v>
      </c>
      <c r="B274" s="526">
        <v>33</v>
      </c>
      <c r="C274" s="526">
        <v>59</v>
      </c>
      <c r="D274" s="526">
        <v>59</v>
      </c>
      <c r="E274" s="526">
        <v>28</v>
      </c>
      <c r="F274" s="526">
        <v>59</v>
      </c>
      <c r="G274" s="526">
        <v>12</v>
      </c>
      <c r="H274" s="526">
        <v>21</v>
      </c>
      <c r="I274" s="526">
        <v>28</v>
      </c>
      <c r="J274" s="526">
        <v>37</v>
      </c>
      <c r="K274" s="526">
        <v>62</v>
      </c>
      <c r="L274" s="526">
        <v>61</v>
      </c>
      <c r="M274" s="526">
        <v>3.2</v>
      </c>
      <c r="N274" s="526">
        <v>8</v>
      </c>
      <c r="O274" s="526">
        <v>0.4</v>
      </c>
      <c r="P274" s="526">
        <v>0.28000000000000003</v>
      </c>
      <c r="Q274" s="526">
        <v>2.1</v>
      </c>
      <c r="R274" s="526">
        <v>0.5</v>
      </c>
      <c r="S274" s="526">
        <v>0.21</v>
      </c>
      <c r="T274" s="526">
        <v>27</v>
      </c>
    </row>
    <row r="275" spans="1:20">
      <c r="A275" s="531" t="s">
        <v>203</v>
      </c>
      <c r="B275" s="526">
        <v>91</v>
      </c>
      <c r="C275" s="526">
        <v>43</v>
      </c>
      <c r="D275" s="526">
        <v>44</v>
      </c>
      <c r="E275" s="526">
        <v>0</v>
      </c>
      <c r="F275" s="526">
        <v>41</v>
      </c>
      <c r="G275" s="526">
        <v>3</v>
      </c>
      <c r="H275" s="526">
        <v>60</v>
      </c>
      <c r="I275" s="526">
        <v>43</v>
      </c>
      <c r="J275" s="526">
        <v>57</v>
      </c>
      <c r="K275" s="526">
        <v>81</v>
      </c>
      <c r="L275" s="526">
        <v>98</v>
      </c>
      <c r="M275" s="526">
        <v>1.8</v>
      </c>
      <c r="N275" s="526">
        <v>8</v>
      </c>
      <c r="O275" s="526">
        <v>0.17</v>
      </c>
      <c r="P275" s="526">
        <v>0.06</v>
      </c>
      <c r="Q275" s="526">
        <v>1.3</v>
      </c>
      <c r="R275" s="526">
        <v>0.32</v>
      </c>
      <c r="S275" s="526">
        <v>0.17</v>
      </c>
      <c r="T275" s="526">
        <v>6</v>
      </c>
    </row>
    <row r="276" spans="1:20">
      <c r="A276" s="531" t="s">
        <v>204</v>
      </c>
      <c r="B276" s="526">
        <v>85</v>
      </c>
      <c r="C276" s="526">
        <v>50</v>
      </c>
      <c r="D276" s="526">
        <v>50</v>
      </c>
      <c r="E276" s="526">
        <v>12</v>
      </c>
      <c r="F276" s="526">
        <v>49</v>
      </c>
      <c r="G276" s="526">
        <v>9</v>
      </c>
      <c r="H276" s="526">
        <v>25</v>
      </c>
      <c r="I276" s="526">
        <v>40</v>
      </c>
      <c r="J276" s="526">
        <v>55</v>
      </c>
      <c r="K276" s="526">
        <v>76</v>
      </c>
      <c r="L276" s="526">
        <v>98</v>
      </c>
      <c r="M276" s="526">
        <v>1.5</v>
      </c>
      <c r="N276" s="526">
        <v>9</v>
      </c>
      <c r="O276" s="526">
        <v>0.15</v>
      </c>
      <c r="P276" s="526">
        <v>0.05</v>
      </c>
      <c r="Q276" s="526">
        <v>1.3</v>
      </c>
      <c r="R276" s="526">
        <v>0.3</v>
      </c>
      <c r="S276" s="526">
        <v>0.16</v>
      </c>
      <c r="T276" s="526">
        <v>6</v>
      </c>
    </row>
    <row r="277" spans="1:20" ht="28">
      <c r="A277" s="531" t="s">
        <v>98</v>
      </c>
      <c r="B277" s="526">
        <v>37</v>
      </c>
      <c r="C277" s="526">
        <v>60</v>
      </c>
      <c r="D277" s="526">
        <v>60</v>
      </c>
      <c r="E277" s="526">
        <v>30</v>
      </c>
      <c r="F277" s="526">
        <v>60</v>
      </c>
      <c r="G277" s="526">
        <v>11</v>
      </c>
      <c r="H277" s="526">
        <v>25</v>
      </c>
      <c r="I277" s="526">
        <v>26</v>
      </c>
      <c r="J277" s="526">
        <v>28</v>
      </c>
      <c r="K277" s="526">
        <v>50</v>
      </c>
      <c r="L277" s="526">
        <v>41</v>
      </c>
      <c r="M277" s="526">
        <v>1.6</v>
      </c>
      <c r="N277" s="526">
        <v>7</v>
      </c>
      <c r="O277" s="526">
        <v>0.46</v>
      </c>
      <c r="P277" s="526">
        <v>0.32</v>
      </c>
      <c r="Q277" s="526">
        <v>2.4</v>
      </c>
      <c r="R277" s="525"/>
      <c r="S277" s="525"/>
      <c r="T277" s="525"/>
    </row>
    <row r="278" spans="1:20" ht="28">
      <c r="A278" s="531" t="s">
        <v>461</v>
      </c>
      <c r="B278" s="526">
        <v>50</v>
      </c>
      <c r="C278" s="526">
        <v>55</v>
      </c>
      <c r="D278" s="526">
        <v>55</v>
      </c>
      <c r="E278" s="526">
        <v>21</v>
      </c>
      <c r="F278" s="526">
        <v>55</v>
      </c>
      <c r="G278" s="526">
        <v>10</v>
      </c>
      <c r="H278" s="526">
        <v>33</v>
      </c>
      <c r="I278" s="526">
        <v>33</v>
      </c>
      <c r="J278" s="526">
        <v>36</v>
      </c>
      <c r="K278" s="526">
        <v>65</v>
      </c>
      <c r="L278" s="526">
        <v>41</v>
      </c>
      <c r="M278" s="526">
        <v>1.6</v>
      </c>
      <c r="N278" s="526">
        <v>7</v>
      </c>
      <c r="O278" s="526">
        <v>0.39</v>
      </c>
      <c r="P278" s="526">
        <v>0.28000000000000003</v>
      </c>
      <c r="Q278" s="526">
        <v>2.1</v>
      </c>
      <c r="R278" s="525"/>
      <c r="S278" s="525"/>
      <c r="T278" s="525"/>
    </row>
    <row r="279" spans="1:20">
      <c r="A279" s="531" t="s">
        <v>462</v>
      </c>
      <c r="B279" s="526">
        <v>92</v>
      </c>
      <c r="C279" s="526">
        <v>54</v>
      </c>
      <c r="D279" s="526">
        <v>54</v>
      </c>
      <c r="E279" s="526">
        <v>20</v>
      </c>
      <c r="F279" s="526">
        <v>54</v>
      </c>
      <c r="G279" s="526">
        <v>10</v>
      </c>
      <c r="H279" s="526">
        <v>33</v>
      </c>
      <c r="I279" s="526">
        <v>33</v>
      </c>
      <c r="J279" s="526">
        <v>36</v>
      </c>
      <c r="K279" s="526">
        <v>65</v>
      </c>
      <c r="L279" s="526">
        <v>98</v>
      </c>
      <c r="M279" s="526">
        <v>2.4</v>
      </c>
      <c r="N279" s="526">
        <v>7</v>
      </c>
      <c r="O279" s="526">
        <v>0.33</v>
      </c>
      <c r="P279" s="526">
        <v>0.2</v>
      </c>
      <c r="Q279" s="526">
        <v>2</v>
      </c>
      <c r="R279" s="525"/>
      <c r="S279" s="525"/>
      <c r="T279" s="526">
        <v>32</v>
      </c>
    </row>
    <row r="280" spans="1:20">
      <c r="A280" s="531" t="s">
        <v>463</v>
      </c>
      <c r="B280" s="526">
        <v>94</v>
      </c>
      <c r="C280" s="526">
        <v>82</v>
      </c>
      <c r="D280" s="526">
        <v>89</v>
      </c>
      <c r="E280" s="526">
        <v>59</v>
      </c>
      <c r="F280" s="526">
        <v>85</v>
      </c>
      <c r="G280" s="526">
        <v>14</v>
      </c>
      <c r="H280" s="526">
        <v>15</v>
      </c>
      <c r="I280" s="526">
        <v>0</v>
      </c>
      <c r="J280" s="526">
        <v>0</v>
      </c>
      <c r="K280" s="526">
        <v>0</v>
      </c>
      <c r="L280" s="526">
        <v>0</v>
      </c>
      <c r="M280" s="526">
        <v>0.9</v>
      </c>
      <c r="N280" s="526">
        <v>10</v>
      </c>
      <c r="O280" s="526">
        <v>0.98</v>
      </c>
      <c r="P280" s="526">
        <v>0.88</v>
      </c>
      <c r="Q280" s="526">
        <v>1.3</v>
      </c>
      <c r="R280" s="526">
        <v>1.2</v>
      </c>
      <c r="S280" s="526">
        <v>0.92</v>
      </c>
      <c r="T280" s="526">
        <v>10</v>
      </c>
    </row>
    <row r="281" spans="1:20">
      <c r="A281" s="531" t="s">
        <v>329</v>
      </c>
      <c r="B281" s="526">
        <v>92</v>
      </c>
      <c r="C281" s="526">
        <v>79</v>
      </c>
      <c r="D281" s="526">
        <v>85</v>
      </c>
      <c r="E281" s="526">
        <v>55</v>
      </c>
      <c r="F281" s="526">
        <v>81</v>
      </c>
      <c r="G281" s="526">
        <v>47</v>
      </c>
      <c r="H281" s="526">
        <v>30</v>
      </c>
      <c r="I281" s="526">
        <v>3</v>
      </c>
      <c r="J281" s="526">
        <v>4</v>
      </c>
      <c r="K281" s="525"/>
      <c r="L281" s="526">
        <v>0</v>
      </c>
      <c r="M281" s="526">
        <v>0.9</v>
      </c>
      <c r="N281" s="526">
        <v>7</v>
      </c>
      <c r="O281" s="526">
        <v>0.13</v>
      </c>
      <c r="P281" s="526">
        <v>1.49</v>
      </c>
      <c r="Q281" s="526">
        <v>1.8</v>
      </c>
      <c r="R281" s="525"/>
      <c r="S281" s="525"/>
      <c r="T281" s="525"/>
    </row>
  </sheetData>
  <sortState xmlns:xlrd2="http://schemas.microsoft.com/office/spreadsheetml/2017/richdata2" ref="A6:U281">
    <sortCondition ref="A6:A281"/>
  </sortState>
  <mergeCells count="6">
    <mergeCell ref="C3:F3"/>
    <mergeCell ref="G3:H3"/>
    <mergeCell ref="I3:L3"/>
    <mergeCell ref="M3:T3"/>
    <mergeCell ref="A4:A5"/>
    <mergeCell ref="D5:F5"/>
  </mergeCells>
  <phoneticPr fontId="107" type="noConversion"/>
  <hyperlinks>
    <hyperlink ref="A1" r:id="rId1" xr:uid="{00000000-0004-0000-0800-000000000000}"/>
  </hyperlinks>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Table of Content</vt:lpstr>
      <vt:lpstr>Animal Partitioning</vt:lpstr>
      <vt:lpstr>PartitioningPerCal</vt:lpstr>
      <vt:lpstr>PartitioningPerProtein</vt:lpstr>
      <vt:lpstr>PartitioningResources</vt:lpstr>
      <vt:lpstr>ResourceFeedMain</vt:lpstr>
      <vt:lpstr>GHG Animals</vt:lpstr>
      <vt:lpstr>USA Cal-Protein Intake</vt:lpstr>
      <vt:lpstr>FeedNutrientComposition</vt:lpstr>
      <vt:lpstr>ConcentratsNr</vt:lpstr>
      <vt:lpstr>water</vt:lpstr>
      <vt:lpstr>crop yields</vt:lpstr>
      <vt:lpstr>wheat</vt:lpstr>
      <vt:lpstr>corn</vt:lpstr>
      <vt:lpstr>oats</vt:lpstr>
      <vt:lpstr>barley</vt:lpstr>
      <vt:lpstr>sorghum</vt:lpstr>
      <vt:lpstr>soy</vt:lpstr>
      <vt:lpstr>soy table2</vt:lpstr>
      <vt:lpstr>ProcessedRoughage</vt:lpstr>
      <vt:lpstr>Pasture</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dc:creator>
  <cp:lastModifiedBy>Microsoft Office User</cp:lastModifiedBy>
  <dcterms:created xsi:type="dcterms:W3CDTF">2012-10-24T12:35:44Z</dcterms:created>
  <dcterms:modified xsi:type="dcterms:W3CDTF">2020-09-01T00:53:17Z</dcterms:modified>
</cp:coreProperties>
</file>