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068297A9-9E3F-484E-BB10-2C403EAB0A4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Geometria ECDRH" sheetId="4" r:id="rId1"/>
  </sheets>
  <functionGroups builtInGroupCount="19"/>
  <definedNames>
    <definedName name="_xlnm.Print_Area" localSheetId="0">'Geometria ECDRH'!$X$5:$AC$78</definedName>
    <definedName name="Salvarcomo">'Geometria ECDRH'!$Q$33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" i="4" l="1"/>
  <c r="X5" i="4"/>
  <c r="Y7" i="4"/>
  <c r="Y8" i="4"/>
  <c r="Y9" i="4"/>
  <c r="AA13" i="4"/>
  <c r="AB13" i="4"/>
  <c r="AA15" i="4"/>
  <c r="X60" i="4" s="1"/>
  <c r="AA16" i="4"/>
  <c r="AA20" i="4"/>
  <c r="AA22" i="4"/>
  <c r="AA24" i="4"/>
  <c r="AB27" i="4"/>
  <c r="AA28" i="4"/>
  <c r="AA33" i="4"/>
  <c r="AB33" i="4"/>
  <c r="AA35" i="4"/>
  <c r="AB35" i="4"/>
  <c r="AA36" i="4"/>
  <c r="AA42" i="4"/>
  <c r="AB42" i="4"/>
  <c r="AA43" i="4"/>
  <c r="AB43" i="4"/>
  <c r="F30" i="4"/>
  <c r="AA72" i="4" l="1"/>
  <c r="BU23" i="4"/>
  <c r="BU22" i="4"/>
  <c r="BU21" i="4"/>
  <c r="BU20" i="4"/>
  <c r="BU17" i="4"/>
  <c r="BU16" i="4"/>
  <c r="BU15" i="4"/>
  <c r="BU13" i="4"/>
  <c r="BU10" i="4"/>
  <c r="S17" i="4"/>
  <c r="AA68" i="4" s="1"/>
  <c r="AN12" i="4"/>
  <c r="G14" i="4"/>
  <c r="AN13" i="4"/>
  <c r="F11" i="4"/>
  <c r="F17" i="4"/>
  <c r="AA19" i="4" l="1"/>
  <c r="AA14" i="4"/>
  <c r="AB72" i="4"/>
  <c r="N17" i="4" l="1"/>
  <c r="AB44" i="4" s="1"/>
  <c r="M17" i="4"/>
  <c r="AA44" i="4" s="1"/>
  <c r="J28" i="4"/>
  <c r="BI14" i="4"/>
  <c r="T24" i="4"/>
  <c r="S24" i="4"/>
  <c r="BI25" i="4"/>
  <c r="F15" i="4"/>
  <c r="BI17" i="4"/>
  <c r="G16" i="4"/>
  <c r="N27" i="4"/>
  <c r="BJ13" i="4"/>
  <c r="BI13" i="4"/>
  <c r="BI16" i="4"/>
  <c r="F16" i="4"/>
  <c r="AB59" i="4" l="1"/>
  <c r="AA18" i="4"/>
  <c r="AB18" i="4"/>
  <c r="AB74" i="4"/>
  <c r="AA17" i="4"/>
  <c r="AA74" i="4"/>
  <c r="M12" i="4"/>
  <c r="AA39" i="4" s="1"/>
  <c r="N12" i="4"/>
  <c r="AB39" i="4" s="1"/>
  <c r="N13" i="4"/>
  <c r="AB40" i="4" s="1"/>
  <c r="M13" i="4"/>
  <c r="AA40" i="4" s="1"/>
  <c r="BI15" i="4"/>
  <c r="BI18" i="4"/>
  <c r="BJ16" i="4"/>
  <c r="N14" i="4"/>
  <c r="M14" i="4"/>
  <c r="BI26" i="4"/>
  <c r="G19" i="4"/>
  <c r="F19" i="4"/>
  <c r="M27" i="4"/>
  <c r="S23" i="4"/>
  <c r="AA41" i="4" l="1"/>
  <c r="AA59" i="4"/>
  <c r="AA21" i="4"/>
  <c r="AA58" i="4"/>
  <c r="AB21" i="4"/>
  <c r="AA73" i="4"/>
  <c r="AB41" i="4"/>
  <c r="BL15" i="4"/>
  <c r="S25" i="4"/>
  <c r="AA75" i="4" s="1"/>
  <c r="S19" i="4"/>
  <c r="BJ12" i="4"/>
  <c r="T23" i="4"/>
  <c r="F21" i="4"/>
  <c r="BI12" i="4"/>
  <c r="S26" i="4"/>
  <c r="AA23" i="4" l="1"/>
  <c r="AA70" i="4"/>
  <c r="AA76" i="4"/>
  <c r="AB73" i="4"/>
  <c r="G23" i="4"/>
  <c r="AB25" i="4" s="1"/>
  <c r="T25" i="4"/>
  <c r="AB75" i="4" s="1"/>
  <c r="M18" i="4"/>
  <c r="F25" i="4"/>
  <c r="G30" i="4" s="1"/>
  <c r="F29" i="4"/>
  <c r="M21" i="4"/>
  <c r="T26" i="4"/>
  <c r="G29" i="4"/>
  <c r="N21" i="4"/>
  <c r="S10" i="4"/>
  <c r="AA45" i="4" l="1"/>
  <c r="AA25" i="4"/>
  <c r="F24" i="4"/>
  <c r="AA26" i="4" s="1"/>
  <c r="AB29" i="4"/>
  <c r="AA29" i="4"/>
  <c r="AB76" i="4"/>
  <c r="AA61" i="4"/>
  <c r="F26" i="4"/>
  <c r="G24" i="4"/>
  <c r="AB26" i="4" s="1"/>
  <c r="G22" i="4"/>
  <c r="AB24" i="4" s="1"/>
  <c r="F32" i="4"/>
  <c r="BI23" i="4"/>
  <c r="S11" i="4"/>
  <c r="G31" i="4"/>
  <c r="BI24" i="4"/>
  <c r="T10" i="4"/>
  <c r="M24" i="4"/>
  <c r="S18" i="4"/>
  <c r="N18" i="4"/>
  <c r="N24" i="4"/>
  <c r="BJ24" i="4"/>
  <c r="BI19" i="4"/>
  <c r="BJ23" i="4"/>
  <c r="F31" i="4"/>
  <c r="G32" i="4"/>
  <c r="AA27" i="4" l="1"/>
  <c r="AA38" i="4"/>
  <c r="AA30" i="4"/>
  <c r="AB48" i="4"/>
  <c r="AB30" i="4"/>
  <c r="AA62" i="4"/>
  <c r="AB37" i="4"/>
  <c r="AA37" i="4"/>
  <c r="AB45" i="4"/>
  <c r="AA69" i="4"/>
  <c r="AB38" i="4"/>
  <c r="AB61" i="4"/>
  <c r="AA48" i="4"/>
  <c r="F33" i="4"/>
  <c r="AA31" i="4" s="1"/>
  <c r="F34" i="4"/>
  <c r="G33" i="4"/>
  <c r="AB31" i="4" s="1"/>
  <c r="S20" i="4"/>
  <c r="AA71" i="4" s="1"/>
  <c r="M28" i="4"/>
  <c r="M20" i="4"/>
  <c r="M19" i="4"/>
  <c r="M29" i="4"/>
  <c r="AC71" i="4"/>
  <c r="N19" i="4"/>
  <c r="N20" i="4"/>
  <c r="N28" i="4"/>
  <c r="BJ19" i="4"/>
  <c r="U20" i="4"/>
  <c r="T11" i="4"/>
  <c r="AA32" i="4" l="1"/>
  <c r="AB60" i="4"/>
  <c r="AA51" i="4"/>
  <c r="AA60" i="4"/>
  <c r="AB46" i="4"/>
  <c r="AA46" i="4"/>
  <c r="AB62" i="4"/>
  <c r="AA47" i="4"/>
  <c r="AB47" i="4"/>
  <c r="M30" i="4"/>
  <c r="AA52" i="4" s="1"/>
  <c r="N29" i="4"/>
  <c r="M31" i="4"/>
  <c r="N25" i="4"/>
  <c r="BI20" i="4"/>
  <c r="M25" i="4"/>
  <c r="BJ20" i="4"/>
  <c r="M26" i="4"/>
  <c r="O28" i="4"/>
  <c r="N26" i="4"/>
  <c r="AA50" i="4" l="1"/>
  <c r="AB49" i="4"/>
  <c r="AB51" i="4"/>
  <c r="AA53" i="4"/>
  <c r="AC60" i="4"/>
  <c r="AA49" i="4"/>
  <c r="AB50" i="4"/>
  <c r="N30" i="4"/>
  <c r="AB52" i="4" s="1"/>
  <c r="M22" i="4"/>
  <c r="N31" i="4"/>
  <c r="N32" i="4"/>
  <c r="M11" i="4"/>
  <c r="BJ21" i="4"/>
  <c r="BI21" i="4"/>
  <c r="O27" i="4"/>
  <c r="N33" i="4"/>
  <c r="M32" i="4"/>
  <c r="M23" i="4"/>
  <c r="M33" i="4"/>
  <c r="N22" i="4"/>
  <c r="BJ22" i="4"/>
  <c r="T12" i="4"/>
  <c r="S12" i="4"/>
  <c r="N23" i="4"/>
  <c r="BI22" i="4"/>
  <c r="AB55" i="4" l="1"/>
  <c r="AC59" i="4"/>
  <c r="AA34" i="4"/>
  <c r="AB53" i="4"/>
  <c r="AA63" i="4"/>
  <c r="AB54" i="4"/>
  <c r="AA54" i="4"/>
  <c r="AB63" i="4"/>
  <c r="AA55" i="4"/>
  <c r="M35" i="4"/>
  <c r="AA57" i="4" s="1"/>
  <c r="N34" i="4"/>
  <c r="AB56" i="4" s="1"/>
  <c r="N35" i="4"/>
  <c r="AB57" i="4" s="1"/>
  <c r="M34" i="4"/>
  <c r="AA56" i="4" s="1"/>
  <c r="T14" i="4"/>
  <c r="N11" i="4"/>
  <c r="T13" i="4"/>
  <c r="S14" i="4"/>
  <c r="S13" i="4"/>
  <c r="AA64" i="4" l="1"/>
  <c r="AB34" i="4"/>
  <c r="AB64" i="4"/>
  <c r="AB65" i="4"/>
  <c r="AA65" i="4"/>
  <c r="S16" i="4"/>
  <c r="AA67" i="4" s="1"/>
  <c r="S15" i="4"/>
  <c r="AA66" i="4" s="1"/>
  <c r="T15" i="4"/>
  <c r="AB66" i="4" s="1"/>
  <c r="T16" i="4"/>
  <c r="AB67" i="4" s="1"/>
  <c r="O11" i="4"/>
  <c r="AC34" i="4" l="1"/>
</calcChain>
</file>

<file path=xl/sharedStrings.xml><?xml version="1.0" encoding="utf-8"?>
<sst xmlns="http://schemas.openxmlformats.org/spreadsheetml/2006/main" count="376" uniqueCount="166">
  <si>
    <t>mm</t>
  </si>
  <si>
    <t>Característica</t>
  </si>
  <si>
    <t>DIN 3967</t>
  </si>
  <si>
    <t>Acima</t>
  </si>
  <si>
    <t>a</t>
  </si>
  <si>
    <t>ab</t>
  </si>
  <si>
    <t>b</t>
  </si>
  <si>
    <t>bc</t>
  </si>
  <si>
    <t>c</t>
  </si>
  <si>
    <t>cd</t>
  </si>
  <si>
    <t>d</t>
  </si>
  <si>
    <t>e</t>
  </si>
  <si>
    <t>f</t>
  </si>
  <si>
    <t>g</t>
  </si>
  <si>
    <t>Diâmetro Primitivo</t>
  </si>
  <si>
    <t>microns</t>
  </si>
  <si>
    <t>ASNE</t>
  </si>
  <si>
    <t>TSN</t>
  </si>
  <si>
    <t>Correção mínima para evitar undercutting</t>
  </si>
  <si>
    <t>graus dec.</t>
  </si>
  <si>
    <t>Número de dentes (Z)</t>
  </si>
  <si>
    <t>Redução (u)</t>
  </si>
  <si>
    <t>Módulo normal (mn)</t>
  </si>
  <si>
    <t>Ângulo de hélice (beta)</t>
  </si>
  <si>
    <t>Módulo transversal (mt)</t>
  </si>
  <si>
    <t>Diâmetro primitivo (d)</t>
  </si>
  <si>
    <t>Entre centros sem correção (ad)</t>
  </si>
  <si>
    <t>Diâmetro de trabalho (dw)</t>
  </si>
  <si>
    <t>Somatória das correções (somax)</t>
  </si>
  <si>
    <t>Correção adotada ( x1, x2 )</t>
  </si>
  <si>
    <t>Adendum (hap)</t>
  </si>
  <si>
    <t>Dedendum (hfp)</t>
  </si>
  <si>
    <t>Largura da engrenagem (b)</t>
  </si>
  <si>
    <t>Largura mínima para medir  W (bmin)</t>
  </si>
  <si>
    <t>Eng 1</t>
  </si>
  <si>
    <t>Eng 2</t>
  </si>
  <si>
    <t>2 x correção x mn</t>
  </si>
  <si>
    <t>Coef. de rebaixamento (k=k' x mn))</t>
  </si>
  <si>
    <t>Chanfro na cabeça</t>
  </si>
  <si>
    <t>outro</t>
  </si>
  <si>
    <t>Diâmetro de fundo</t>
  </si>
  <si>
    <t>Diâmetro de cabeça</t>
  </si>
  <si>
    <t>Afast. inf. (Asne)</t>
  </si>
  <si>
    <t>Tolerância  (Tsn)</t>
  </si>
  <si>
    <t>Afast. sup. (Asni)</t>
  </si>
  <si>
    <t>(da, x nom. e k) par</t>
  </si>
  <si>
    <t>(da, x nom. e k) impar</t>
  </si>
  <si>
    <t>Medida W</t>
  </si>
  <si>
    <t>nominal (Wk)</t>
  </si>
  <si>
    <t>máx / mín</t>
  </si>
  <si>
    <t>Número de dentes calculado</t>
  </si>
  <si>
    <t>Número de dentes adotado (k)</t>
  </si>
  <si>
    <t>Medida MdK</t>
  </si>
  <si>
    <t>Diâmetro da esfera calculado</t>
  </si>
  <si>
    <t>Dia. da esf. adotado (DM)</t>
  </si>
  <si>
    <t xml:space="preserve">MdK  nominal </t>
  </si>
  <si>
    <t>MdK máx / mín</t>
  </si>
  <si>
    <t>tranversal</t>
  </si>
  <si>
    <t>total</t>
  </si>
  <si>
    <t>devido a hélice</t>
  </si>
  <si>
    <t>Altura do dente</t>
  </si>
  <si>
    <t>Folga de fundo</t>
  </si>
  <si>
    <t>nominal</t>
  </si>
  <si>
    <t>máxima</t>
  </si>
  <si>
    <t>mínima</t>
  </si>
  <si>
    <t>Âng. de pres. normal (alfan)</t>
  </si>
  <si>
    <t>Tol. esp. dente máx / mín</t>
  </si>
  <si>
    <t>Tol. entre centros máx / mín</t>
  </si>
  <si>
    <t>Backlash ao longo do diâmetro primitivo</t>
  </si>
  <si>
    <t>Total (jt)</t>
  </si>
  <si>
    <t>Backlash ao longo da linha de contato máx / mín (jn)</t>
  </si>
  <si>
    <t>http://www.eneng.com.br</t>
  </si>
  <si>
    <t>Grau de                 recobrimento</t>
  </si>
  <si>
    <t>Eng.º Roberto Perracini</t>
  </si>
  <si>
    <t>Backlash ao longo da linha de contato (jn) é o valor medido com o arame ou com um calibrador de folga. Este é o valor definido pela norma AGMA.</t>
  </si>
  <si>
    <t>Valores auxiliares</t>
  </si>
  <si>
    <t>Pinhão</t>
  </si>
  <si>
    <t>Coroa</t>
  </si>
  <si>
    <t>Unidade</t>
  </si>
  <si>
    <t>Número de dentes virtual (Zn)</t>
  </si>
  <si>
    <t>Nº de dentes virtual para med. M (ZnM)</t>
  </si>
  <si>
    <t>0,4 x módulo normal</t>
  </si>
  <si>
    <t>Ângulo de hélice no diâmetro de base</t>
  </si>
  <si>
    <t>Diâmetro de base</t>
  </si>
  <si>
    <t>Passo transversal (pt)</t>
  </si>
  <si>
    <t>Passo transversal de base (pbt = pet)</t>
  </si>
  <si>
    <t>Ângulo de pressão transv. ( alfavt )</t>
  </si>
  <si>
    <t>DIa. sobre o qual a esfera apoia nominal</t>
  </si>
  <si>
    <t>DIa. sobre o qual a esfera apoia max.</t>
  </si>
  <si>
    <t>DIa. sobre o qual a esfera apoia min.</t>
  </si>
  <si>
    <t>Ângulo de hélice no diâmetro de cabeça</t>
  </si>
  <si>
    <t>Espessura transversal no dia. cabeça</t>
  </si>
  <si>
    <t>Ângulo de pressão transversal l (alfat)</t>
  </si>
  <si>
    <t>Ângulo de pressão de trabalho (alfawt)</t>
  </si>
  <si>
    <t>NÃO MEXER NESTA ÁREA</t>
  </si>
  <si>
    <t>CARACTERÍSTICAS GEOMÉTRICAS DE ENGRENAGENS CILINDRICAS DE DENTES RETOS OU HELICOIDAIS DIN 3960</t>
  </si>
  <si>
    <t>Tolerância máx/mín</t>
  </si>
  <si>
    <t>Tolerância máx / mín</t>
  </si>
  <si>
    <t>PREENCHER CÉLULAS EM AMARELO</t>
  </si>
  <si>
    <t>Clique no         para informações sobre o item</t>
  </si>
  <si>
    <t>Esp. do dente no  diâmetro primitivo no plano normal ao dente</t>
  </si>
  <si>
    <t>Células em vermelho requerem atenção</t>
  </si>
  <si>
    <t>Para tirar dúvidas, entre no site acima, clique em CONTATO e envie sua pergunta</t>
  </si>
  <si>
    <t xml:space="preserve"> (df, x nom.) par</t>
  </si>
  <si>
    <t xml:space="preserve">  (df, x nom.) impar</t>
  </si>
  <si>
    <t>de</t>
  </si>
  <si>
    <t>até inclusive</t>
  </si>
  <si>
    <t>Aae (μm)</t>
  </si>
  <si>
    <t>10,5</t>
  </si>
  <si>
    <t>12,5</t>
  </si>
  <si>
    <t>17,5</t>
  </si>
  <si>
    <t>28,5</t>
  </si>
  <si>
    <t>31,5</t>
  </si>
  <si>
    <t>Aai (μm)</t>
  </si>
  <si>
    <t>-10,5</t>
  </si>
  <si>
    <t>-12,5</t>
  </si>
  <si>
    <t>-17,5</t>
  </si>
  <si>
    <t>-28,5</t>
  </si>
  <si>
    <t>Tolerâncias na espessura do dente</t>
  </si>
  <si>
    <t>Entre centros de trabalho (aw)</t>
  </si>
  <si>
    <t>Correção sugerida ( x1, x2 )</t>
  </si>
  <si>
    <t>Correções devidas as tol. do dente</t>
  </si>
  <si>
    <t>Tolerância da espessura do dente</t>
  </si>
  <si>
    <t>Tolerância entre centros máx./mín.</t>
  </si>
  <si>
    <t>Grau de recobrimento</t>
  </si>
  <si>
    <t>Tolerância da espessura do dente, no caso outro</t>
  </si>
  <si>
    <t>Redutor reversível = 6 a 7</t>
  </si>
  <si>
    <t>Redutor não reversível = 7</t>
  </si>
  <si>
    <t xml:space="preserve">Desenhos </t>
  </si>
  <si>
    <t>Direção do ângulo de hélice</t>
  </si>
  <si>
    <t>Cliente</t>
  </si>
  <si>
    <t>Desenhos</t>
  </si>
  <si>
    <t>Referência</t>
  </si>
  <si>
    <t>Altura para medir a esp. dente no diâmetro primitivo</t>
  </si>
  <si>
    <t>IMPRESSÃO</t>
  </si>
  <si>
    <t>Tolerância na espessura do dente, no caso outro</t>
  </si>
  <si>
    <t>Altura para medir a esp. do dente no diâmetro primitivo</t>
  </si>
  <si>
    <t>Dados de entrada</t>
  </si>
  <si>
    <t>r +/- 0,1</t>
  </si>
  <si>
    <t>t1 +/-0,1</t>
  </si>
  <si>
    <t>f+0,2-0,0</t>
  </si>
  <si>
    <t>t2+0,05-0</t>
  </si>
  <si>
    <t>&gt;</t>
  </si>
  <si>
    <t>&lt;=</t>
  </si>
  <si>
    <t>DIN 509 forma F</t>
  </si>
  <si>
    <t>°</t>
  </si>
  <si>
    <t>DIN 509 forma F Alta carga de alternância</t>
  </si>
  <si>
    <t>Normal</t>
  </si>
  <si>
    <t>Grandes alternancias</t>
  </si>
  <si>
    <t>Esp. em arco do dente no  diâmetro primitivo no plano normal ao dente</t>
  </si>
  <si>
    <t>Espessura do dente no  diâmetro primitivo no plano normal ao dente</t>
  </si>
  <si>
    <t>Rebaixamento (k'=k x mn))</t>
  </si>
  <si>
    <t>Coeficiente de rebaixamento  k</t>
  </si>
  <si>
    <t>Tolerância entre centros máx. / mín.</t>
  </si>
  <si>
    <t>js5</t>
  </si>
  <si>
    <t>js6</t>
  </si>
  <si>
    <t>js7</t>
  </si>
  <si>
    <t>js8</t>
  </si>
  <si>
    <t>SIDERPERU</t>
  </si>
  <si>
    <t>H6</t>
  </si>
  <si>
    <t>direita</t>
  </si>
  <si>
    <t>esquerda</t>
  </si>
  <si>
    <t>dir/esq</t>
  </si>
  <si>
    <t>esq/dir</t>
  </si>
  <si>
    <t>Eixos pinhões M39482</t>
  </si>
  <si>
    <t>TRIO 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</si>
</sst>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0000000000"/>
    <numFmt numFmtId="167" formatCode="0.000000000000"/>
    <numFmt numFmtId="168" formatCode="0.000000000"/>
    <numFmt numFmtId="169" formatCode="0.00000"/>
    <numFmt numFmtId="170" formatCode="0.0"/>
    <numFmt numFmtId="171" formatCode="0.000000"/>
  </numFmts>
  <fonts count="32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color rgb="FFFF0000"/>
      <name val="Arial"/>
      <family val="2"/>
    </font>
    <font>
      <sz val="12"/>
      <name val="Arial"/>
      <family val="2"/>
    </font>
    <font>
      <sz val="8"/>
      <color theme="0"/>
      <name val="Arial"/>
      <family val="2"/>
    </font>
    <font>
      <sz val="10"/>
      <color rgb="FFFF0000"/>
      <name val="Arial"/>
      <family val="2"/>
    </font>
    <font>
      <u/>
      <sz val="12"/>
      <color rgb="FFFFC409"/>
      <name val="Arial"/>
      <family val="2"/>
    </font>
    <font>
      <b/>
      <sz val="26"/>
      <color rgb="FFFF0000"/>
      <name val="Arial"/>
      <family val="2"/>
    </font>
    <font>
      <sz val="10"/>
      <color theme="0"/>
      <name val="Arial"/>
      <family val="2"/>
    </font>
    <font>
      <b/>
      <sz val="12"/>
      <name val="Arial"/>
      <family val="2"/>
    </font>
    <font>
      <sz val="12"/>
      <color rgb="FFFF0000"/>
      <name val="Arial"/>
      <family val="2"/>
    </font>
    <font>
      <sz val="16"/>
      <name val="Arial"/>
      <family val="2"/>
    </font>
    <font>
      <sz val="12"/>
      <color rgb="FF0070C0"/>
      <name val="Arial"/>
      <family val="2"/>
    </font>
    <font>
      <b/>
      <sz val="16"/>
      <name val="Arial"/>
      <family val="2"/>
    </font>
    <font>
      <sz val="8"/>
      <name val="Arial Narrow"/>
      <family val="2"/>
    </font>
    <font>
      <b/>
      <sz val="10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sz val="12"/>
      <color rgb="FFFF0000"/>
      <name val="Arial Narrow"/>
      <family val="2"/>
    </font>
    <font>
      <b/>
      <sz val="12"/>
      <color indexed="8"/>
      <name val="Arial Narrow"/>
      <family val="2"/>
    </font>
    <font>
      <sz val="12"/>
      <color indexed="8"/>
      <name val="Arial Narrow"/>
      <family val="2"/>
    </font>
    <font>
      <b/>
      <sz val="12"/>
      <color rgb="FFFF0000"/>
      <name val="Arial Narrow"/>
      <family val="2"/>
    </font>
    <font>
      <sz val="8"/>
      <color rgb="FFFF0000"/>
      <name val="Arial Narrow"/>
      <family val="2"/>
    </font>
    <font>
      <sz val="10"/>
      <name val="Arial Narrow"/>
      <family val="2"/>
    </font>
    <font>
      <b/>
      <sz val="14"/>
      <color rgb="FFFF0000"/>
      <name val="Arial Narrow"/>
      <family val="2"/>
    </font>
    <font>
      <sz val="10"/>
      <color indexed="8"/>
      <name val="Arial Narrow"/>
      <family val="2"/>
    </font>
    <font>
      <b/>
      <sz val="10"/>
      <color rgb="FFFF0000"/>
      <name val="Arial Narrow"/>
      <family val="2"/>
    </font>
    <font>
      <b/>
      <sz val="10"/>
      <color theme="1"/>
      <name val="Arial Narrow"/>
      <family val="2"/>
    </font>
    <font>
      <sz val="8"/>
      <color rgb="FF0070C0"/>
      <name val="Arial Narrow"/>
      <family val="2"/>
    </font>
    <font>
      <sz val="10"/>
      <color rgb="FFFF0000"/>
      <name val="Arial Narrow"/>
      <family val="2"/>
    </font>
    <font>
      <b/>
      <sz val="8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81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4" borderId="0" xfId="0" applyFont="1" applyFill="1"/>
    <xf numFmtId="0" fontId="1" fillId="4" borderId="0" xfId="0" applyFont="1" applyFill="1" applyAlignment="1">
      <alignment horizontal="center" vertical="center"/>
    </xf>
    <xf numFmtId="0" fontId="1" fillId="5" borderId="0" xfId="0" applyFont="1" applyFill="1"/>
    <xf numFmtId="0" fontId="1" fillId="5" borderId="0" xfId="0" applyFont="1" applyFill="1" applyAlignment="1">
      <alignment vertical="center"/>
    </xf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/>
    <xf numFmtId="0" fontId="3" fillId="5" borderId="0" xfId="0" applyFont="1" applyFill="1" applyAlignment="1">
      <alignment vertical="center"/>
    </xf>
    <xf numFmtId="0" fontId="5" fillId="5" borderId="0" xfId="0" applyFont="1" applyFill="1"/>
    <xf numFmtId="0" fontId="5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3" fontId="3" fillId="5" borderId="0" xfId="0" applyNumberFormat="1" applyFont="1" applyFill="1" applyAlignment="1">
      <alignment horizontal="center" vertical="center" wrapText="1"/>
    </xf>
    <xf numFmtId="166" fontId="3" fillId="5" borderId="0" xfId="0" applyNumberFormat="1" applyFont="1" applyFill="1" applyAlignment="1">
      <alignment horizontal="center" vertical="center" wrapText="1"/>
    </xf>
    <xf numFmtId="0" fontId="6" fillId="5" borderId="0" xfId="0" applyFont="1" applyFill="1"/>
    <xf numFmtId="0" fontId="6" fillId="0" borderId="0" xfId="0" applyFont="1"/>
    <xf numFmtId="0" fontId="8" fillId="5" borderId="0" xfId="0" applyFont="1" applyFill="1" applyAlignment="1">
      <alignment horizontal="center" vertical="center" textRotation="90" wrapText="1"/>
    </xf>
    <xf numFmtId="0" fontId="3" fillId="5" borderId="0" xfId="0" applyFont="1" applyFill="1" applyAlignment="1">
      <alignment horizontal="center" vertical="center" textRotation="90"/>
    </xf>
    <xf numFmtId="0" fontId="3" fillId="0" borderId="0" xfId="0" applyFont="1" applyAlignment="1">
      <alignment vertical="center"/>
    </xf>
    <xf numFmtId="0" fontId="5" fillId="5" borderId="0" xfId="0" applyFont="1" applyFill="1" applyAlignment="1">
      <alignment horizontal="center"/>
    </xf>
    <xf numFmtId="2" fontId="5" fillId="5" borderId="0" xfId="0" applyNumberFormat="1" applyFont="1" applyFill="1" applyAlignment="1">
      <alignment horizontal="center"/>
    </xf>
    <xf numFmtId="0" fontId="9" fillId="5" borderId="0" xfId="0" applyFont="1" applyFill="1"/>
    <xf numFmtId="164" fontId="0" fillId="0" borderId="0" xfId="0" applyNumberFormat="1"/>
    <xf numFmtId="2" fontId="0" fillId="0" borderId="0" xfId="0" applyNumberFormat="1"/>
    <xf numFmtId="0" fontId="12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5" fillId="4" borderId="1" xfId="0" applyFont="1" applyFill="1" applyBorder="1"/>
    <xf numFmtId="0" fontId="15" fillId="4" borderId="2" xfId="0" applyFont="1" applyFill="1" applyBorder="1"/>
    <xf numFmtId="0" fontId="16" fillId="4" borderId="2" xfId="0" applyFont="1" applyFill="1" applyBorder="1" applyAlignment="1">
      <alignment horizontal="left"/>
    </xf>
    <xf numFmtId="0" fontId="15" fillId="4" borderId="3" xfId="0" applyFont="1" applyFill="1" applyBorder="1"/>
    <xf numFmtId="0" fontId="15" fillId="4" borderId="4" xfId="0" applyFont="1" applyFill="1" applyBorder="1"/>
    <xf numFmtId="0" fontId="15" fillId="4" borderId="0" xfId="0" applyFont="1" applyFill="1"/>
    <xf numFmtId="0" fontId="15" fillId="4" borderId="0" xfId="0" applyFont="1" applyFill="1" applyAlignment="1">
      <alignment horizontal="center" vertical="center"/>
    </xf>
    <xf numFmtId="0" fontId="15" fillId="4" borderId="5" xfId="0" applyFont="1" applyFill="1" applyBorder="1"/>
    <xf numFmtId="0" fontId="15" fillId="4" borderId="4" xfId="0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left" vertical="center"/>
    </xf>
    <xf numFmtId="0" fontId="20" fillId="4" borderId="9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left" vertical="center"/>
    </xf>
    <xf numFmtId="0" fontId="20" fillId="3" borderId="9" xfId="0" applyFont="1" applyFill="1" applyBorder="1" applyAlignment="1" applyProtection="1">
      <alignment horizontal="center" vertical="center"/>
      <protection locked="0"/>
    </xf>
    <xf numFmtId="170" fontId="20" fillId="3" borderId="9" xfId="0" applyNumberFormat="1" applyFont="1" applyFill="1" applyBorder="1" applyAlignment="1" applyProtection="1">
      <alignment horizontal="center" vertical="center"/>
      <protection locked="0"/>
    </xf>
    <xf numFmtId="0" fontId="18" fillId="4" borderId="10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left" vertical="center"/>
    </xf>
    <xf numFmtId="164" fontId="21" fillId="5" borderId="9" xfId="0" applyNumberFormat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170" fontId="21" fillId="5" borderId="9" xfId="0" applyNumberFormat="1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170" fontId="21" fillId="0" borderId="9" xfId="0" applyNumberFormat="1" applyFont="1" applyBorder="1" applyAlignment="1">
      <alignment horizontal="center" vertical="center"/>
    </xf>
    <xf numFmtId="1" fontId="21" fillId="5" borderId="9" xfId="0" applyNumberFormat="1" applyFont="1" applyFill="1" applyBorder="1" applyAlignment="1">
      <alignment horizontal="center" vertical="center"/>
    </xf>
    <xf numFmtId="0" fontId="21" fillId="0" borderId="9" xfId="0" applyFont="1" applyBorder="1" applyAlignment="1" applyProtection="1">
      <alignment horizontal="center" vertical="center"/>
      <protection locked="0"/>
    </xf>
    <xf numFmtId="1" fontId="19" fillId="5" borderId="9" xfId="0" applyNumberFormat="1" applyFont="1" applyFill="1" applyBorder="1" applyAlignment="1">
      <alignment horizontal="center" vertical="center"/>
    </xf>
    <xf numFmtId="164" fontId="18" fillId="5" borderId="9" xfId="0" applyNumberFormat="1" applyFont="1" applyFill="1" applyBorder="1" applyAlignment="1">
      <alignment horizontal="center" vertical="center"/>
    </xf>
    <xf numFmtId="164" fontId="21" fillId="0" borderId="9" xfId="0" applyNumberFormat="1" applyFont="1" applyBorder="1" applyAlignment="1">
      <alignment horizontal="center" vertical="center"/>
    </xf>
    <xf numFmtId="169" fontId="21" fillId="5" borderId="9" xfId="0" applyNumberFormat="1" applyFont="1" applyFill="1" applyBorder="1" applyAlignment="1">
      <alignment horizontal="center" vertical="center"/>
    </xf>
    <xf numFmtId="169" fontId="20" fillId="3" borderId="9" xfId="0" applyNumberFormat="1" applyFont="1" applyFill="1" applyBorder="1" applyAlignment="1" applyProtection="1">
      <alignment horizontal="center" vertical="center"/>
      <protection locked="0"/>
    </xf>
    <xf numFmtId="169" fontId="18" fillId="5" borderId="9" xfId="0" applyNumberFormat="1" applyFont="1" applyFill="1" applyBorder="1" applyAlignment="1">
      <alignment horizontal="center" vertical="center"/>
    </xf>
    <xf numFmtId="0" fontId="18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/>
    </xf>
    <xf numFmtId="1" fontId="21" fillId="0" borderId="9" xfId="0" applyNumberFormat="1" applyFont="1" applyBorder="1" applyAlignment="1">
      <alignment horizontal="center" vertical="center"/>
    </xf>
    <xf numFmtId="1" fontId="20" fillId="3" borderId="9" xfId="0" applyNumberFormat="1" applyFont="1" applyFill="1" applyBorder="1" applyAlignment="1" applyProtection="1">
      <alignment horizontal="center" vertical="center"/>
      <protection locked="0"/>
    </xf>
    <xf numFmtId="164" fontId="20" fillId="3" borderId="9" xfId="0" applyNumberFormat="1" applyFont="1" applyFill="1" applyBorder="1" applyAlignment="1" applyProtection="1">
      <alignment horizontal="center" vertical="center"/>
      <protection locked="0"/>
    </xf>
    <xf numFmtId="0" fontId="18" fillId="4" borderId="0" xfId="0" applyFont="1" applyFill="1"/>
    <xf numFmtId="0" fontId="15" fillId="4" borderId="6" xfId="0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23" fillId="5" borderId="0" xfId="0" applyFont="1" applyFill="1" applyAlignment="1">
      <alignment vertical="center"/>
    </xf>
    <xf numFmtId="0" fontId="23" fillId="5" borderId="0" xfId="0" applyFont="1" applyFill="1"/>
    <xf numFmtId="0" fontId="23" fillId="5" borderId="0" xfId="0" applyFont="1" applyFill="1" applyAlignment="1">
      <alignment horizontal="center" vertical="center"/>
    </xf>
    <xf numFmtId="0" fontId="24" fillId="0" borderId="0" xfId="0" applyFont="1"/>
    <xf numFmtId="0" fontId="15" fillId="0" borderId="0" xfId="0" applyFont="1"/>
    <xf numFmtId="0" fontId="25" fillId="5" borderId="0" xfId="0" applyFont="1" applyFill="1" applyAlignment="1">
      <alignment vertical="center"/>
    </xf>
    <xf numFmtId="0" fontId="24" fillId="5" borderId="0" xfId="0" applyFont="1" applyFill="1" applyAlignment="1">
      <alignment vertical="center"/>
    </xf>
    <xf numFmtId="0" fontId="26" fillId="5" borderId="18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6" fillId="4" borderId="18" xfId="0" applyFont="1" applyFill="1" applyBorder="1" applyAlignment="1">
      <alignment horizontal="center" vertical="center"/>
    </xf>
    <xf numFmtId="164" fontId="26" fillId="5" borderId="18" xfId="0" applyNumberFormat="1" applyFont="1" applyFill="1" applyBorder="1" applyAlignment="1">
      <alignment horizontal="center" vertical="center"/>
    </xf>
    <xf numFmtId="165" fontId="26" fillId="5" borderId="18" xfId="0" applyNumberFormat="1" applyFont="1" applyFill="1" applyBorder="1" applyAlignment="1">
      <alignment horizontal="center" vertical="center"/>
    </xf>
    <xf numFmtId="165" fontId="26" fillId="4" borderId="18" xfId="0" applyNumberFormat="1" applyFont="1" applyFill="1" applyBorder="1" applyAlignment="1">
      <alignment horizontal="center" vertical="center"/>
    </xf>
    <xf numFmtId="164" fontId="24" fillId="0" borderId="18" xfId="0" applyNumberFormat="1" applyFont="1" applyBorder="1" applyAlignment="1">
      <alignment horizontal="center" vertical="center"/>
    </xf>
    <xf numFmtId="170" fontId="26" fillId="4" borderId="18" xfId="0" applyNumberFormat="1" applyFont="1" applyFill="1" applyBorder="1" applyAlignment="1">
      <alignment horizontal="center" vertical="center"/>
    </xf>
    <xf numFmtId="170" fontId="26" fillId="0" borderId="18" xfId="0" applyNumberFormat="1" applyFont="1" applyBorder="1" applyAlignment="1">
      <alignment horizontal="center" vertical="center"/>
    </xf>
    <xf numFmtId="164" fontId="27" fillId="5" borderId="18" xfId="0" applyNumberFormat="1" applyFont="1" applyFill="1" applyBorder="1" applyAlignment="1">
      <alignment horizontal="center" vertical="center"/>
    </xf>
    <xf numFmtId="1" fontId="26" fillId="4" borderId="18" xfId="0" applyNumberFormat="1" applyFont="1" applyFill="1" applyBorder="1" applyAlignment="1">
      <alignment horizontal="center" vertical="center"/>
    </xf>
    <xf numFmtId="164" fontId="26" fillId="4" borderId="18" xfId="0" applyNumberFormat="1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left" vertical="center"/>
    </xf>
    <xf numFmtId="1" fontId="26" fillId="5" borderId="18" xfId="0" applyNumberFormat="1" applyFont="1" applyFill="1" applyBorder="1" applyAlignment="1">
      <alignment horizontal="center" vertical="center"/>
    </xf>
    <xf numFmtId="164" fontId="28" fillId="5" borderId="18" xfId="0" applyNumberFormat="1" applyFont="1" applyFill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164" fontId="26" fillId="0" borderId="18" xfId="0" applyNumberFormat="1" applyFont="1" applyBorder="1" applyAlignment="1">
      <alignment horizontal="center" vertical="center"/>
    </xf>
    <xf numFmtId="0" fontId="27" fillId="5" borderId="18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vertical="center"/>
    </xf>
    <xf numFmtId="0" fontId="29" fillId="5" borderId="0" xfId="0" applyFont="1" applyFill="1" applyAlignment="1">
      <alignment vertical="center"/>
    </xf>
    <xf numFmtId="0" fontId="30" fillId="0" borderId="0" xfId="0" applyFont="1"/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vertical="center"/>
    </xf>
    <xf numFmtId="49" fontId="6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167" fontId="3" fillId="5" borderId="0" xfId="0" applyNumberFormat="1" applyFont="1" applyFill="1" applyAlignment="1">
      <alignment horizontal="center" vertical="center" wrapText="1"/>
    </xf>
    <xf numFmtId="2" fontId="3" fillId="5" borderId="0" xfId="0" applyNumberFormat="1" applyFont="1" applyFill="1" applyAlignment="1">
      <alignment horizontal="center"/>
    </xf>
    <xf numFmtId="164" fontId="3" fillId="5" borderId="0" xfId="0" applyNumberFormat="1" applyFont="1" applyFill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167" fontId="3" fillId="5" borderId="0" xfId="0" applyNumberFormat="1" applyFont="1" applyFill="1"/>
    <xf numFmtId="169" fontId="3" fillId="5" borderId="0" xfId="0" applyNumberFormat="1" applyFont="1" applyFill="1" applyAlignment="1">
      <alignment horizontal="center" vertical="center"/>
    </xf>
    <xf numFmtId="0" fontId="24" fillId="3" borderId="18" xfId="0" applyFont="1" applyFill="1" applyBorder="1" applyAlignment="1">
      <alignment horizontal="left" vertical="center"/>
    </xf>
    <xf numFmtId="164" fontId="26" fillId="3" borderId="18" xfId="0" applyNumberFormat="1" applyFont="1" applyFill="1" applyBorder="1" applyAlignment="1">
      <alignment horizontal="center" vertical="center"/>
    </xf>
    <xf numFmtId="0" fontId="24" fillId="3" borderId="18" xfId="0" applyFont="1" applyFill="1" applyBorder="1" applyAlignment="1">
      <alignment horizontal="center" vertical="center"/>
    </xf>
    <xf numFmtId="1" fontId="26" fillId="3" borderId="18" xfId="0" applyNumberFormat="1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4" fillId="5" borderId="19" xfId="0" applyFont="1" applyFill="1" applyBorder="1" applyAlignment="1">
      <alignment horizontal="left" vertical="center" wrapText="1"/>
    </xf>
    <xf numFmtId="0" fontId="24" fillId="5" borderId="0" xfId="0" applyFont="1" applyFill="1" applyAlignment="1">
      <alignment horizontal="left" vertical="center" wrapText="1"/>
    </xf>
    <xf numFmtId="0" fontId="24" fillId="5" borderId="20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/>
    </xf>
    <xf numFmtId="164" fontId="21" fillId="5" borderId="9" xfId="0" applyNumberFormat="1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left" vertical="center"/>
    </xf>
    <xf numFmtId="169" fontId="26" fillId="5" borderId="18" xfId="0" applyNumberFormat="1" applyFont="1" applyFill="1" applyBorder="1" applyAlignment="1">
      <alignment horizontal="center" vertical="center"/>
    </xf>
    <xf numFmtId="164" fontId="26" fillId="5" borderId="18" xfId="0" applyNumberFormat="1" applyFont="1" applyFill="1" applyBorder="1" applyAlignment="1">
      <alignment horizontal="center" vertical="center"/>
    </xf>
    <xf numFmtId="0" fontId="24" fillId="0" borderId="18" xfId="0" applyFont="1" applyBorder="1" applyAlignment="1">
      <alignment horizontal="left" vertical="center"/>
    </xf>
    <xf numFmtId="165" fontId="26" fillId="5" borderId="18" xfId="0" applyNumberFormat="1" applyFont="1" applyFill="1" applyBorder="1" applyAlignment="1">
      <alignment horizontal="center" vertical="center"/>
    </xf>
    <xf numFmtId="164" fontId="26" fillId="4" borderId="18" xfId="0" applyNumberFormat="1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left" vertical="center" wrapText="1"/>
    </xf>
    <xf numFmtId="0" fontId="18" fillId="4" borderId="9" xfId="0" applyFont="1" applyFill="1" applyBorder="1" applyAlignment="1">
      <alignment horizontal="left" vertical="center"/>
    </xf>
    <xf numFmtId="2" fontId="20" fillId="3" borderId="9" xfId="0" applyNumberFormat="1" applyFont="1" applyFill="1" applyBorder="1" applyAlignment="1" applyProtection="1">
      <alignment horizontal="center" vertical="center"/>
      <protection locked="0"/>
    </xf>
    <xf numFmtId="3" fontId="11" fillId="5" borderId="0" xfId="0" applyNumberFormat="1" applyFont="1" applyFill="1" applyAlignment="1">
      <alignment horizontal="center" vertical="center" wrapText="1"/>
    </xf>
    <xf numFmtId="0" fontId="31" fillId="5" borderId="0" xfId="0" applyFont="1" applyFill="1" applyAlignment="1">
      <alignment horizontal="center" vertical="center"/>
    </xf>
    <xf numFmtId="168" fontId="3" fillId="5" borderId="0" xfId="0" applyNumberFormat="1" applyFont="1" applyFill="1" applyAlignment="1">
      <alignment horizontal="center" vertical="center"/>
    </xf>
    <xf numFmtId="164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 textRotation="90"/>
    </xf>
    <xf numFmtId="167" fontId="3" fillId="5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 textRotation="90" wrapText="1"/>
    </xf>
    <xf numFmtId="0" fontId="18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/>
    </xf>
    <xf numFmtId="0" fontId="18" fillId="4" borderId="10" xfId="0" applyFont="1" applyFill="1" applyBorder="1" applyAlignment="1">
      <alignment horizontal="left" vertical="center"/>
    </xf>
    <xf numFmtId="0" fontId="18" fillId="3" borderId="9" xfId="0" applyFont="1" applyFill="1" applyBorder="1" applyAlignment="1" applyProtection="1">
      <alignment horizontal="left" vertical="center"/>
      <protection locked="0"/>
    </xf>
    <xf numFmtId="3" fontId="18" fillId="3" borderId="9" xfId="0" applyNumberFormat="1" applyFont="1" applyFill="1" applyBorder="1" applyAlignment="1" applyProtection="1">
      <alignment horizontal="left" vertical="center"/>
      <protection locked="0"/>
    </xf>
    <xf numFmtId="0" fontId="18" fillId="4" borderId="9" xfId="0" applyFont="1" applyFill="1" applyBorder="1" applyAlignment="1">
      <alignment horizontal="left" vertical="center" wrapText="1"/>
    </xf>
    <xf numFmtId="0" fontId="18" fillId="4" borderId="9" xfId="0" applyFont="1" applyFill="1" applyBorder="1" applyAlignment="1">
      <alignment horizontal="center" vertical="center" wrapText="1"/>
    </xf>
    <xf numFmtId="0" fontId="18" fillId="4" borderId="11" xfId="0" applyFont="1" applyFill="1" applyBorder="1" applyAlignment="1">
      <alignment horizontal="left" vertical="center" wrapText="1"/>
    </xf>
    <xf numFmtId="0" fontId="18" fillId="4" borderId="12" xfId="0" applyFont="1" applyFill="1" applyBorder="1" applyAlignment="1">
      <alignment horizontal="left" vertical="center" wrapText="1"/>
    </xf>
    <xf numFmtId="0" fontId="18" fillId="4" borderId="13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18" fillId="4" borderId="15" xfId="0" applyFont="1" applyFill="1" applyBorder="1" applyAlignment="1">
      <alignment horizontal="left" vertical="center" wrapText="1"/>
    </xf>
    <xf numFmtId="0" fontId="18" fillId="4" borderId="16" xfId="0" applyFont="1" applyFill="1" applyBorder="1" applyAlignment="1">
      <alignment horizontal="left" vertical="center" wrapText="1"/>
    </xf>
    <xf numFmtId="0" fontId="18" fillId="4" borderId="11" xfId="0" applyFont="1" applyFill="1" applyBorder="1" applyAlignment="1">
      <alignment horizontal="left" vertical="center"/>
    </xf>
    <xf numFmtId="0" fontId="18" fillId="4" borderId="12" xfId="0" applyFont="1" applyFill="1" applyBorder="1" applyAlignment="1">
      <alignment horizontal="left" vertical="center"/>
    </xf>
    <xf numFmtId="0" fontId="18" fillId="4" borderId="13" xfId="0" applyFont="1" applyFill="1" applyBorder="1" applyAlignment="1">
      <alignment horizontal="left" vertical="center"/>
    </xf>
    <xf numFmtId="0" fontId="18" fillId="4" borderId="14" xfId="0" applyFont="1" applyFill="1" applyBorder="1" applyAlignment="1">
      <alignment horizontal="left" vertical="center"/>
    </xf>
    <xf numFmtId="0" fontId="18" fillId="4" borderId="15" xfId="0" applyFont="1" applyFill="1" applyBorder="1" applyAlignment="1">
      <alignment horizontal="left" vertical="center"/>
    </xf>
    <xf numFmtId="0" fontId="18" fillId="4" borderId="16" xfId="0" applyFont="1" applyFill="1" applyBorder="1" applyAlignment="1">
      <alignment horizontal="left" vertical="center"/>
    </xf>
    <xf numFmtId="171" fontId="21" fillId="5" borderId="17" xfId="0" applyNumberFormat="1" applyFont="1" applyFill="1" applyBorder="1" applyAlignment="1">
      <alignment horizontal="center" vertical="center"/>
    </xf>
    <xf numFmtId="171" fontId="21" fillId="5" borderId="10" xfId="0" applyNumberFormat="1" applyFont="1" applyFill="1" applyBorder="1" applyAlignment="1">
      <alignment horizontal="center" vertical="center"/>
    </xf>
    <xf numFmtId="164" fontId="21" fillId="5" borderId="17" xfId="0" applyNumberFormat="1" applyFont="1" applyFill="1" applyBorder="1" applyAlignment="1">
      <alignment horizontal="center" vertical="center"/>
    </xf>
    <xf numFmtId="164" fontId="21" fillId="5" borderId="10" xfId="0" applyNumberFormat="1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7" fillId="4" borderId="9" xfId="0" applyFont="1" applyFill="1" applyBorder="1" applyAlignment="1">
      <alignment horizontal="center" vertical="center"/>
    </xf>
    <xf numFmtId="165" fontId="21" fillId="5" borderId="9" xfId="0" applyNumberFormat="1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2" fontId="26" fillId="0" borderId="18" xfId="0" applyNumberFormat="1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4" fillId="7" borderId="0" xfId="0" applyFont="1" applyFill="1" applyAlignment="1">
      <alignment horizontal="left" vertical="center"/>
    </xf>
    <xf numFmtId="168" fontId="20" fillId="3" borderId="9" xfId="0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Alignment="1" applyProtection="1">
      <alignment horizontal="center" vertical="center"/>
    </xf>
    <xf numFmtId="0" fontId="11" fillId="6" borderId="0" xfId="0" applyFont="1" applyFill="1" applyAlignment="1">
      <alignment horizontal="center" vertical="center"/>
    </xf>
    <xf numFmtId="165" fontId="20" fillId="3" borderId="9" xfId="0" applyNumberFormat="1" applyFont="1" applyFill="1" applyBorder="1" applyAlignment="1" applyProtection="1">
      <alignment horizontal="center" vertical="center"/>
      <protection locked="0"/>
    </xf>
    <xf numFmtId="164" fontId="20" fillId="3" borderId="9" xfId="0" applyNumberFormat="1" applyFont="1" applyFill="1" applyBorder="1" applyAlignment="1" applyProtection="1">
      <alignment horizontal="center" vertical="center"/>
      <protection locked="0"/>
    </xf>
    <xf numFmtId="2" fontId="21" fillId="0" borderId="17" xfId="0" applyNumberFormat="1" applyFont="1" applyBorder="1" applyAlignment="1">
      <alignment horizontal="center" vertical="center"/>
    </xf>
    <xf numFmtId="2" fontId="21" fillId="0" borderId="10" xfId="0" applyNumberFormat="1" applyFont="1" applyBorder="1" applyAlignment="1">
      <alignment horizontal="center" vertical="center"/>
    </xf>
    <xf numFmtId="2" fontId="26" fillId="5" borderId="18" xfId="0" applyNumberFormat="1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3" borderId="19" xfId="0" applyFont="1" applyFill="1" applyBorder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24" fillId="3" borderId="20" xfId="0" applyFont="1" applyFill="1" applyBorder="1" applyAlignment="1">
      <alignment horizontal="left" vertical="center"/>
    </xf>
    <xf numFmtId="0" fontId="24" fillId="3" borderId="18" xfId="0" applyFont="1" applyFill="1" applyBorder="1" applyAlignment="1">
      <alignment horizontal="left" vertical="center"/>
    </xf>
    <xf numFmtId="0" fontId="16" fillId="0" borderId="0" xfId="0" applyFont="1" applyAlignment="1">
      <alignment horizontal="left"/>
    </xf>
    <xf numFmtId="2" fontId="26" fillId="4" borderId="18" xfId="0" applyNumberFormat="1" applyFont="1" applyFill="1" applyBorder="1" applyAlignment="1">
      <alignment horizontal="center" vertical="center"/>
    </xf>
    <xf numFmtId="165" fontId="26" fillId="4" borderId="18" xfId="0" applyNumberFormat="1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28"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theme="0"/>
      </font>
      <fill>
        <patternFill patternType="solid"/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theme="0" tint="-0.14996795556505021"/>
      </font>
      <fill>
        <patternFill>
          <bgColor theme="0" tint="-0.14996795556505021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strike val="0"/>
        <color theme="0" tint="-0.14996795556505021"/>
      </font>
      <fill>
        <patternFill>
          <bgColor theme="0" tint="-0.1499679555650502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strike val="0"/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strike val="0"/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  <dxf>
      <font>
        <strike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C409"/>
      <color rgb="FFFDBC03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1</xdr:row>
      <xdr:rowOff>123825</xdr:rowOff>
    </xdr:from>
    <xdr:to>
      <xdr:col>4</xdr:col>
      <xdr:colOff>170245</xdr:colOff>
      <xdr:row>5</xdr:row>
      <xdr:rowOff>44143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11500"/>
                  </a14:imgEffect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1960945" cy="832477"/>
        </a:xfrm>
        <a:prstGeom prst="rect">
          <a:avLst/>
        </a:prstGeom>
      </xdr:spPr>
    </xdr:pic>
    <xdr:clientData/>
  </xdr:twoCellAnchor>
  <xdr:twoCellAnchor>
    <xdr:from>
      <xdr:col>4</xdr:col>
      <xdr:colOff>264994</xdr:colOff>
      <xdr:row>10</xdr:row>
      <xdr:rowOff>19050</xdr:rowOff>
    </xdr:from>
    <xdr:to>
      <xdr:col>4</xdr:col>
      <xdr:colOff>444994</xdr:colOff>
      <xdr:row>10</xdr:row>
      <xdr:rowOff>199050</xdr:rowOff>
    </xdr:to>
    <xdr:sp macro="[0]!showredução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244077" y="20722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264994</xdr:colOff>
      <xdr:row>11</xdr:row>
      <xdr:rowOff>19050</xdr:rowOff>
    </xdr:from>
    <xdr:to>
      <xdr:col>4</xdr:col>
      <xdr:colOff>444994</xdr:colOff>
      <xdr:row>11</xdr:row>
      <xdr:rowOff>199050</xdr:rowOff>
    </xdr:to>
    <xdr:sp macro="[0]!showmódulo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244077" y="229446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264994</xdr:colOff>
      <xdr:row>12</xdr:row>
      <xdr:rowOff>19050</xdr:rowOff>
    </xdr:from>
    <xdr:to>
      <xdr:col>4</xdr:col>
      <xdr:colOff>444994</xdr:colOff>
      <xdr:row>12</xdr:row>
      <xdr:rowOff>199050</xdr:rowOff>
    </xdr:to>
    <xdr:sp macro="[0]!showângulodehélice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244077" y="25167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7</xdr:col>
      <xdr:colOff>217674</xdr:colOff>
      <xdr:row>5</xdr:row>
      <xdr:rowOff>263526</xdr:rowOff>
    </xdr:from>
    <xdr:to>
      <xdr:col>7</xdr:col>
      <xdr:colOff>397674</xdr:colOff>
      <xdr:row>6</xdr:row>
      <xdr:rowOff>178942</xdr:rowOff>
    </xdr:to>
    <xdr:sp macro="[0]!nada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890091" y="1226609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264994</xdr:colOff>
      <xdr:row>14</xdr:row>
      <xdr:rowOff>19050</xdr:rowOff>
    </xdr:from>
    <xdr:to>
      <xdr:col>4</xdr:col>
      <xdr:colOff>444994</xdr:colOff>
      <xdr:row>14</xdr:row>
      <xdr:rowOff>199050</xdr:rowOff>
    </xdr:to>
    <xdr:sp macro="[0]!showmódulotransversal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244077" y="29612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2</xdr:col>
      <xdr:colOff>901517</xdr:colOff>
      <xdr:row>28</xdr:row>
      <xdr:rowOff>209550</xdr:rowOff>
    </xdr:from>
    <xdr:to>
      <xdr:col>2</xdr:col>
      <xdr:colOff>1081517</xdr:colOff>
      <xdr:row>29</xdr:row>
      <xdr:rowOff>170475</xdr:rowOff>
    </xdr:to>
    <xdr:sp macro="[0]!showdiâmetroexterno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69605" y="6081432"/>
          <a:ext cx="180000" cy="18504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260232</xdr:colOff>
      <xdr:row>15</xdr:row>
      <xdr:rowOff>19050</xdr:rowOff>
    </xdr:from>
    <xdr:to>
      <xdr:col>4</xdr:col>
      <xdr:colOff>440232</xdr:colOff>
      <xdr:row>15</xdr:row>
      <xdr:rowOff>199050</xdr:rowOff>
    </xdr:to>
    <xdr:sp macro="[0]!showdiametro_primitivo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239315" y="318346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260232</xdr:colOff>
      <xdr:row>16</xdr:row>
      <xdr:rowOff>19050</xdr:rowOff>
    </xdr:from>
    <xdr:to>
      <xdr:col>4</xdr:col>
      <xdr:colOff>440232</xdr:colOff>
      <xdr:row>16</xdr:row>
      <xdr:rowOff>199050</xdr:rowOff>
    </xdr:to>
    <xdr:sp macro="[0]!showentre_centros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2239315" y="34057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260232</xdr:colOff>
      <xdr:row>17</xdr:row>
      <xdr:rowOff>9525</xdr:rowOff>
    </xdr:from>
    <xdr:to>
      <xdr:col>4</xdr:col>
      <xdr:colOff>440232</xdr:colOff>
      <xdr:row>17</xdr:row>
      <xdr:rowOff>189525</xdr:rowOff>
    </xdr:to>
    <xdr:sp macro="[0]!showentre_centros_corrigido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239315" y="3618442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16</xdr:col>
      <xdr:colOff>915527</xdr:colOff>
      <xdr:row>18</xdr:row>
      <xdr:rowOff>28575</xdr:rowOff>
    </xdr:from>
    <xdr:to>
      <xdr:col>16</xdr:col>
      <xdr:colOff>1095527</xdr:colOff>
      <xdr:row>18</xdr:row>
      <xdr:rowOff>208575</xdr:rowOff>
    </xdr:to>
    <xdr:sp macro="[0]!showGrau_de_recobrimento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43777" y="3859742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16</xdr:col>
      <xdr:colOff>925052</xdr:colOff>
      <xdr:row>12</xdr:row>
      <xdr:rowOff>19050</xdr:rowOff>
    </xdr:from>
    <xdr:to>
      <xdr:col>16</xdr:col>
      <xdr:colOff>1105052</xdr:colOff>
      <xdr:row>12</xdr:row>
      <xdr:rowOff>199050</xdr:rowOff>
    </xdr:to>
    <xdr:sp macro="[0]!showMedida_M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1053302" y="25167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9</xdr:col>
      <xdr:colOff>832039</xdr:colOff>
      <xdr:row>31</xdr:row>
      <xdr:rowOff>28575</xdr:rowOff>
    </xdr:from>
    <xdr:to>
      <xdr:col>9</xdr:col>
      <xdr:colOff>1012039</xdr:colOff>
      <xdr:row>31</xdr:row>
      <xdr:rowOff>208575</xdr:rowOff>
    </xdr:to>
    <xdr:sp macro="[0]!showMedida_W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6311715" y="6572810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11</xdr:col>
      <xdr:colOff>1128064</xdr:colOff>
      <xdr:row>10</xdr:row>
      <xdr:rowOff>28575</xdr:rowOff>
    </xdr:from>
    <xdr:to>
      <xdr:col>11</xdr:col>
      <xdr:colOff>1308064</xdr:colOff>
      <xdr:row>10</xdr:row>
      <xdr:rowOff>208575</xdr:rowOff>
    </xdr:to>
    <xdr:sp macro="[0]!showB_min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351064" y="2081742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260232</xdr:colOff>
      <xdr:row>34</xdr:row>
      <xdr:rowOff>19050</xdr:rowOff>
    </xdr:from>
    <xdr:to>
      <xdr:col>4</xdr:col>
      <xdr:colOff>440232</xdr:colOff>
      <xdr:row>34</xdr:row>
      <xdr:rowOff>199050</xdr:rowOff>
    </xdr:to>
    <xdr:sp macro="[0]!showtolerancia_dentado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2239315" y="74062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16</xdr:col>
      <xdr:colOff>925052</xdr:colOff>
      <xdr:row>24</xdr:row>
      <xdr:rowOff>9525</xdr:rowOff>
    </xdr:from>
    <xdr:to>
      <xdr:col>16</xdr:col>
      <xdr:colOff>1105052</xdr:colOff>
      <xdr:row>24</xdr:row>
      <xdr:rowOff>189525</xdr:rowOff>
    </xdr:to>
    <xdr:sp macro="[0]!showBacklash_primitivo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1053302" y="4951942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260232</xdr:colOff>
      <xdr:row>18</xdr:row>
      <xdr:rowOff>28575</xdr:rowOff>
    </xdr:from>
    <xdr:to>
      <xdr:col>4</xdr:col>
      <xdr:colOff>440232</xdr:colOff>
      <xdr:row>18</xdr:row>
      <xdr:rowOff>208575</xdr:rowOff>
    </xdr:to>
    <xdr:sp macro="[0]!showdiâmetro_de_trabalho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2239315" y="3859742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269757</xdr:colOff>
      <xdr:row>21</xdr:row>
      <xdr:rowOff>19050</xdr:rowOff>
    </xdr:from>
    <xdr:to>
      <xdr:col>4</xdr:col>
      <xdr:colOff>449757</xdr:colOff>
      <xdr:row>21</xdr:row>
      <xdr:rowOff>199050</xdr:rowOff>
    </xdr:to>
    <xdr:sp macro="[0]!showx1recomendado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2248840" y="451696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260232</xdr:colOff>
      <xdr:row>26</xdr:row>
      <xdr:rowOff>28575</xdr:rowOff>
    </xdr:from>
    <xdr:to>
      <xdr:col>4</xdr:col>
      <xdr:colOff>440232</xdr:colOff>
      <xdr:row>26</xdr:row>
      <xdr:rowOff>208575</xdr:rowOff>
    </xdr:to>
    <xdr:sp macro="[0]!showadendum_dedendum" textlink="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2239315" y="5637742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4</xdr:col>
      <xdr:colOff>260232</xdr:colOff>
      <xdr:row>27</xdr:row>
      <xdr:rowOff>19050</xdr:rowOff>
    </xdr:from>
    <xdr:to>
      <xdr:col>4</xdr:col>
      <xdr:colOff>440232</xdr:colOff>
      <xdr:row>27</xdr:row>
      <xdr:rowOff>199050</xdr:rowOff>
    </xdr:to>
    <xdr:sp macro="[0]!showadendum_dedendum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2239315" y="585046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17</xdr:col>
      <xdr:colOff>1516847</xdr:colOff>
      <xdr:row>16</xdr:row>
      <xdr:rowOff>19050</xdr:rowOff>
    </xdr:from>
    <xdr:to>
      <xdr:col>17</xdr:col>
      <xdr:colOff>1696847</xdr:colOff>
      <xdr:row>16</xdr:row>
      <xdr:rowOff>199050</xdr:rowOff>
    </xdr:to>
    <xdr:sp macro="[0]!showchanfro_na_cabeça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12830430" y="34057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17</xdr:col>
      <xdr:colOff>1545422</xdr:colOff>
      <xdr:row>25</xdr:row>
      <xdr:rowOff>28575</xdr:rowOff>
    </xdr:from>
    <xdr:to>
      <xdr:col>17</xdr:col>
      <xdr:colOff>1725422</xdr:colOff>
      <xdr:row>25</xdr:row>
      <xdr:rowOff>208575</xdr:rowOff>
    </xdr:to>
    <xdr:sp macro="[0]!showBacklash_linha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2859005" y="5193242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11</xdr:col>
      <xdr:colOff>1118540</xdr:colOff>
      <xdr:row>26</xdr:row>
      <xdr:rowOff>19050</xdr:rowOff>
    </xdr:from>
    <xdr:to>
      <xdr:col>11</xdr:col>
      <xdr:colOff>1298540</xdr:colOff>
      <xdr:row>26</xdr:row>
      <xdr:rowOff>199050</xdr:rowOff>
    </xdr:to>
    <xdr:sp macro="[0]!showUndercut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7341540" y="5628217"/>
          <a:ext cx="180000" cy="180000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</a:t>
          </a:r>
        </a:p>
      </xdr:txBody>
    </xdr:sp>
    <xdr:clientData/>
  </xdr:twoCellAnchor>
  <xdr:twoCellAnchor>
    <xdr:from>
      <xdr:col>16</xdr:col>
      <xdr:colOff>1047752</xdr:colOff>
      <xdr:row>3</xdr:row>
      <xdr:rowOff>42333</xdr:rowOff>
    </xdr:from>
    <xdr:to>
      <xdr:col>17</xdr:col>
      <xdr:colOff>613835</xdr:colOff>
      <xdr:row>6</xdr:row>
      <xdr:rowOff>21166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E434C6F-5C8E-4AA2-ADC9-E15C94425697}"/>
            </a:ext>
          </a:extLst>
        </xdr:cNvPr>
        <xdr:cNvGrpSpPr/>
      </xdr:nvGrpSpPr>
      <xdr:grpSpPr>
        <a:xfrm>
          <a:off x="11176002" y="518583"/>
          <a:ext cx="751416" cy="730250"/>
          <a:chOff x="10498668" y="444500"/>
          <a:chExt cx="751416" cy="730250"/>
        </a:xfrm>
      </xdr:grpSpPr>
      <xdr:sp macro="[0]!IMPRIMIR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52950F95-3B4E-4DBB-9111-2E9D04DCE646}"/>
              </a:ext>
            </a:extLst>
          </xdr:cNvPr>
          <xdr:cNvSpPr txBox="1"/>
        </xdr:nvSpPr>
        <xdr:spPr>
          <a:xfrm>
            <a:off x="10498668" y="444500"/>
            <a:ext cx="751416" cy="730250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59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5400000" scaled="1"/>
            <a:tileRect/>
          </a:gradFill>
          <a:ln w="9525" cmpd="sng">
            <a:noFill/>
          </a:ln>
          <a:effectLst>
            <a:softEdge rad="127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s-PE" sz="1100"/>
              <a:t>IMPRIMIR</a:t>
            </a:r>
          </a:p>
        </xdr:txBody>
      </xdr:sp>
      <xdr:pic macro="[0]!IMPRIMIR">
        <xdr:nvPicPr>
          <xdr:cNvPr id="6" name="Imagem 5">
            <a:extLst>
              <a:ext uri="{FF2B5EF4-FFF2-40B4-BE49-F238E27FC236}">
                <a16:creationId xmlns:a16="http://schemas.microsoft.com/office/drawing/2014/main" id="{72771E39-9A50-4969-BC76-DEEE7ECCE1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649122" y="659560"/>
            <a:ext cx="448063" cy="443830"/>
          </a:xfrm>
          <a:prstGeom prst="rect">
            <a:avLst/>
          </a:prstGeom>
        </xdr:spPr>
      </xdr:pic>
    </xdr:grpSp>
    <xdr:clientData/>
  </xdr:twoCellAnchor>
  <xdr:twoCellAnchor>
    <xdr:from>
      <xdr:col>35</xdr:col>
      <xdr:colOff>628650</xdr:colOff>
      <xdr:row>157</xdr:row>
      <xdr:rowOff>19050</xdr:rowOff>
    </xdr:from>
    <xdr:to>
      <xdr:col>41</xdr:col>
      <xdr:colOff>514350</xdr:colOff>
      <xdr:row>158</xdr:row>
      <xdr:rowOff>123825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7DF76538-6F0D-405E-A61C-35805428043E}"/>
            </a:ext>
          </a:extLst>
        </xdr:cNvPr>
        <xdr:cNvSpPr/>
      </xdr:nvSpPr>
      <xdr:spPr bwMode="auto">
        <a:xfrm>
          <a:off x="24669750" y="27403425"/>
          <a:ext cx="2476500" cy="247650"/>
        </a:xfrm>
        <a:prstGeom prst="rect">
          <a:avLst/>
        </a:prstGeom>
        <a:solidFill>
          <a:schemeClr val="bg1"/>
        </a:solidFill>
        <a:ln w="38100" cap="flat" cmpd="dbl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vert="wordArtVert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1143000</xdr:colOff>
      <xdr:row>215</xdr:row>
      <xdr:rowOff>19050</xdr:rowOff>
    </xdr:from>
    <xdr:to>
      <xdr:col>25</xdr:col>
      <xdr:colOff>404132</xdr:colOff>
      <xdr:row>217</xdr:row>
      <xdr:rowOff>33547</xdr:rowOff>
    </xdr:to>
    <xdr:sp macro="" textlink="#REF!">
      <xdr:nvSpPr>
        <xdr:cNvPr id="370" name="CaixaDeTexto 369">
          <a:extLst>
            <a:ext uri="{FF2B5EF4-FFF2-40B4-BE49-F238E27FC236}">
              <a16:creationId xmlns:a16="http://schemas.microsoft.com/office/drawing/2014/main" id="{AC54FF2F-6F2B-4815-AEE7-7F97B694109F}"/>
            </a:ext>
          </a:extLst>
        </xdr:cNvPr>
        <xdr:cNvSpPr txBox="1"/>
      </xdr:nvSpPr>
      <xdr:spPr>
        <a:xfrm>
          <a:off x="14944725" y="37652325"/>
          <a:ext cx="461282" cy="300247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indent="0" algn="ctr"/>
          <a:fld id="{AE6C8CF2-5685-40C3-8015-CA7C2FDB1BE4}" type="TxLink">
            <a:rPr lang="en-US" sz="1200" b="0" i="0" u="none" strike="noStrike">
              <a:solidFill>
                <a:srgbClr val="000000"/>
              </a:solidFill>
              <a:latin typeface="Arial"/>
              <a:ea typeface="+mn-ea"/>
              <a:cs typeface="Arial"/>
            </a:rPr>
            <a:pPr marL="0" indent="0" algn="ctr"/>
            <a:t> </a:t>
          </a:fld>
          <a:endParaRPr lang="pt-BR" sz="1200" b="0" i="0" u="none" strike="noStrike">
            <a:solidFill>
              <a:srgbClr val="00000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26</xdr:col>
      <xdr:colOff>495300</xdr:colOff>
      <xdr:row>213</xdr:row>
      <xdr:rowOff>95250</xdr:rowOff>
    </xdr:from>
    <xdr:to>
      <xdr:col>26</xdr:col>
      <xdr:colOff>956582</xdr:colOff>
      <xdr:row>215</xdr:row>
      <xdr:rowOff>55630</xdr:rowOff>
    </xdr:to>
    <xdr:sp macro="" textlink="$F$52">
      <xdr:nvSpPr>
        <xdr:cNvPr id="381" name="CaixaDeTexto 380">
          <a:extLst>
            <a:ext uri="{FF2B5EF4-FFF2-40B4-BE49-F238E27FC236}">
              <a16:creationId xmlns:a16="http://schemas.microsoft.com/office/drawing/2014/main" id="{875B217D-285D-4AB1-9FC5-A1E2B28EFA39}"/>
            </a:ext>
          </a:extLst>
        </xdr:cNvPr>
        <xdr:cNvSpPr txBox="1"/>
      </xdr:nvSpPr>
      <xdr:spPr>
        <a:xfrm>
          <a:off x="16735425" y="37442775"/>
          <a:ext cx="461282" cy="2461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E64A398-159C-4CCA-A5D0-2BF7EFD66C14}" type="TxLink">
            <a:rPr lang="en-US" sz="12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pt-BR" sz="12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/>
        </a:solidFill>
        <a:ln w="38100" cap="flat" cmpd="dbl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vert="wordArtVert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FFFF"/>
        </a:solidFill>
        <a:ln w="38100" cap="flat" cmpd="dbl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vert="wordArtVert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neng.com.br/" TargetMode="Externa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CX856"/>
  <sheetViews>
    <sheetView showGridLines="0" tabSelected="1" topLeftCell="A16" zoomScale="90" zoomScaleNormal="90" workbookViewId="0">
      <selection activeCell="M24" sqref="M24"/>
    </sheetView>
  </sheetViews>
  <sheetFormatPr defaultRowHeight="12.75" x14ac:dyDescent="0.2"/>
  <cols>
    <col min="1" max="1" width="1" style="1" customWidth="1"/>
    <col min="2" max="2" width="1.42578125" style="1" customWidth="1"/>
    <col min="3" max="3" width="17.28515625" style="1" customWidth="1"/>
    <col min="4" max="4" width="10" style="1" customWidth="1"/>
    <col min="5" max="5" width="7.85546875" style="1" customWidth="1"/>
    <col min="6" max="7" width="8.7109375" style="1" customWidth="1"/>
    <col min="8" max="8" width="8.85546875" style="1" customWidth="1"/>
    <col min="9" max="9" width="0.85546875" style="1" customWidth="1"/>
    <col min="10" max="10" width="26.28515625" style="1" customWidth="1"/>
    <col min="11" max="11" width="2.28515625" style="1" customWidth="1"/>
    <col min="12" max="12" width="25.5703125" style="1" customWidth="1"/>
    <col min="13" max="14" width="10.7109375" style="1" customWidth="1"/>
    <col min="15" max="15" width="9.42578125" style="1" bestFit="1" customWidth="1"/>
    <col min="16" max="16" width="2" style="1" customWidth="1"/>
    <col min="17" max="17" width="17.7109375" style="1" customWidth="1"/>
    <col min="18" max="18" width="28" style="1" customWidth="1"/>
    <col min="19" max="20" width="10.7109375" style="1" customWidth="1"/>
    <col min="21" max="21" width="7.5703125" style="1" customWidth="1"/>
    <col min="22" max="22" width="1.5703125" style="1" customWidth="1"/>
    <col min="23" max="23" width="13.140625" style="7" customWidth="1"/>
    <col min="24" max="24" width="10.28515625" style="11" customWidth="1"/>
    <col min="25" max="25" width="18.7109375" style="71" customWidth="1"/>
    <col min="26" max="26" width="21.5703125" style="71" customWidth="1"/>
    <col min="27" max="28" width="11.5703125" style="71" customWidth="1"/>
    <col min="29" max="29" width="8.140625" style="71" bestFit="1" customWidth="1"/>
    <col min="30" max="30" width="4.85546875" style="71" customWidth="1"/>
    <col min="31" max="31" width="5.28515625" style="11" customWidth="1"/>
    <col min="32" max="32" width="19.42578125" style="11" customWidth="1"/>
    <col min="33" max="33" width="21.28515625" style="11" customWidth="1"/>
    <col min="34" max="35" width="10.140625" style="11" customWidth="1"/>
    <col min="36" max="36" width="8.42578125" style="11" customWidth="1"/>
    <col min="37" max="37" width="7.42578125" style="11" bestFit="1" customWidth="1"/>
    <col min="38" max="38" width="5.7109375" style="11" customWidth="1"/>
    <col min="39" max="39" width="5" style="11" bestFit="1" customWidth="1"/>
    <col min="40" max="40" width="1.85546875" style="9" bestFit="1" customWidth="1"/>
    <col min="41" max="41" width="8.5703125" style="9" customWidth="1"/>
    <col min="42" max="42" width="8.42578125" style="11" bestFit="1" customWidth="1"/>
    <col min="43" max="43" width="7.42578125" style="11" customWidth="1"/>
    <col min="44" max="44" width="3" style="11" bestFit="1" customWidth="1"/>
    <col min="45" max="45" width="14.42578125" style="11" bestFit="1" customWidth="1"/>
    <col min="46" max="47" width="4.85546875" style="11" bestFit="1" customWidth="1"/>
    <col min="48" max="49" width="4.85546875" style="10" bestFit="1" customWidth="1"/>
    <col min="50" max="51" width="3.5703125" style="10" bestFit="1" customWidth="1"/>
    <col min="52" max="52" width="5" style="10" bestFit="1" customWidth="1"/>
    <col min="53" max="55" width="4.85546875" style="10" bestFit="1" customWidth="1"/>
    <col min="56" max="56" width="4.5703125" style="10" bestFit="1" customWidth="1"/>
    <col min="57" max="57" width="3" style="10" bestFit="1" customWidth="1"/>
    <col min="58" max="58" width="29.7109375" style="10" customWidth="1"/>
    <col min="59" max="60" width="4.85546875" style="10" bestFit="1" customWidth="1"/>
    <col min="61" max="62" width="8.28515625" style="10" bestFit="1" customWidth="1"/>
    <col min="63" max="63" width="8.42578125" style="10" bestFit="1" customWidth="1"/>
    <col min="64" max="64" width="21.42578125" style="10" customWidth="1"/>
    <col min="65" max="65" width="3.5703125" style="10" bestFit="1" customWidth="1"/>
    <col min="66" max="68" width="4.85546875" style="10" bestFit="1" customWidth="1"/>
    <col min="69" max="69" width="4.5703125" style="10" bestFit="1" customWidth="1"/>
    <col min="70" max="71" width="11.140625" style="10" bestFit="1" customWidth="1"/>
    <col min="72" max="72" width="8.5703125" style="10" bestFit="1" customWidth="1"/>
    <col min="73" max="73" width="8" style="10" bestFit="1" customWidth="1"/>
    <col min="74" max="74" width="3.5703125" style="10" bestFit="1" customWidth="1"/>
    <col min="75" max="75" width="5.140625" style="10" bestFit="1" customWidth="1"/>
    <col min="76" max="76" width="36.28515625" style="10" customWidth="1"/>
    <col min="77" max="77" width="5.42578125" style="10" customWidth="1"/>
    <col min="78" max="78" width="5.7109375" style="10" bestFit="1" customWidth="1"/>
    <col min="79" max="79" width="6.5703125" style="10" bestFit="1" customWidth="1"/>
    <col min="80" max="80" width="6.85546875" style="10" bestFit="1" customWidth="1"/>
    <col min="81" max="81" width="7.42578125" style="10" bestFit="1" customWidth="1"/>
    <col min="82" max="82" width="4" style="10" bestFit="1" customWidth="1"/>
    <col min="83" max="83" width="7.7109375" style="10" bestFit="1" customWidth="1"/>
    <col min="84" max="84" width="10.42578125" style="14" customWidth="1"/>
    <col min="85" max="99" width="9.140625" style="14"/>
    <col min="100" max="102" width="9.140625" style="13"/>
    <col min="103" max="16384" width="9.140625" style="2"/>
  </cols>
  <sheetData>
    <row r="1" spans="1:85" ht="5.25" customHeight="1" thickBot="1" x14ac:dyDescent="0.25"/>
    <row r="2" spans="1:85" ht="20.25" customHeight="1" thickTop="1" x14ac:dyDescent="0.3">
      <c r="A2" s="2"/>
      <c r="B2" s="30"/>
      <c r="C2" s="31"/>
      <c r="D2" s="31"/>
      <c r="E2" s="31"/>
      <c r="F2" s="32"/>
      <c r="G2" s="163" t="s">
        <v>95</v>
      </c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31"/>
      <c r="V2" s="33"/>
      <c r="W2" s="6"/>
      <c r="X2" s="76" t="s">
        <v>134</v>
      </c>
      <c r="AD2" s="72"/>
      <c r="AE2" s="10"/>
      <c r="AF2" s="102" t="s">
        <v>160</v>
      </c>
      <c r="AG2" s="10"/>
      <c r="AH2" s="10"/>
      <c r="AI2" s="10"/>
      <c r="AJ2" s="10"/>
      <c r="AK2" s="10"/>
      <c r="AL2" s="10"/>
      <c r="CF2" s="15"/>
    </row>
    <row r="3" spans="1:85" ht="12.75" customHeight="1" x14ac:dyDescent="0.25">
      <c r="A3" s="2"/>
      <c r="B3" s="34"/>
      <c r="C3" s="35"/>
      <c r="D3" s="35"/>
      <c r="E3" s="35"/>
      <c r="F3" s="35"/>
      <c r="G3" s="5"/>
      <c r="H3" s="5"/>
      <c r="I3" s="5"/>
      <c r="J3" s="4"/>
      <c r="K3" s="4"/>
      <c r="L3" s="5"/>
      <c r="M3" s="4"/>
      <c r="N3" s="4"/>
      <c r="O3" s="4"/>
      <c r="P3" s="4"/>
      <c r="Q3" s="4"/>
      <c r="R3" s="4"/>
      <c r="S3" s="4"/>
      <c r="T3" s="4"/>
      <c r="U3" s="35"/>
      <c r="V3" s="37"/>
      <c r="W3" s="6"/>
      <c r="X3" s="74"/>
      <c r="Y3" s="74"/>
      <c r="Z3" s="74"/>
      <c r="AA3" s="74"/>
      <c r="AB3" s="74"/>
      <c r="AC3" s="74"/>
      <c r="AD3" s="72"/>
      <c r="AE3" s="10"/>
      <c r="AF3" s="102" t="s">
        <v>161</v>
      </c>
      <c r="AG3" s="10"/>
      <c r="AH3" s="10"/>
      <c r="AI3" s="10"/>
      <c r="AJ3" s="10"/>
      <c r="AK3" s="10"/>
      <c r="AL3" s="10"/>
      <c r="BZ3" s="12"/>
      <c r="CA3" s="12"/>
      <c r="CB3" s="12"/>
      <c r="CC3" s="12"/>
      <c r="CF3" s="15"/>
    </row>
    <row r="4" spans="1:85" ht="17.25" customHeight="1" x14ac:dyDescent="0.2">
      <c r="A4" s="3"/>
      <c r="B4" s="38"/>
      <c r="C4" s="36"/>
      <c r="D4" s="36"/>
      <c r="E4" s="36"/>
      <c r="F4" s="36"/>
      <c r="G4" s="166" t="s">
        <v>71</v>
      </c>
      <c r="H4" s="166"/>
      <c r="I4" s="166"/>
      <c r="J4" s="166"/>
      <c r="K4" s="166"/>
      <c r="L4" s="28" t="s">
        <v>73</v>
      </c>
      <c r="M4" s="5"/>
      <c r="N4" s="5"/>
      <c r="O4" s="5"/>
      <c r="P4" s="5"/>
      <c r="Q4" s="5"/>
      <c r="R4" s="5"/>
      <c r="S4" s="5"/>
      <c r="T4" s="5"/>
      <c r="U4" s="36"/>
      <c r="V4" s="39"/>
      <c r="W4" s="8"/>
      <c r="AD4" s="73"/>
      <c r="AE4" s="113"/>
      <c r="AF4" s="113" t="s">
        <v>162</v>
      </c>
      <c r="AG4" s="113"/>
      <c r="AH4" s="113"/>
      <c r="AI4" s="113"/>
      <c r="AJ4" s="113"/>
      <c r="AK4" s="113"/>
      <c r="AL4" s="10"/>
      <c r="BZ4" s="12"/>
      <c r="CA4" s="12"/>
      <c r="CB4" s="12"/>
      <c r="CC4" s="12"/>
      <c r="CF4" s="15"/>
    </row>
    <row r="5" spans="1:85" ht="21" customHeight="1" x14ac:dyDescent="0.2">
      <c r="A5" s="3"/>
      <c r="B5" s="38"/>
      <c r="C5" s="36"/>
      <c r="D5" s="36"/>
      <c r="E5" s="36"/>
      <c r="F5" s="36"/>
      <c r="G5" s="29" t="s">
        <v>102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36"/>
      <c r="V5" s="39"/>
      <c r="W5" s="8"/>
      <c r="X5" s="178" t="str">
        <f>'Geometria ECDRH'!R30</f>
        <v>SIDERPERU</v>
      </c>
      <c r="Y5" s="178"/>
      <c r="Z5" s="178"/>
      <c r="AA5" s="178"/>
      <c r="AB5" s="178"/>
      <c r="AC5" s="178"/>
      <c r="AD5" s="98"/>
      <c r="AF5" s="113" t="s">
        <v>163</v>
      </c>
      <c r="AK5" s="113"/>
      <c r="AL5" s="10"/>
      <c r="BZ5" s="12"/>
      <c r="CA5" s="12"/>
      <c r="CB5" s="12"/>
      <c r="CC5" s="12"/>
      <c r="CF5" s="15"/>
    </row>
    <row r="6" spans="1:85" ht="21" customHeight="1" x14ac:dyDescent="0.25">
      <c r="A6" s="3"/>
      <c r="B6" s="3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9"/>
      <c r="W6" s="8"/>
      <c r="X6" s="77" t="str">
        <f>IF('Geometria ECDRH'!R31&lt;&gt;0,'Geometria ECDRH'!R31,"--------------------")</f>
        <v>TRIO 450</v>
      </c>
      <c r="Z6" s="75"/>
      <c r="AA6" s="75"/>
      <c r="AB6" s="74"/>
      <c r="AC6" s="74"/>
      <c r="AD6" s="98"/>
      <c r="AK6" s="113"/>
      <c r="AL6" s="10"/>
      <c r="BZ6" s="12"/>
      <c r="CA6" s="12"/>
      <c r="CB6" s="12"/>
      <c r="CC6" s="12"/>
      <c r="CF6" s="15"/>
    </row>
    <row r="7" spans="1:85" ht="15.75" customHeight="1" x14ac:dyDescent="0.2">
      <c r="A7" s="3"/>
      <c r="B7" s="38"/>
      <c r="C7" s="158" t="s">
        <v>98</v>
      </c>
      <c r="D7" s="158"/>
      <c r="E7" s="158"/>
      <c r="F7" s="158"/>
      <c r="G7" s="164" t="s">
        <v>99</v>
      </c>
      <c r="H7" s="164"/>
      <c r="I7" s="164"/>
      <c r="J7" s="164"/>
      <c r="K7" s="164"/>
      <c r="L7" s="167" t="s">
        <v>101</v>
      </c>
      <c r="M7" s="167"/>
      <c r="N7" s="167"/>
      <c r="O7" s="167"/>
      <c r="P7" s="167"/>
      <c r="Q7" s="36"/>
      <c r="R7" s="36"/>
      <c r="S7" s="36"/>
      <c r="T7" s="36"/>
      <c r="U7" s="36"/>
      <c r="V7" s="39"/>
      <c r="X7" s="74" t="s">
        <v>128</v>
      </c>
      <c r="Y7" s="77" t="str">
        <f>IF('Geometria ECDRH'!R32&lt;&gt;0,'Geometria ECDRH'!R32,"--------------------")</f>
        <v>Eixos pinhões M39482</v>
      </c>
      <c r="Z7" s="74"/>
      <c r="AA7" s="74"/>
      <c r="AB7" s="74"/>
      <c r="AC7" s="74"/>
      <c r="AD7" s="98"/>
      <c r="AK7" s="113"/>
      <c r="AL7" s="10"/>
      <c r="BZ7" s="12"/>
      <c r="CA7" s="12"/>
      <c r="CB7" s="12"/>
      <c r="CC7" s="12"/>
      <c r="CF7" s="15"/>
    </row>
    <row r="8" spans="1:85" ht="14.25" customHeight="1" x14ac:dyDescent="0.2">
      <c r="A8" s="3"/>
      <c r="B8" s="38"/>
      <c r="C8" s="36"/>
      <c r="D8" s="36"/>
      <c r="E8" s="36"/>
      <c r="F8" s="36"/>
      <c r="G8" s="41"/>
      <c r="H8" s="41"/>
      <c r="I8" s="41"/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39"/>
      <c r="X8" s="74"/>
      <c r="Y8" s="77" t="str">
        <f>IF('Geometria ECDRH'!R33&lt;&gt;0,'Geometria ECDRH'!R33,"--------------------")</f>
        <v>--------------------</v>
      </c>
      <c r="Z8" s="74"/>
      <c r="AA8" s="74"/>
      <c r="AB8" s="161" t="s">
        <v>137</v>
      </c>
      <c r="AC8" s="161"/>
      <c r="AD8" s="73"/>
      <c r="AK8" s="113"/>
      <c r="AL8" s="10"/>
      <c r="BZ8" s="12"/>
      <c r="CA8" s="12"/>
      <c r="CB8" s="12"/>
      <c r="CC8" s="12"/>
      <c r="CF8" s="15"/>
    </row>
    <row r="9" spans="1:85" ht="17.25" customHeight="1" x14ac:dyDescent="0.2">
      <c r="A9" s="3"/>
      <c r="B9" s="38"/>
      <c r="C9" s="159" t="s">
        <v>1</v>
      </c>
      <c r="D9" s="159"/>
      <c r="E9" s="159"/>
      <c r="F9" s="42" t="s">
        <v>34</v>
      </c>
      <c r="G9" s="42" t="s">
        <v>35</v>
      </c>
      <c r="H9" s="43"/>
      <c r="I9" s="40"/>
      <c r="J9" s="159" t="s">
        <v>1</v>
      </c>
      <c r="K9" s="159"/>
      <c r="L9" s="159"/>
      <c r="M9" s="42" t="s">
        <v>34</v>
      </c>
      <c r="N9" s="42" t="s">
        <v>35</v>
      </c>
      <c r="O9" s="40"/>
      <c r="P9" s="40"/>
      <c r="Q9" s="159" t="s">
        <v>1</v>
      </c>
      <c r="R9" s="159"/>
      <c r="S9" s="42" t="s">
        <v>34</v>
      </c>
      <c r="T9" s="42" t="s">
        <v>35</v>
      </c>
      <c r="U9" s="44"/>
      <c r="V9" s="39"/>
      <c r="X9" s="74"/>
      <c r="Y9" s="77" t="str">
        <f>IF('Geometria ECDRH'!R34&lt;&gt;0,'Geometria ECDRH'!R34,"--------------------")</f>
        <v>--------------------</v>
      </c>
      <c r="Z9" s="74"/>
      <c r="AA9" s="74"/>
      <c r="AL9" s="10"/>
      <c r="AM9" s="128" t="s">
        <v>2</v>
      </c>
      <c r="AN9" s="128"/>
      <c r="AO9" s="128"/>
      <c r="AP9" s="128"/>
      <c r="AQ9" s="128"/>
      <c r="AR9" s="128"/>
      <c r="AS9" s="128"/>
      <c r="AT9" s="16" t="s">
        <v>4</v>
      </c>
      <c r="AU9" s="16" t="s">
        <v>5</v>
      </c>
      <c r="AV9" s="16" t="s">
        <v>6</v>
      </c>
      <c r="AW9" s="16" t="s">
        <v>7</v>
      </c>
      <c r="AX9" s="16" t="s">
        <v>8</v>
      </c>
      <c r="AY9" s="16" t="s">
        <v>9</v>
      </c>
      <c r="AZ9" s="16" t="s">
        <v>10</v>
      </c>
      <c r="BA9" s="16" t="s">
        <v>11</v>
      </c>
      <c r="BB9" s="16" t="s">
        <v>12</v>
      </c>
      <c r="BC9" s="16" t="s">
        <v>13</v>
      </c>
      <c r="BD9" s="16" t="s">
        <v>39</v>
      </c>
      <c r="BF9" s="129" t="s">
        <v>75</v>
      </c>
      <c r="BG9" s="129"/>
      <c r="BH9" s="129"/>
      <c r="BI9" s="129"/>
      <c r="BJ9" s="129"/>
      <c r="BR9" s="99" t="s">
        <v>105</v>
      </c>
      <c r="BS9" s="99" t="s">
        <v>106</v>
      </c>
      <c r="BT9" s="100" t="s">
        <v>107</v>
      </c>
      <c r="BU9" s="100" t="s">
        <v>113</v>
      </c>
      <c r="BX9" s="10" t="s">
        <v>126</v>
      </c>
      <c r="BY9" s="10" t="s">
        <v>144</v>
      </c>
      <c r="BZ9" s="12"/>
      <c r="CA9" s="12"/>
      <c r="CB9" s="12"/>
      <c r="CC9" s="12"/>
      <c r="CF9" s="15"/>
    </row>
    <row r="10" spans="1:85" ht="17.25" customHeight="1" x14ac:dyDescent="0.2">
      <c r="A10" s="3"/>
      <c r="B10" s="38"/>
      <c r="C10" s="126" t="s">
        <v>20</v>
      </c>
      <c r="D10" s="126"/>
      <c r="E10" s="126"/>
      <c r="F10" s="45">
        <v>30</v>
      </c>
      <c r="G10" s="45">
        <v>70</v>
      </c>
      <c r="H10" s="40"/>
      <c r="I10" s="40"/>
      <c r="J10" s="126" t="s">
        <v>32</v>
      </c>
      <c r="K10" s="126"/>
      <c r="L10" s="126"/>
      <c r="M10" s="46">
        <v>170</v>
      </c>
      <c r="N10" s="46">
        <v>170</v>
      </c>
      <c r="O10" s="47" t="s">
        <v>0</v>
      </c>
      <c r="P10" s="40"/>
      <c r="Q10" s="148" t="s">
        <v>52</v>
      </c>
      <c r="R10" s="48" t="s">
        <v>53</v>
      </c>
      <c r="S10" s="49">
        <f>dM(BI13,F12,F20,F23)</f>
        <v>3.7112021759257363</v>
      </c>
      <c r="T10" s="49">
        <f>dM(BJ13,F12,F20,G23)</f>
        <v>3.4274453378947234</v>
      </c>
      <c r="U10" s="50" t="s">
        <v>0</v>
      </c>
      <c r="V10" s="39"/>
      <c r="Z10" s="74"/>
      <c r="AA10" s="74"/>
      <c r="AB10" s="74"/>
      <c r="AC10" s="74"/>
      <c r="AL10" s="10"/>
      <c r="AM10" s="10"/>
      <c r="AN10" s="10"/>
      <c r="AO10" s="10"/>
      <c r="AP10" s="10"/>
      <c r="AQ10" s="10"/>
      <c r="AR10" s="10"/>
      <c r="AS10" s="10"/>
      <c r="AT10" s="16">
        <v>21</v>
      </c>
      <c r="AU10" s="16">
        <v>22</v>
      </c>
      <c r="AV10" s="16">
        <v>23</v>
      </c>
      <c r="AW10" s="16">
        <v>24</v>
      </c>
      <c r="AX10" s="16">
        <v>25</v>
      </c>
      <c r="AY10" s="16">
        <v>26</v>
      </c>
      <c r="AZ10" s="16">
        <v>27</v>
      </c>
      <c r="BA10" s="16">
        <v>28</v>
      </c>
      <c r="BB10" s="16">
        <v>29</v>
      </c>
      <c r="BC10" s="16">
        <v>30</v>
      </c>
      <c r="BD10" s="16" t="s">
        <v>39</v>
      </c>
      <c r="BF10" s="129"/>
      <c r="BG10" s="129"/>
      <c r="BH10" s="129"/>
      <c r="BI10" s="129"/>
      <c r="BJ10" s="129"/>
      <c r="BR10" s="99">
        <v>10.0000000001</v>
      </c>
      <c r="BS10" s="99">
        <v>18</v>
      </c>
      <c r="BT10" s="101">
        <v>9</v>
      </c>
      <c r="BU10" s="101">
        <f>-BT10</f>
        <v>-9</v>
      </c>
      <c r="BX10" s="10" t="s">
        <v>127</v>
      </c>
      <c r="BY10" s="102" t="s">
        <v>142</v>
      </c>
      <c r="BZ10" s="23" t="s">
        <v>143</v>
      </c>
      <c r="CA10" s="23" t="s">
        <v>138</v>
      </c>
      <c r="CB10" s="23" t="s">
        <v>139</v>
      </c>
      <c r="CC10" s="23" t="s">
        <v>140</v>
      </c>
      <c r="CD10" s="102" t="s">
        <v>13</v>
      </c>
      <c r="CE10" s="102" t="s">
        <v>141</v>
      </c>
      <c r="CF10" s="15"/>
      <c r="CG10" s="14" t="s">
        <v>154</v>
      </c>
    </row>
    <row r="11" spans="1:85" ht="17.25" customHeight="1" x14ac:dyDescent="0.2">
      <c r="A11" s="3"/>
      <c r="B11" s="38"/>
      <c r="C11" s="126" t="s">
        <v>21</v>
      </c>
      <c r="D11" s="126"/>
      <c r="E11" s="126"/>
      <c r="F11" s="118">
        <f>u(F10,G10)</f>
        <v>2.3333333333333335</v>
      </c>
      <c r="G11" s="118"/>
      <c r="H11" s="40"/>
      <c r="I11" s="40"/>
      <c r="J11" s="126" t="s">
        <v>33</v>
      </c>
      <c r="K11" s="126"/>
      <c r="L11" s="126"/>
      <c r="M11" s="51">
        <f>INT(bmin(M31,BL15,S17))</f>
        <v>11</v>
      </c>
      <c r="N11" s="51">
        <f>INT(bmin(N31,BL15,S17))</f>
        <v>19</v>
      </c>
      <c r="O11" s="52" t="str">
        <f>ver_b_min(M11,N11,M10,N10)</f>
        <v>Ok!</v>
      </c>
      <c r="P11" s="40"/>
      <c r="Q11" s="150"/>
      <c r="R11" s="48" t="s">
        <v>54</v>
      </c>
      <c r="S11" s="53">
        <f>diametro_adotado_da_esfera(S10)</f>
        <v>3.5</v>
      </c>
      <c r="T11" s="53">
        <f>diametro_adotado_da_esfera(T10)</f>
        <v>3.5</v>
      </c>
      <c r="U11" s="50" t="s">
        <v>0</v>
      </c>
      <c r="V11" s="39"/>
      <c r="X11" s="74"/>
      <c r="Y11" s="74"/>
      <c r="Z11" s="74"/>
      <c r="AA11" s="74"/>
      <c r="AB11" s="74"/>
      <c r="AC11" s="74"/>
      <c r="AL11" s="10"/>
      <c r="AM11" s="10"/>
      <c r="AN11" s="10"/>
      <c r="AO11" s="10"/>
      <c r="AP11" s="10"/>
      <c r="AQ11" s="10"/>
      <c r="AR11" s="132" t="s">
        <v>16</v>
      </c>
      <c r="AS11" s="103" t="s">
        <v>14</v>
      </c>
      <c r="AT11" s="16"/>
      <c r="AU11" s="16"/>
      <c r="AV11" s="16"/>
      <c r="AW11" s="16"/>
      <c r="BF11" s="117" t="s">
        <v>1</v>
      </c>
      <c r="BG11" s="117"/>
      <c r="BH11" s="117"/>
      <c r="BI11" s="9" t="s">
        <v>76</v>
      </c>
      <c r="BJ11" s="9" t="s">
        <v>77</v>
      </c>
      <c r="BK11" s="9" t="s">
        <v>78</v>
      </c>
      <c r="BR11" s="99">
        <v>18.000000000099998</v>
      </c>
      <c r="BS11" s="99">
        <v>30</v>
      </c>
      <c r="BT11" s="101" t="s">
        <v>108</v>
      </c>
      <c r="BU11" s="101" t="s">
        <v>114</v>
      </c>
      <c r="BY11" s="104">
        <v>1.6</v>
      </c>
      <c r="BZ11" s="24">
        <v>3</v>
      </c>
      <c r="CA11" s="24">
        <v>0.2</v>
      </c>
      <c r="CB11" s="24">
        <v>0.1</v>
      </c>
      <c r="CC11" s="24">
        <v>1</v>
      </c>
      <c r="CD11" s="104">
        <v>0.9</v>
      </c>
      <c r="CE11" s="104">
        <v>0.1</v>
      </c>
      <c r="CG11" s="14" t="s">
        <v>155</v>
      </c>
    </row>
    <row r="12" spans="1:85" ht="17.25" customHeight="1" x14ac:dyDescent="0.2">
      <c r="A12" s="3"/>
      <c r="B12" s="38"/>
      <c r="C12" s="126" t="s">
        <v>22</v>
      </c>
      <c r="D12" s="126"/>
      <c r="E12" s="126"/>
      <c r="F12" s="168">
        <v>2</v>
      </c>
      <c r="G12" s="168"/>
      <c r="H12" s="47" t="s">
        <v>0</v>
      </c>
      <c r="I12" s="40"/>
      <c r="J12" s="142" t="s">
        <v>122</v>
      </c>
      <c r="K12" s="148" t="s">
        <v>42</v>
      </c>
      <c r="L12" s="149"/>
      <c r="M12" s="54">
        <f>IF(F35&lt;&gt;"outro",VLOOKUP(F16,AS12:BC23,AN12,TRUE),"----")</f>
        <v>70</v>
      </c>
      <c r="N12" s="54">
        <f>IF(F35&lt;&gt;"outro",VLOOKUP(G16,AS12:BC23,AN12,TRUE),"----")</f>
        <v>95</v>
      </c>
      <c r="O12" s="50" t="s">
        <v>15</v>
      </c>
      <c r="P12" s="40"/>
      <c r="Q12" s="150"/>
      <c r="R12" s="48" t="s">
        <v>55</v>
      </c>
      <c r="S12" s="49">
        <f>MdK(F10,BI20,S11)</f>
        <v>68.739437394808689</v>
      </c>
      <c r="T12" s="49">
        <f>MdK(G10,BJ20,T11)</f>
        <v>150.97798178438714</v>
      </c>
      <c r="U12" s="50" t="s">
        <v>0</v>
      </c>
      <c r="V12" s="39"/>
      <c r="X12" s="173" t="s">
        <v>1</v>
      </c>
      <c r="Y12" s="173"/>
      <c r="Z12" s="173"/>
      <c r="AA12" s="78" t="s">
        <v>34</v>
      </c>
      <c r="AB12" s="78" t="s">
        <v>35</v>
      </c>
      <c r="AC12" s="79"/>
      <c r="AL12" s="10"/>
      <c r="AM12" s="9" t="s">
        <v>16</v>
      </c>
      <c r="AN12" s="9">
        <f>ASNE(G35)</f>
        <v>7</v>
      </c>
      <c r="AP12" s="10"/>
      <c r="AQ12" s="10"/>
      <c r="AR12" s="132"/>
      <c r="AS12" s="103" t="s">
        <v>3</v>
      </c>
      <c r="AT12" s="16" t="s">
        <v>4</v>
      </c>
      <c r="AU12" s="16" t="s">
        <v>5</v>
      </c>
      <c r="AV12" s="16" t="s">
        <v>6</v>
      </c>
      <c r="AW12" s="16" t="s">
        <v>7</v>
      </c>
      <c r="AX12" s="16" t="s">
        <v>8</v>
      </c>
      <c r="AY12" s="16" t="s">
        <v>9</v>
      </c>
      <c r="AZ12" s="16" t="s">
        <v>10</v>
      </c>
      <c r="BA12" s="16" t="s">
        <v>11</v>
      </c>
      <c r="BB12" s="16" t="s">
        <v>12</v>
      </c>
      <c r="BC12" s="16" t="s">
        <v>13</v>
      </c>
      <c r="BF12" s="117" t="s">
        <v>79</v>
      </c>
      <c r="BG12" s="117"/>
      <c r="BH12" s="117"/>
      <c r="BI12" s="105">
        <f>Zn(F10,BI15,F13)</f>
        <v>33.604781388010331</v>
      </c>
      <c r="BJ12" s="105">
        <f>Zn(G10,BI15,F13)</f>
        <v>78.411156572024112</v>
      </c>
      <c r="BK12" s="9"/>
      <c r="BR12" s="99">
        <v>30.000000000099998</v>
      </c>
      <c r="BS12" s="99">
        <v>50</v>
      </c>
      <c r="BT12" s="101" t="s">
        <v>109</v>
      </c>
      <c r="BU12" s="101" t="s">
        <v>115</v>
      </c>
      <c r="BY12" s="104">
        <v>3.0000000001</v>
      </c>
      <c r="BZ12" s="24">
        <v>18</v>
      </c>
      <c r="CA12" s="24">
        <v>0.4</v>
      </c>
      <c r="CB12" s="24">
        <v>0.2</v>
      </c>
      <c r="CC12" s="24">
        <v>2</v>
      </c>
      <c r="CD12" s="104">
        <v>1.4</v>
      </c>
      <c r="CE12" s="104">
        <v>0.1</v>
      </c>
      <c r="CG12" s="14" t="s">
        <v>156</v>
      </c>
    </row>
    <row r="13" spans="1:85" ht="17.25" customHeight="1" x14ac:dyDescent="0.2">
      <c r="A13" s="3"/>
      <c r="B13" s="38"/>
      <c r="C13" s="126" t="s">
        <v>23</v>
      </c>
      <c r="D13" s="126"/>
      <c r="E13" s="126"/>
      <c r="F13" s="165">
        <v>15</v>
      </c>
      <c r="G13" s="165"/>
      <c r="H13" s="47" t="s">
        <v>19</v>
      </c>
      <c r="I13" s="40"/>
      <c r="J13" s="144"/>
      <c r="K13" s="148" t="s">
        <v>43</v>
      </c>
      <c r="L13" s="149"/>
      <c r="M13" s="54">
        <f>IF(F35&lt;&gt;"outro",VLOOKUP(F16,AS25:BC36,AN13,TRUE),"----")</f>
        <v>40</v>
      </c>
      <c r="N13" s="54">
        <f>IF(F35&lt;&gt;"outro",VLOOKUP(G16,AS25:BC36,AN13,TRUE),"----")</f>
        <v>50</v>
      </c>
      <c r="O13" s="50" t="s">
        <v>15</v>
      </c>
      <c r="P13" s="40"/>
      <c r="Q13" s="150"/>
      <c r="R13" s="126" t="s">
        <v>56</v>
      </c>
      <c r="S13" s="49">
        <f>MdK(F10,BI21,S11)</f>
        <v>68.589413350598434</v>
      </c>
      <c r="T13" s="49">
        <f>MdK(G10,BJ21,T11)</f>
        <v>150.74259502742885</v>
      </c>
      <c r="U13" s="50" t="s">
        <v>0</v>
      </c>
      <c r="V13" s="39"/>
      <c r="X13" s="119" t="s">
        <v>20</v>
      </c>
      <c r="Y13" s="119"/>
      <c r="Z13" s="119"/>
      <c r="AA13" s="80">
        <f>'Geometria ECDRH'!F10</f>
        <v>30</v>
      </c>
      <c r="AB13" s="80">
        <f>'Geometria ECDRH'!G10</f>
        <v>70</v>
      </c>
      <c r="AC13" s="79"/>
      <c r="AL13" s="10"/>
      <c r="AM13" s="9" t="s">
        <v>17</v>
      </c>
      <c r="AN13" s="9">
        <f>TSN(F35)</f>
        <v>6</v>
      </c>
      <c r="AP13" s="10"/>
      <c r="AQ13" s="10"/>
      <c r="AR13" s="132"/>
      <c r="AS13" s="103">
        <v>0</v>
      </c>
      <c r="AT13" s="16">
        <v>100</v>
      </c>
      <c r="AU13" s="16">
        <v>85</v>
      </c>
      <c r="AV13" s="16">
        <v>70</v>
      </c>
      <c r="AW13" s="16">
        <v>58</v>
      </c>
      <c r="AX13" s="16">
        <v>48</v>
      </c>
      <c r="AY13" s="16">
        <v>40</v>
      </c>
      <c r="AZ13" s="16">
        <v>33</v>
      </c>
      <c r="BA13" s="16">
        <v>22</v>
      </c>
      <c r="BB13" s="16">
        <v>10</v>
      </c>
      <c r="BC13" s="16">
        <v>5</v>
      </c>
      <c r="BF13" s="117" t="s">
        <v>80</v>
      </c>
      <c r="BG13" s="117"/>
      <c r="BH13" s="117"/>
      <c r="BI13" s="106">
        <f>ZnM(F10,F13)</f>
        <v>33.636189223663756</v>
      </c>
      <c r="BJ13" s="106">
        <f>ZnM(G10,F13)</f>
        <v>78.484441521882104</v>
      </c>
      <c r="BK13" s="9"/>
      <c r="BR13" s="99">
        <v>50.000000000100002</v>
      </c>
      <c r="BS13" s="99">
        <v>80</v>
      </c>
      <c r="BT13" s="101">
        <v>15</v>
      </c>
      <c r="BU13" s="101">
        <f>-BT13</f>
        <v>-15</v>
      </c>
      <c r="BY13" s="104">
        <v>18.000000000010001</v>
      </c>
      <c r="BZ13" s="24">
        <v>80</v>
      </c>
      <c r="CA13" s="24">
        <v>0.8</v>
      </c>
      <c r="CB13" s="24">
        <v>0.3</v>
      </c>
      <c r="CC13" s="24">
        <v>2.5</v>
      </c>
      <c r="CD13" s="104">
        <v>2.2999999999999998</v>
      </c>
      <c r="CE13" s="104">
        <v>0.2</v>
      </c>
      <c r="CG13" s="14" t="s">
        <v>157</v>
      </c>
    </row>
    <row r="14" spans="1:85" ht="17.25" customHeight="1" x14ac:dyDescent="0.2">
      <c r="A14" s="3"/>
      <c r="B14" s="38"/>
      <c r="C14" s="126" t="s">
        <v>129</v>
      </c>
      <c r="D14" s="126"/>
      <c r="E14" s="126"/>
      <c r="F14" s="45" t="s">
        <v>162</v>
      </c>
      <c r="G14" s="55" t="str">
        <f>dirhelice(F14)</f>
        <v>esq/dir</v>
      </c>
      <c r="H14" s="40"/>
      <c r="I14" s="40"/>
      <c r="J14" s="146"/>
      <c r="K14" s="148" t="s">
        <v>44</v>
      </c>
      <c r="L14" s="149"/>
      <c r="M14" s="54">
        <f>IF(F35&lt;&gt;"outro",ASNI(F35,M12,M13),"----")</f>
        <v>110</v>
      </c>
      <c r="N14" s="54">
        <f>IF(F35&lt;&gt;"outro",ASNI(G35,N12,N13),"----")</f>
        <v>145</v>
      </c>
      <c r="O14" s="50" t="s">
        <v>15</v>
      </c>
      <c r="P14" s="40"/>
      <c r="Q14" s="150"/>
      <c r="R14" s="126"/>
      <c r="S14" s="49">
        <f>MdK(F10,BI22,S11)</f>
        <v>68.503072049925095</v>
      </c>
      <c r="T14" s="49">
        <f>MdK(G10,BJ22,T11)</f>
        <v>150.61785868311779</v>
      </c>
      <c r="U14" s="50" t="s">
        <v>0</v>
      </c>
      <c r="V14" s="39"/>
      <c r="X14" s="119" t="s">
        <v>21</v>
      </c>
      <c r="Y14" s="119"/>
      <c r="Z14" s="119"/>
      <c r="AA14" s="121">
        <f>'Geometria ECDRH'!F11</f>
        <v>2.3333333333333335</v>
      </c>
      <c r="AB14" s="121"/>
      <c r="AC14" s="79"/>
      <c r="AL14" s="10"/>
      <c r="AM14" s="10"/>
      <c r="AN14" s="10"/>
      <c r="AO14" s="10"/>
      <c r="AP14" s="10"/>
      <c r="AQ14" s="10"/>
      <c r="AR14" s="132"/>
      <c r="AS14" s="17">
        <v>10.000000000009999</v>
      </c>
      <c r="AT14" s="16">
        <v>135</v>
      </c>
      <c r="AU14" s="16">
        <v>110</v>
      </c>
      <c r="AV14" s="16">
        <v>95</v>
      </c>
      <c r="AW14" s="16">
        <v>75</v>
      </c>
      <c r="AX14" s="16">
        <v>65</v>
      </c>
      <c r="AY14" s="16">
        <v>54</v>
      </c>
      <c r="AZ14" s="16">
        <v>44</v>
      </c>
      <c r="BA14" s="16">
        <v>30</v>
      </c>
      <c r="BB14" s="16">
        <v>14</v>
      </c>
      <c r="BC14" s="16">
        <v>7</v>
      </c>
      <c r="BF14" s="117" t="s">
        <v>81</v>
      </c>
      <c r="BG14" s="117"/>
      <c r="BH14" s="117"/>
      <c r="BI14" s="131">
        <f>(INT(0.4*E4*1000))/1000</f>
        <v>0</v>
      </c>
      <c r="BJ14" s="131"/>
      <c r="BK14" s="9" t="s">
        <v>0</v>
      </c>
      <c r="BR14" s="99">
        <v>80.000000000100002</v>
      </c>
      <c r="BS14" s="99">
        <v>120</v>
      </c>
      <c r="BT14" s="101" t="s">
        <v>110</v>
      </c>
      <c r="BU14" s="101" t="s">
        <v>116</v>
      </c>
      <c r="BY14" s="104">
        <v>80.000000001000004</v>
      </c>
      <c r="BZ14" s="24"/>
      <c r="CA14" s="24">
        <v>1.2</v>
      </c>
      <c r="CB14" s="24">
        <v>0.4</v>
      </c>
      <c r="CC14" s="24">
        <v>4</v>
      </c>
      <c r="CD14" s="104">
        <v>3.4</v>
      </c>
      <c r="CE14" s="104">
        <v>0.3</v>
      </c>
    </row>
    <row r="15" spans="1:85" ht="17.25" customHeight="1" x14ac:dyDescent="0.2">
      <c r="A15" s="3"/>
      <c r="B15" s="38"/>
      <c r="C15" s="126" t="s">
        <v>24</v>
      </c>
      <c r="D15" s="126"/>
      <c r="E15" s="126"/>
      <c r="F15" s="160">
        <f>mt(F12,F13)</f>
        <v>2.0705523608201659</v>
      </c>
      <c r="G15" s="160"/>
      <c r="H15" s="47" t="s">
        <v>0</v>
      </c>
      <c r="I15" s="40"/>
      <c r="J15" s="142" t="s">
        <v>125</v>
      </c>
      <c r="K15" s="148" t="s">
        <v>42</v>
      </c>
      <c r="L15" s="149"/>
      <c r="M15" s="56">
        <v>62</v>
      </c>
      <c r="N15" s="54">
        <v>62</v>
      </c>
      <c r="O15" s="50" t="s">
        <v>15</v>
      </c>
      <c r="P15" s="40"/>
      <c r="Q15" s="150"/>
      <c r="R15" s="126" t="s">
        <v>96</v>
      </c>
      <c r="S15" s="49">
        <f>-S12+S14</f>
        <v>-0.23636534488359473</v>
      </c>
      <c r="T15" s="49">
        <f>-T12+T14</f>
        <v>-0.36012310126935176</v>
      </c>
      <c r="U15" s="50" t="s">
        <v>0</v>
      </c>
      <c r="V15" s="39"/>
      <c r="X15" s="119" t="s">
        <v>22</v>
      </c>
      <c r="Y15" s="119"/>
      <c r="Z15" s="119"/>
      <c r="AA15" s="179">
        <f>'Geometria ECDRH'!F12</f>
        <v>2</v>
      </c>
      <c r="AB15" s="179"/>
      <c r="AC15" s="79" t="s">
        <v>0</v>
      </c>
      <c r="AL15" s="10"/>
      <c r="AN15" s="10"/>
      <c r="AO15" s="10"/>
      <c r="AP15" s="10"/>
      <c r="AQ15" s="10"/>
      <c r="AR15" s="132"/>
      <c r="AS15" s="17">
        <v>50.000000000009997</v>
      </c>
      <c r="AT15" s="16">
        <v>180</v>
      </c>
      <c r="AU15" s="16">
        <v>150</v>
      </c>
      <c r="AV15" s="16">
        <v>125</v>
      </c>
      <c r="AW15" s="16">
        <v>105</v>
      </c>
      <c r="AX15" s="16">
        <v>85</v>
      </c>
      <c r="AY15" s="16">
        <v>70</v>
      </c>
      <c r="AZ15" s="16">
        <v>60</v>
      </c>
      <c r="BA15" s="16">
        <v>40</v>
      </c>
      <c r="BB15" s="16">
        <v>19</v>
      </c>
      <c r="BC15" s="16">
        <v>9</v>
      </c>
      <c r="BF15" s="117" t="s">
        <v>82</v>
      </c>
      <c r="BG15" s="117"/>
      <c r="BH15" s="117"/>
      <c r="BI15" s="133">
        <f>betab(F13,BI25)</f>
        <v>15.978561259758463</v>
      </c>
      <c r="BJ15" s="133"/>
      <c r="BK15" s="9" t="s">
        <v>19</v>
      </c>
      <c r="BL15" s="10">
        <f>BI15*PI()/180</f>
        <v>0.2788785037143981</v>
      </c>
      <c r="BR15" s="99">
        <v>120.0000000001</v>
      </c>
      <c r="BS15" s="99">
        <v>180</v>
      </c>
      <c r="BT15" s="101">
        <v>20</v>
      </c>
      <c r="BU15" s="101">
        <f>-BT15</f>
        <v>-20</v>
      </c>
      <c r="BZ15" s="12"/>
      <c r="CA15" s="12"/>
      <c r="CB15" s="12"/>
      <c r="CC15" s="12"/>
    </row>
    <row r="16" spans="1:85" ht="17.25" customHeight="1" x14ac:dyDescent="0.2">
      <c r="A16" s="3"/>
      <c r="B16" s="38"/>
      <c r="C16" s="126" t="s">
        <v>25</v>
      </c>
      <c r="D16" s="126"/>
      <c r="E16" s="126"/>
      <c r="F16" s="49">
        <f>d(F12,F10,F13)</f>
        <v>62.116570824604985</v>
      </c>
      <c r="G16" s="49">
        <f>d(F12,G10,F13)</f>
        <v>144.93866525741163</v>
      </c>
      <c r="H16" s="47" t="s">
        <v>0</v>
      </c>
      <c r="I16" s="40"/>
      <c r="J16" s="144"/>
      <c r="K16" s="148" t="s">
        <v>43</v>
      </c>
      <c r="L16" s="149"/>
      <c r="M16" s="54">
        <v>120</v>
      </c>
      <c r="N16" s="54">
        <v>120</v>
      </c>
      <c r="O16" s="50" t="s">
        <v>15</v>
      </c>
      <c r="P16" s="40"/>
      <c r="Q16" s="152"/>
      <c r="R16" s="126"/>
      <c r="S16" s="49">
        <f>-S12+S13</f>
        <v>-0.15002404421025517</v>
      </c>
      <c r="T16" s="49">
        <f>-T12+T13</f>
        <v>-0.2353867569582917</v>
      </c>
      <c r="U16" s="50" t="s">
        <v>0</v>
      </c>
      <c r="V16" s="39"/>
      <c r="X16" s="119" t="s">
        <v>23</v>
      </c>
      <c r="Y16" s="119"/>
      <c r="Z16" s="119"/>
      <c r="AA16" s="180">
        <f>'Geometria ECDRH'!F13</f>
        <v>15</v>
      </c>
      <c r="AB16" s="180"/>
      <c r="AC16" s="79" t="s">
        <v>19</v>
      </c>
      <c r="AL16" s="10"/>
      <c r="AM16" s="134" t="s">
        <v>94</v>
      </c>
      <c r="AN16" s="134"/>
      <c r="AO16" s="134"/>
      <c r="AP16" s="134"/>
      <c r="AQ16" s="134"/>
      <c r="AR16" s="132"/>
      <c r="AS16" s="17">
        <v>125.00000000001</v>
      </c>
      <c r="AT16" s="16">
        <v>250</v>
      </c>
      <c r="AU16" s="16">
        <v>200</v>
      </c>
      <c r="AV16" s="16">
        <v>170</v>
      </c>
      <c r="AW16" s="16">
        <v>140</v>
      </c>
      <c r="AX16" s="16">
        <v>115</v>
      </c>
      <c r="AY16" s="16">
        <v>95</v>
      </c>
      <c r="AZ16" s="16">
        <v>80</v>
      </c>
      <c r="BA16" s="16">
        <v>56</v>
      </c>
      <c r="BB16" s="16">
        <v>25</v>
      </c>
      <c r="BC16" s="16">
        <v>12</v>
      </c>
      <c r="BF16" s="117" t="s">
        <v>83</v>
      </c>
      <c r="BG16" s="117"/>
      <c r="BH16" s="117"/>
      <c r="BI16" s="105">
        <f>_xludf.db(F10,F12,BI25,F13)</f>
        <v>58.126900535938347</v>
      </c>
      <c r="BJ16" s="105">
        <f>_xludf.db(G10,F12,BI25,F13)</f>
        <v>135.62943458385612</v>
      </c>
      <c r="BK16" s="9" t="s">
        <v>0</v>
      </c>
      <c r="BR16" s="99">
        <v>180.00000000009999</v>
      </c>
      <c r="BS16" s="99">
        <v>250</v>
      </c>
      <c r="BT16" s="101">
        <v>23</v>
      </c>
      <c r="BU16" s="101">
        <f>-BT16</f>
        <v>-23</v>
      </c>
      <c r="BY16" s="10" t="s">
        <v>146</v>
      </c>
      <c r="BZ16" s="12"/>
      <c r="CA16" s="12"/>
      <c r="CB16" s="12"/>
      <c r="CC16" s="12"/>
    </row>
    <row r="17" spans="1:84" ht="17.25" customHeight="1" x14ac:dyDescent="0.2">
      <c r="A17" s="3"/>
      <c r="B17" s="38"/>
      <c r="C17" s="126" t="s">
        <v>26</v>
      </c>
      <c r="D17" s="126"/>
      <c r="E17" s="126"/>
      <c r="F17" s="118">
        <f>ad(F10,G10,F12,F13)</f>
        <v>103.5276180410083</v>
      </c>
      <c r="G17" s="118"/>
      <c r="H17" s="47" t="s">
        <v>0</v>
      </c>
      <c r="I17" s="40"/>
      <c r="J17" s="146"/>
      <c r="K17" s="135" t="s">
        <v>44</v>
      </c>
      <c r="L17" s="137"/>
      <c r="M17" s="54">
        <f>M15+M16</f>
        <v>182</v>
      </c>
      <c r="N17" s="54">
        <f>N15+N16</f>
        <v>182</v>
      </c>
      <c r="O17" s="50" t="s">
        <v>15</v>
      </c>
      <c r="P17" s="40"/>
      <c r="Q17" s="135" t="s">
        <v>38</v>
      </c>
      <c r="R17" s="137"/>
      <c r="S17" s="170">
        <f>ROUND(0.2+0.045*F12,1)</f>
        <v>0.3</v>
      </c>
      <c r="T17" s="171"/>
      <c r="U17" s="50" t="s">
        <v>0</v>
      </c>
      <c r="V17" s="39"/>
      <c r="X17" s="119" t="s">
        <v>24</v>
      </c>
      <c r="Y17" s="119"/>
      <c r="Z17" s="119"/>
      <c r="AA17" s="123">
        <f>'Geometria ECDRH'!F15</f>
        <v>2.0705523608201659</v>
      </c>
      <c r="AB17" s="123"/>
      <c r="AC17" s="79" t="s">
        <v>0</v>
      </c>
      <c r="AL17" s="10"/>
      <c r="AM17" s="134"/>
      <c r="AN17" s="134"/>
      <c r="AO17" s="134"/>
      <c r="AP17" s="134"/>
      <c r="AQ17" s="134"/>
      <c r="AR17" s="132"/>
      <c r="AS17" s="17">
        <v>280.00000000001</v>
      </c>
      <c r="AT17" s="16">
        <v>330</v>
      </c>
      <c r="AU17" s="16">
        <v>280</v>
      </c>
      <c r="AV17" s="16">
        <v>230</v>
      </c>
      <c r="AW17" s="16">
        <v>190</v>
      </c>
      <c r="AX17" s="16">
        <v>155</v>
      </c>
      <c r="AY17" s="16">
        <v>130</v>
      </c>
      <c r="AZ17" s="16">
        <v>110</v>
      </c>
      <c r="BA17" s="16">
        <v>75</v>
      </c>
      <c r="BB17" s="16">
        <v>35</v>
      </c>
      <c r="BC17" s="16">
        <v>17</v>
      </c>
      <c r="BF17" s="117" t="s">
        <v>84</v>
      </c>
      <c r="BG17" s="117"/>
      <c r="BH17" s="117"/>
      <c r="BI17" s="131">
        <f>pt(F12,F13)</f>
        <v>6.5048320856256359</v>
      </c>
      <c r="BJ17" s="131"/>
      <c r="BK17" s="9" t="s">
        <v>0</v>
      </c>
      <c r="BR17" s="99">
        <v>250.00000000009999</v>
      </c>
      <c r="BS17" s="99">
        <v>315</v>
      </c>
      <c r="BT17" s="101">
        <v>26</v>
      </c>
      <c r="BU17" s="101">
        <f>-BT17</f>
        <v>-26</v>
      </c>
      <c r="BY17" s="102" t="s">
        <v>142</v>
      </c>
      <c r="BZ17" s="23" t="s">
        <v>143</v>
      </c>
      <c r="CA17" s="23" t="s">
        <v>138</v>
      </c>
      <c r="CB17" s="23" t="s">
        <v>139</v>
      </c>
      <c r="CC17" s="23" t="s">
        <v>140</v>
      </c>
      <c r="CD17" s="102" t="s">
        <v>13</v>
      </c>
      <c r="CE17" s="102" t="s">
        <v>141</v>
      </c>
    </row>
    <row r="18" spans="1:84" ht="17.25" customHeight="1" x14ac:dyDescent="0.2">
      <c r="A18" s="3"/>
      <c r="B18" s="38"/>
      <c r="C18" s="126" t="s">
        <v>119</v>
      </c>
      <c r="D18" s="126"/>
      <c r="E18" s="126"/>
      <c r="F18" s="169">
        <v>105</v>
      </c>
      <c r="G18" s="169"/>
      <c r="H18" s="47" t="s">
        <v>0</v>
      </c>
      <c r="I18" s="40"/>
      <c r="J18" s="142" t="s">
        <v>149</v>
      </c>
      <c r="K18" s="143"/>
      <c r="L18" s="48" t="s">
        <v>62</v>
      </c>
      <c r="M18" s="49">
        <f>sn(F12,F23,F20)</f>
        <v>3.8695331221221978</v>
      </c>
      <c r="N18" s="49">
        <f>sn(F12,G23,F20)</f>
        <v>3.5367655508750735</v>
      </c>
      <c r="O18" s="50" t="s">
        <v>0</v>
      </c>
      <c r="P18" s="40"/>
      <c r="Q18" s="140" t="s">
        <v>72</v>
      </c>
      <c r="R18" s="48" t="s">
        <v>57</v>
      </c>
      <c r="S18" s="118">
        <f>epslonalfa(G10,BI26,da(F16,F27,F23,F26,F12),da(G16,F27,G23,F26,F12),BI16,BJ16,S17,S17,BI18)</f>
        <v>1.2188852587382577</v>
      </c>
      <c r="T18" s="118"/>
      <c r="U18" s="40"/>
      <c r="V18" s="39"/>
      <c r="X18" s="119" t="s">
        <v>25</v>
      </c>
      <c r="Y18" s="119"/>
      <c r="Z18" s="119"/>
      <c r="AA18" s="81">
        <f>'Geometria ECDRH'!F16</f>
        <v>62.116570824604985</v>
      </c>
      <c r="AB18" s="81">
        <f>'Geometria ECDRH'!G16</f>
        <v>144.93866525741163</v>
      </c>
      <c r="AC18" s="79" t="s">
        <v>0</v>
      </c>
      <c r="AM18" s="134"/>
      <c r="AN18" s="134"/>
      <c r="AO18" s="134"/>
      <c r="AP18" s="134"/>
      <c r="AQ18" s="134"/>
      <c r="AR18" s="132"/>
      <c r="AS18" s="17">
        <v>560.00000000001</v>
      </c>
      <c r="AT18" s="16">
        <v>450</v>
      </c>
      <c r="AU18" s="16">
        <v>370</v>
      </c>
      <c r="AV18" s="16">
        <v>310</v>
      </c>
      <c r="AW18" s="16">
        <v>260</v>
      </c>
      <c r="AX18" s="16">
        <v>210</v>
      </c>
      <c r="AY18" s="16">
        <v>175</v>
      </c>
      <c r="AZ18" s="16">
        <v>145</v>
      </c>
      <c r="BA18" s="16">
        <v>100</v>
      </c>
      <c r="BB18" s="16">
        <v>48</v>
      </c>
      <c r="BC18" s="16">
        <v>22</v>
      </c>
      <c r="BF18" s="117" t="s">
        <v>85</v>
      </c>
      <c r="BG18" s="117"/>
      <c r="BH18" s="117"/>
      <c r="BI18" s="131">
        <f>pbt(BI17,BI25)</f>
        <v>6.0870347899882837</v>
      </c>
      <c r="BJ18" s="131"/>
      <c r="BK18" s="9" t="s">
        <v>0</v>
      </c>
      <c r="BR18" s="99">
        <v>315.00000000009999</v>
      </c>
      <c r="BS18" s="99">
        <v>400</v>
      </c>
      <c r="BT18" s="101" t="s">
        <v>111</v>
      </c>
      <c r="BU18" s="101" t="s">
        <v>117</v>
      </c>
      <c r="BY18" s="104">
        <v>18</v>
      </c>
      <c r="BZ18" s="24">
        <v>50</v>
      </c>
      <c r="CA18" s="24">
        <v>1.2</v>
      </c>
      <c r="CB18" s="24">
        <v>0.2</v>
      </c>
      <c r="CC18" s="24">
        <v>2.5</v>
      </c>
      <c r="CD18" s="104">
        <v>2</v>
      </c>
      <c r="CE18" s="104">
        <v>0.1</v>
      </c>
    </row>
    <row r="19" spans="1:84" ht="17.25" customHeight="1" x14ac:dyDescent="0.2">
      <c r="A19" s="3"/>
      <c r="B19" s="38"/>
      <c r="C19" s="126" t="s">
        <v>27</v>
      </c>
      <c r="D19" s="126"/>
      <c r="E19" s="126"/>
      <c r="F19" s="49">
        <f>dwum(F18,F11)</f>
        <v>63</v>
      </c>
      <c r="G19" s="49">
        <f>dwdois(F18,F11)</f>
        <v>147</v>
      </c>
      <c r="H19" s="47" t="s">
        <v>0</v>
      </c>
      <c r="I19" s="40"/>
      <c r="J19" s="144"/>
      <c r="K19" s="145"/>
      <c r="L19" s="48" t="s">
        <v>63</v>
      </c>
      <c r="M19" s="49">
        <f>espmax(F35,M18,M12,M15)</f>
        <v>3.799533122122198</v>
      </c>
      <c r="N19" s="49">
        <f>espmax(F35,N18,N12,N15)</f>
        <v>3.4417655508750733</v>
      </c>
      <c r="O19" s="50" t="s">
        <v>0</v>
      </c>
      <c r="P19" s="40"/>
      <c r="Q19" s="140"/>
      <c r="R19" s="48" t="s">
        <v>59</v>
      </c>
      <c r="S19" s="118">
        <f>epslonbeta(N10,BI15,BI18)</f>
        <v>7.9969779073357055</v>
      </c>
      <c r="T19" s="118"/>
      <c r="U19" s="40"/>
      <c r="V19" s="39"/>
      <c r="X19" s="119" t="s">
        <v>26</v>
      </c>
      <c r="Y19" s="119"/>
      <c r="Z19" s="119"/>
      <c r="AA19" s="121">
        <f>'Geometria ECDRH'!F17</f>
        <v>103.5276180410083</v>
      </c>
      <c r="AB19" s="121"/>
      <c r="AC19" s="79" t="s">
        <v>0</v>
      </c>
      <c r="AM19" s="134"/>
      <c r="AN19" s="134"/>
      <c r="AO19" s="134"/>
      <c r="AP19" s="134"/>
      <c r="AQ19" s="134"/>
      <c r="AR19" s="132"/>
      <c r="AS19" s="17">
        <v>1000.00000000001</v>
      </c>
      <c r="AT19" s="16">
        <v>600</v>
      </c>
      <c r="AU19" s="16">
        <v>500</v>
      </c>
      <c r="AV19" s="16">
        <v>420</v>
      </c>
      <c r="AW19" s="16">
        <v>340</v>
      </c>
      <c r="AX19" s="16">
        <v>290</v>
      </c>
      <c r="AY19" s="16">
        <v>240</v>
      </c>
      <c r="AZ19" s="16">
        <v>200</v>
      </c>
      <c r="BA19" s="16">
        <v>135</v>
      </c>
      <c r="BB19" s="16">
        <v>64</v>
      </c>
      <c r="BC19" s="16">
        <v>30</v>
      </c>
      <c r="BF19" s="117" t="s">
        <v>86</v>
      </c>
      <c r="BG19" s="117"/>
      <c r="BH19" s="117"/>
      <c r="BI19" s="105">
        <f>alfavt(F10,BI25,F23,F13)</f>
        <v>24.962858417734655</v>
      </c>
      <c r="BJ19" s="105">
        <f>alfavt(G10,BI25,G23,F13)</f>
        <v>21.749383089500505</v>
      </c>
      <c r="BK19" s="9" t="s">
        <v>19</v>
      </c>
      <c r="BR19" s="99">
        <v>400.00000000009999</v>
      </c>
      <c r="BS19" s="99">
        <v>500</v>
      </c>
      <c r="BT19" s="101" t="s">
        <v>112</v>
      </c>
      <c r="BU19" s="101">
        <v>-31.5</v>
      </c>
      <c r="BY19" s="104">
        <v>50</v>
      </c>
      <c r="BZ19" s="24">
        <v>80</v>
      </c>
      <c r="CA19" s="24">
        <v>1.6</v>
      </c>
      <c r="CB19" s="24">
        <v>0.3</v>
      </c>
      <c r="CC19" s="24">
        <v>4</v>
      </c>
      <c r="CD19" s="104">
        <v>3.1</v>
      </c>
      <c r="CE19" s="104">
        <v>0.2</v>
      </c>
    </row>
    <row r="20" spans="1:84" ht="17.25" customHeight="1" x14ac:dyDescent="0.2">
      <c r="A20" s="3"/>
      <c r="B20" s="38"/>
      <c r="C20" s="126" t="s">
        <v>65</v>
      </c>
      <c r="D20" s="126"/>
      <c r="E20" s="126"/>
      <c r="F20" s="127">
        <v>20</v>
      </c>
      <c r="G20" s="127"/>
      <c r="H20" s="47" t="s">
        <v>19</v>
      </c>
      <c r="I20" s="40"/>
      <c r="J20" s="146"/>
      <c r="K20" s="147"/>
      <c r="L20" s="48" t="s">
        <v>64</v>
      </c>
      <c r="M20" s="49">
        <f>espmin(F35,M18,M14,M17)</f>
        <v>3.7595331221221979</v>
      </c>
      <c r="N20" s="49">
        <f>espmin(F35,N18,N14,N17)</f>
        <v>3.3917655508750735</v>
      </c>
      <c r="O20" s="50" t="s">
        <v>0</v>
      </c>
      <c r="P20" s="40"/>
      <c r="Q20" s="140"/>
      <c r="R20" s="48" t="s">
        <v>58</v>
      </c>
      <c r="S20" s="118">
        <f>+S18+S19</f>
        <v>9.2158631660739623</v>
      </c>
      <c r="T20" s="118"/>
      <c r="U20" s="52" t="str">
        <f>ver_grau_rec_hel(S20)</f>
        <v>Ok!</v>
      </c>
      <c r="V20" s="39"/>
      <c r="X20" s="119" t="s">
        <v>119</v>
      </c>
      <c r="Y20" s="119"/>
      <c r="Z20" s="119"/>
      <c r="AA20" s="124">
        <f>'Geometria ECDRH'!F18</f>
        <v>105</v>
      </c>
      <c r="AB20" s="124"/>
      <c r="AC20" s="79" t="s">
        <v>0</v>
      </c>
      <c r="AM20" s="134"/>
      <c r="AN20" s="134"/>
      <c r="AO20" s="134"/>
      <c r="AP20" s="134"/>
      <c r="AQ20" s="134"/>
      <c r="AR20" s="132"/>
      <c r="AS20" s="17">
        <v>1600.00000000001</v>
      </c>
      <c r="AT20" s="16">
        <v>820</v>
      </c>
      <c r="AU20" s="16">
        <v>680</v>
      </c>
      <c r="AV20" s="16">
        <v>560</v>
      </c>
      <c r="AW20" s="16">
        <v>460</v>
      </c>
      <c r="AX20" s="16">
        <v>390</v>
      </c>
      <c r="AY20" s="16">
        <v>320</v>
      </c>
      <c r="AZ20" s="16">
        <v>270</v>
      </c>
      <c r="BA20" s="16">
        <v>180</v>
      </c>
      <c r="BB20" s="16">
        <v>85</v>
      </c>
      <c r="BC20" s="16">
        <v>41</v>
      </c>
      <c r="BF20" s="117" t="s">
        <v>87</v>
      </c>
      <c r="BG20" s="117"/>
      <c r="BH20" s="117"/>
      <c r="BI20" s="105">
        <f>dk(F23,F20,F10,BI25,S11,F12,BI16)</f>
        <v>65.239437394808689</v>
      </c>
      <c r="BJ20" s="105">
        <f>dk(G23,F20,G10,BI25,T11,F12,BJ16)</f>
        <v>147.47798178438714</v>
      </c>
      <c r="BK20" s="9" t="s">
        <v>0</v>
      </c>
      <c r="BR20" s="99">
        <v>500.00000000009999</v>
      </c>
      <c r="BS20" s="99">
        <v>630</v>
      </c>
      <c r="BT20" s="101">
        <v>35</v>
      </c>
      <c r="BU20" s="101">
        <f>-BT20</f>
        <v>-35</v>
      </c>
      <c r="BY20" s="104">
        <v>80</v>
      </c>
      <c r="BZ20" s="24">
        <v>125</v>
      </c>
      <c r="CA20" s="24">
        <v>2.5</v>
      </c>
      <c r="CB20" s="24">
        <v>0.4</v>
      </c>
      <c r="CC20" s="24">
        <v>5</v>
      </c>
      <c r="CD20" s="104">
        <v>4.8</v>
      </c>
      <c r="CE20" s="104">
        <v>0.3</v>
      </c>
    </row>
    <row r="21" spans="1:84" ht="17.25" customHeight="1" x14ac:dyDescent="0.2">
      <c r="A21" s="3"/>
      <c r="B21" s="38"/>
      <c r="C21" s="126" t="s">
        <v>28</v>
      </c>
      <c r="D21" s="126"/>
      <c r="E21" s="126"/>
      <c r="F21" s="160">
        <f>somax(F10,G10,BI26,BI25,F20)</f>
        <v>0.77143215301794221</v>
      </c>
      <c r="G21" s="160"/>
      <c r="H21" s="40"/>
      <c r="I21" s="40"/>
      <c r="J21" s="142" t="s">
        <v>150</v>
      </c>
      <c r="K21" s="143"/>
      <c r="L21" s="48" t="s">
        <v>62</v>
      </c>
      <c r="M21" s="57">
        <f>snreto(F12,F20,F23,F10,F13)</f>
        <v>3.8673548543443275</v>
      </c>
      <c r="N21" s="57">
        <f>snreto(F12,F20,G23,G10,F13)</f>
        <v>3.5364600145108023</v>
      </c>
      <c r="O21" s="50" t="s">
        <v>0</v>
      </c>
      <c r="P21" s="40"/>
      <c r="Q21" s="126" t="s">
        <v>153</v>
      </c>
      <c r="R21" s="126"/>
      <c r="S21" s="118" t="s">
        <v>159</v>
      </c>
      <c r="T21" s="118"/>
      <c r="U21" s="40"/>
      <c r="V21" s="39"/>
      <c r="X21" s="119" t="s">
        <v>27</v>
      </c>
      <c r="Y21" s="119"/>
      <c r="Z21" s="119"/>
      <c r="AA21" s="81">
        <f>'Geometria ECDRH'!F19</f>
        <v>63</v>
      </c>
      <c r="AB21" s="81">
        <f>'Geometria ECDRH'!G19</f>
        <v>147</v>
      </c>
      <c r="AC21" s="79" t="s">
        <v>0</v>
      </c>
      <c r="AM21" s="134"/>
      <c r="AN21" s="134"/>
      <c r="AO21" s="134"/>
      <c r="AP21" s="134"/>
      <c r="AQ21" s="134"/>
      <c r="AR21" s="132"/>
      <c r="AS21" s="17">
        <v>2500.00000000001</v>
      </c>
      <c r="AT21" s="16">
        <v>1100</v>
      </c>
      <c r="AU21" s="16">
        <v>920</v>
      </c>
      <c r="AV21" s="16">
        <v>760</v>
      </c>
      <c r="AW21" s="16">
        <v>620</v>
      </c>
      <c r="AX21" s="16">
        <v>520</v>
      </c>
      <c r="AY21" s="16">
        <v>430</v>
      </c>
      <c r="AZ21" s="16">
        <v>360</v>
      </c>
      <c r="BA21" s="16">
        <v>250</v>
      </c>
      <c r="BB21" s="16">
        <v>115</v>
      </c>
      <c r="BC21" s="16">
        <v>56</v>
      </c>
      <c r="BF21" s="117" t="s">
        <v>88</v>
      </c>
      <c r="BG21" s="117"/>
      <c r="BH21" s="117"/>
      <c r="BI21" s="105">
        <f>dk(M25,F20,F10,BI25,S11,F12,BI16)</f>
        <v>65.089413350598434</v>
      </c>
      <c r="BJ21" s="105">
        <f>dk(N25,F20,G10,BI25,T11,F12,BJ16)</f>
        <v>147.24259502742885</v>
      </c>
      <c r="BK21" s="9" t="s">
        <v>0</v>
      </c>
      <c r="BR21" s="99">
        <v>630.00000000010004</v>
      </c>
      <c r="BS21" s="99">
        <v>800</v>
      </c>
      <c r="BT21" s="101">
        <v>40</v>
      </c>
      <c r="BU21" s="101">
        <f>-BT21</f>
        <v>-40</v>
      </c>
      <c r="BY21" s="104">
        <v>125</v>
      </c>
      <c r="BZ21" s="24"/>
      <c r="CA21" s="24">
        <v>4</v>
      </c>
      <c r="CB21" s="24">
        <v>0.5</v>
      </c>
      <c r="CC21" s="24">
        <v>7</v>
      </c>
      <c r="CD21" s="104">
        <v>6.4</v>
      </c>
      <c r="CE21" s="104">
        <v>0.3</v>
      </c>
    </row>
    <row r="22" spans="1:84" ht="17.25" customHeight="1" x14ac:dyDescent="0.2">
      <c r="A22" s="3"/>
      <c r="B22" s="38"/>
      <c r="C22" s="126" t="s">
        <v>120</v>
      </c>
      <c r="D22" s="126"/>
      <c r="E22" s="126"/>
      <c r="F22" s="59">
        <v>0.21629999999999999</v>
      </c>
      <c r="G22" s="59">
        <f>F21-F22</f>
        <v>0.55513215301794228</v>
      </c>
      <c r="H22" s="40"/>
      <c r="I22" s="40"/>
      <c r="J22" s="144"/>
      <c r="K22" s="145"/>
      <c r="L22" s="48" t="s">
        <v>63</v>
      </c>
      <c r="M22" s="49">
        <f>snreto(F12,F20,M25,F10,F13)</f>
        <v>3.7974709310790016</v>
      </c>
      <c r="N22" s="49">
        <f>snreto(F12,F20,N25,G10,F13)</f>
        <v>3.4414839794766476</v>
      </c>
      <c r="O22" s="50" t="s">
        <v>0</v>
      </c>
      <c r="P22" s="40"/>
      <c r="Q22" s="126"/>
      <c r="R22" s="126"/>
      <c r="S22" s="58">
        <v>3.5999999999999997E-2</v>
      </c>
      <c r="T22" s="58">
        <v>0</v>
      </c>
      <c r="U22" s="50" t="s">
        <v>0</v>
      </c>
      <c r="V22" s="39"/>
      <c r="X22" s="119" t="s">
        <v>65</v>
      </c>
      <c r="Y22" s="119"/>
      <c r="Z22" s="119"/>
      <c r="AA22" s="180">
        <f>'Geometria ECDRH'!F20</f>
        <v>20</v>
      </c>
      <c r="AB22" s="180"/>
      <c r="AC22" s="79" t="s">
        <v>19</v>
      </c>
      <c r="AM22" s="134"/>
      <c r="AN22" s="134"/>
      <c r="AO22" s="134"/>
      <c r="AP22" s="134"/>
      <c r="AQ22" s="134"/>
      <c r="AR22" s="132"/>
      <c r="AS22" s="17">
        <v>4000.00000000001</v>
      </c>
      <c r="AT22" s="16">
        <v>1500</v>
      </c>
      <c r="AU22" s="16">
        <v>1250</v>
      </c>
      <c r="AV22" s="16">
        <v>1020</v>
      </c>
      <c r="AW22" s="16">
        <v>840</v>
      </c>
      <c r="AX22" s="16">
        <v>700</v>
      </c>
      <c r="AY22" s="16">
        <v>580</v>
      </c>
      <c r="AZ22" s="16">
        <v>480</v>
      </c>
      <c r="BA22" s="16">
        <v>330</v>
      </c>
      <c r="BB22" s="16">
        <v>155</v>
      </c>
      <c r="BC22" s="16">
        <v>75</v>
      </c>
      <c r="BF22" s="117" t="s">
        <v>89</v>
      </c>
      <c r="BG22" s="117"/>
      <c r="BH22" s="117"/>
      <c r="BI22" s="105">
        <f>dk(M26,F20,F10,BI25,S11,F12,BI16)</f>
        <v>65.003072049925095</v>
      </c>
      <c r="BJ22" s="105">
        <f>dk(N26,F20,G10,BI25,T11,F12,BJ16)</f>
        <v>147.11785868311779</v>
      </c>
      <c r="BK22" s="9" t="s">
        <v>0</v>
      </c>
      <c r="BR22" s="99">
        <v>800.00000000010004</v>
      </c>
      <c r="BS22" s="99">
        <v>1000</v>
      </c>
      <c r="BT22" s="101">
        <v>45</v>
      </c>
      <c r="BU22" s="101">
        <f>-BT22</f>
        <v>-45</v>
      </c>
      <c r="BV22" s="18"/>
      <c r="BW22" s="18"/>
      <c r="BX22" s="18"/>
      <c r="BY22" s="18"/>
      <c r="BZ22" s="25"/>
      <c r="CA22" s="25"/>
      <c r="CB22" s="25"/>
      <c r="CC22" s="25"/>
      <c r="CD22" s="18"/>
      <c r="CE22" s="18"/>
      <c r="CF22" s="19"/>
    </row>
    <row r="23" spans="1:84" ht="17.25" customHeight="1" x14ac:dyDescent="0.2">
      <c r="A23" s="3"/>
      <c r="B23" s="38"/>
      <c r="C23" s="126" t="s">
        <v>29</v>
      </c>
      <c r="D23" s="126"/>
      <c r="E23" s="126"/>
      <c r="F23" s="60">
        <v>0.5</v>
      </c>
      <c r="G23" s="61">
        <f>F21-F23</f>
        <v>0.27143215301794221</v>
      </c>
      <c r="H23" s="40"/>
      <c r="I23" s="40"/>
      <c r="J23" s="146"/>
      <c r="K23" s="147"/>
      <c r="L23" s="48" t="s">
        <v>64</v>
      </c>
      <c r="M23" s="49">
        <f>snreto(F12,F20,M26,F10,F13)</f>
        <v>3.7575353708342183</v>
      </c>
      <c r="N23" s="49">
        <f>snreto(F12,F20,N26,G10,F13)</f>
        <v>3.3914960733998303</v>
      </c>
      <c r="O23" s="50" t="s">
        <v>0</v>
      </c>
      <c r="P23" s="40"/>
      <c r="Q23" s="140" t="s">
        <v>68</v>
      </c>
      <c r="R23" s="48" t="s">
        <v>66</v>
      </c>
      <c r="S23" s="49">
        <f>back1(F35,M12,N12,M15,N15,F13)</f>
        <v>0.17082056976766369</v>
      </c>
      <c r="T23" s="49">
        <f>back2(F35,M14,N14,M17,N17,F13)</f>
        <v>0.26399542600457115</v>
      </c>
      <c r="U23" s="50" t="s">
        <v>0</v>
      </c>
      <c r="V23" s="39"/>
      <c r="X23" s="119" t="s">
        <v>28</v>
      </c>
      <c r="Y23" s="119"/>
      <c r="Z23" s="119"/>
      <c r="AA23" s="123">
        <f>'Geometria ECDRH'!F21</f>
        <v>0.77143215301794221</v>
      </c>
      <c r="AB23" s="123"/>
      <c r="AC23" s="79"/>
      <c r="AM23" s="134"/>
      <c r="AN23" s="134"/>
      <c r="AO23" s="134"/>
      <c r="AP23" s="134"/>
      <c r="AQ23" s="134"/>
      <c r="AR23" s="132"/>
      <c r="AS23" s="17">
        <v>6300.00000000001</v>
      </c>
      <c r="AT23" s="16">
        <v>2000</v>
      </c>
      <c r="AU23" s="16">
        <v>1650</v>
      </c>
      <c r="AV23" s="16">
        <v>1350</v>
      </c>
      <c r="AW23" s="16">
        <v>1150</v>
      </c>
      <c r="AX23" s="16">
        <v>940</v>
      </c>
      <c r="AY23" s="16">
        <v>780</v>
      </c>
      <c r="AZ23" s="16">
        <v>640</v>
      </c>
      <c r="BA23" s="16">
        <v>450</v>
      </c>
      <c r="BB23" s="16">
        <v>210</v>
      </c>
      <c r="BC23" s="16">
        <v>100</v>
      </c>
      <c r="BF23" s="117" t="s">
        <v>90</v>
      </c>
      <c r="BG23" s="117"/>
      <c r="BH23" s="117"/>
      <c r="BI23" s="105">
        <f>betaa(F13,da(F16,F27,F23,F26,F12),F16)</f>
        <v>16.310264996502308</v>
      </c>
      <c r="BJ23" s="105">
        <f>betaa(F13,da(G16,F27,G23,F26,F12),G16)</f>
        <v>15.473685600074125</v>
      </c>
      <c r="BK23" s="9" t="s">
        <v>19</v>
      </c>
      <c r="BR23" s="99">
        <v>1000.0000000001</v>
      </c>
      <c r="BS23" s="99">
        <v>1250</v>
      </c>
      <c r="BT23" s="101">
        <v>52</v>
      </c>
      <c r="BU23" s="101">
        <f>-BT23</f>
        <v>-52</v>
      </c>
      <c r="BV23" s="18"/>
      <c r="BW23" s="18"/>
      <c r="BX23" s="18"/>
      <c r="BY23" s="18" t="s">
        <v>147</v>
      </c>
      <c r="BZ23" s="25"/>
      <c r="CA23" s="25"/>
      <c r="CB23" s="25"/>
      <c r="CC23" s="25"/>
      <c r="CD23" s="18"/>
      <c r="CE23" s="18"/>
      <c r="CF23" s="19"/>
    </row>
    <row r="24" spans="1:84" ht="17.25" customHeight="1" x14ac:dyDescent="0.2">
      <c r="A24" s="3"/>
      <c r="B24" s="38"/>
      <c r="C24" s="126" t="s">
        <v>36</v>
      </c>
      <c r="D24" s="126"/>
      <c r="E24" s="126"/>
      <c r="F24" s="49">
        <f>2*F23*F12</f>
        <v>2</v>
      </c>
      <c r="G24" s="49">
        <f>2*G23*F12</f>
        <v>1.0857286120717689</v>
      </c>
      <c r="H24" s="47" t="s">
        <v>0</v>
      </c>
      <c r="I24" s="40"/>
      <c r="J24" s="126" t="s">
        <v>133</v>
      </c>
      <c r="K24" s="126"/>
      <c r="L24" s="126"/>
      <c r="M24" s="49">
        <f>hjsn(F27,F12,F10,F23,F25,F20,F13)</f>
        <v>2.9857278318125386</v>
      </c>
      <c r="N24" s="49">
        <f>hjsn(F27,F12,G10,G23,F25,F20,F13)</f>
        <v>2.4925116491985384</v>
      </c>
      <c r="O24" s="50" t="s">
        <v>0</v>
      </c>
      <c r="P24" s="40"/>
      <c r="Q24" s="140"/>
      <c r="R24" s="48" t="s">
        <v>67</v>
      </c>
      <c r="S24" s="57">
        <f>bakcc(S22,F20,F13)</f>
        <v>2.7130299401813548E-2</v>
      </c>
      <c r="T24" s="57">
        <f>bakcc(T22,F20,F13)</f>
        <v>0</v>
      </c>
      <c r="U24" s="50" t="s">
        <v>0</v>
      </c>
      <c r="V24" s="39"/>
      <c r="X24" s="119" t="s">
        <v>120</v>
      </c>
      <c r="Y24" s="119"/>
      <c r="Z24" s="119"/>
      <c r="AA24" s="82">
        <f>'Geometria ECDRH'!F22</f>
        <v>0.21629999999999999</v>
      </c>
      <c r="AB24" s="82">
        <f>'Geometria ECDRH'!G22</f>
        <v>0.55513215301794228</v>
      </c>
      <c r="AC24" s="79"/>
      <c r="AM24" s="134"/>
      <c r="AN24" s="134"/>
      <c r="AO24" s="134"/>
      <c r="AP24" s="134"/>
      <c r="AQ24" s="134"/>
      <c r="AR24" s="10"/>
      <c r="AS24" s="107"/>
      <c r="AT24" s="10"/>
      <c r="AU24" s="10"/>
      <c r="BF24" s="117" t="s">
        <v>91</v>
      </c>
      <c r="BG24" s="117"/>
      <c r="BH24" s="117"/>
      <c r="BI24" s="108">
        <f>syt(da(F16,F27,F23,F26,F12),F16,BI25,F20,F23,F10)</f>
        <v>1.4206810268241346</v>
      </c>
      <c r="BJ24" s="108">
        <f>syt(da(G16,F27,G23,F26,F12),G16,BI25,F20,G23,G10)</f>
        <v>1.7151150005518927</v>
      </c>
      <c r="BK24" s="9" t="s">
        <v>0</v>
      </c>
      <c r="BV24" s="18"/>
      <c r="BW24" s="18"/>
      <c r="BX24" s="18"/>
      <c r="BY24" s="18" t="s">
        <v>148</v>
      </c>
      <c r="BZ24" s="25"/>
      <c r="CA24" s="25"/>
      <c r="CB24" s="25"/>
      <c r="CC24" s="25"/>
      <c r="CD24" s="18"/>
      <c r="CE24" s="18"/>
      <c r="CF24" s="19"/>
    </row>
    <row r="25" spans="1:84" ht="17.25" customHeight="1" x14ac:dyDescent="0.2">
      <c r="A25" s="3"/>
      <c r="B25" s="38"/>
      <c r="C25" s="126" t="s">
        <v>152</v>
      </c>
      <c r="D25" s="126"/>
      <c r="E25" s="126"/>
      <c r="F25" s="154">
        <f>rebk(F18,F17,F12,F21,F10)</f>
        <v>3.5241173522090108E-2</v>
      </c>
      <c r="G25" s="155"/>
      <c r="H25" s="40"/>
      <c r="I25" s="40"/>
      <c r="J25" s="142" t="s">
        <v>121</v>
      </c>
      <c r="K25" s="143"/>
      <c r="L25" s="48" t="s">
        <v>63</v>
      </c>
      <c r="M25" s="49">
        <f>Xti(M19,F12,F20)</f>
        <v>0.45191914515954423</v>
      </c>
      <c r="N25" s="49">
        <f>Xti(N19,F12,F20)</f>
        <v>0.20617956430589476</v>
      </c>
      <c r="O25" s="40"/>
      <c r="P25" s="40"/>
      <c r="Q25" s="140"/>
      <c r="R25" s="48" t="s">
        <v>69</v>
      </c>
      <c r="S25" s="57">
        <f>+S23+S24</f>
        <v>0.19795086916947724</v>
      </c>
      <c r="T25" s="57">
        <f>+T23+T24</f>
        <v>0.26399542600457115</v>
      </c>
      <c r="U25" s="50" t="s">
        <v>0</v>
      </c>
      <c r="V25" s="39"/>
      <c r="X25" s="119" t="s">
        <v>29</v>
      </c>
      <c r="Y25" s="119"/>
      <c r="Z25" s="119"/>
      <c r="AA25" s="83">
        <f>'Geometria ECDRH'!F23</f>
        <v>0.5</v>
      </c>
      <c r="AB25" s="83">
        <f>'Geometria ECDRH'!G23</f>
        <v>0.27143215301794221</v>
      </c>
      <c r="AC25" s="79"/>
      <c r="AM25" s="134"/>
      <c r="AN25" s="134"/>
      <c r="AO25" s="134"/>
      <c r="AP25" s="134"/>
      <c r="AQ25" s="134"/>
      <c r="AR25" s="132" t="s">
        <v>17</v>
      </c>
      <c r="AS25" s="103" t="s">
        <v>3</v>
      </c>
      <c r="AT25" s="16">
        <v>21</v>
      </c>
      <c r="AU25" s="16">
        <v>22</v>
      </c>
      <c r="AV25" s="16">
        <v>23</v>
      </c>
      <c r="AW25" s="16">
        <v>24</v>
      </c>
      <c r="AX25" s="16">
        <v>25</v>
      </c>
      <c r="AY25" s="16">
        <v>26</v>
      </c>
      <c r="AZ25" s="16">
        <v>27</v>
      </c>
      <c r="BA25" s="16">
        <v>28</v>
      </c>
      <c r="BB25" s="16">
        <v>29</v>
      </c>
      <c r="BC25" s="16">
        <v>30</v>
      </c>
      <c r="BF25" s="117" t="s">
        <v>92</v>
      </c>
      <c r="BG25" s="117"/>
      <c r="BH25" s="117"/>
      <c r="BI25" s="130">
        <f>alfat(F20,F13)</f>
        <v>20.646896487046472</v>
      </c>
      <c r="BJ25" s="130"/>
      <c r="BK25" s="9" t="s">
        <v>19</v>
      </c>
      <c r="BV25" s="18"/>
      <c r="BW25" s="18"/>
      <c r="BX25" s="18"/>
      <c r="BY25" s="18"/>
      <c r="BZ25" s="25"/>
      <c r="CA25" s="25"/>
      <c r="CB25" s="25"/>
      <c r="CC25" s="25"/>
      <c r="CD25" s="18"/>
      <c r="CE25" s="18"/>
      <c r="CF25" s="19"/>
    </row>
    <row r="26" spans="1:84" ht="17.25" customHeight="1" x14ac:dyDescent="0.2">
      <c r="A26" s="3"/>
      <c r="B26" s="38"/>
      <c r="C26" s="126" t="s">
        <v>151</v>
      </c>
      <c r="D26" s="126"/>
      <c r="E26" s="126"/>
      <c r="F26" s="154">
        <f>F25*F12</f>
        <v>7.0482347044180216E-2</v>
      </c>
      <c r="G26" s="155"/>
      <c r="H26" s="47" t="s">
        <v>0</v>
      </c>
      <c r="I26" s="40"/>
      <c r="J26" s="146"/>
      <c r="K26" s="147"/>
      <c r="L26" s="48" t="s">
        <v>64</v>
      </c>
      <c r="M26" s="49">
        <f>Xti(M20,F12,F20)</f>
        <v>0.42444437096499799</v>
      </c>
      <c r="N26" s="49">
        <f>Xti(N20,F12,F20)</f>
        <v>0.17183609656271209</v>
      </c>
      <c r="O26" s="40"/>
      <c r="P26" s="40"/>
      <c r="Q26" s="135" t="s">
        <v>70</v>
      </c>
      <c r="R26" s="137"/>
      <c r="S26" s="57">
        <f>back3(S25,F20,F13)</f>
        <v>0.17967473274912302</v>
      </c>
      <c r="T26" s="57">
        <f>back3(T25,F20,F13)</f>
        <v>0.23962161830040662</v>
      </c>
      <c r="U26" s="50" t="s">
        <v>0</v>
      </c>
      <c r="V26" s="39"/>
      <c r="X26" s="119" t="s">
        <v>36</v>
      </c>
      <c r="Y26" s="119"/>
      <c r="Z26" s="119"/>
      <c r="AA26" s="81">
        <f>'Geometria ECDRH'!F24</f>
        <v>2</v>
      </c>
      <c r="AB26" s="81">
        <f>'Geometria ECDRH'!G24</f>
        <v>1.0857286120717689</v>
      </c>
      <c r="AC26" s="79" t="s">
        <v>0</v>
      </c>
      <c r="AM26" s="134"/>
      <c r="AN26" s="134"/>
      <c r="AO26" s="134"/>
      <c r="AP26" s="134"/>
      <c r="AQ26" s="134"/>
      <c r="AR26" s="132"/>
      <c r="AS26" s="103">
        <v>0</v>
      </c>
      <c r="AT26" s="16">
        <v>3</v>
      </c>
      <c r="AU26" s="16">
        <v>5</v>
      </c>
      <c r="AV26" s="16">
        <v>8</v>
      </c>
      <c r="AW26" s="16">
        <v>12</v>
      </c>
      <c r="AX26" s="16">
        <v>20</v>
      </c>
      <c r="AY26" s="16">
        <v>30</v>
      </c>
      <c r="AZ26" s="16">
        <v>50</v>
      </c>
      <c r="BA26" s="16">
        <v>80</v>
      </c>
      <c r="BB26" s="16">
        <v>30</v>
      </c>
      <c r="BC26" s="16">
        <v>200</v>
      </c>
      <c r="BF26" s="117" t="s">
        <v>93</v>
      </c>
      <c r="BG26" s="117"/>
      <c r="BH26" s="117"/>
      <c r="BI26" s="130">
        <f>alfawt(F17,F18,BI25)</f>
        <v>22.683495439805668</v>
      </c>
      <c r="BJ26" s="130"/>
      <c r="BK26" s="9" t="s">
        <v>19</v>
      </c>
      <c r="BR26" s="18"/>
      <c r="BS26" s="18"/>
      <c r="BT26" s="18"/>
      <c r="BU26" s="18"/>
      <c r="BV26" s="18"/>
      <c r="BW26" s="18"/>
      <c r="BX26" s="18"/>
      <c r="BY26" s="18"/>
      <c r="BZ26" s="25"/>
      <c r="CA26" s="25"/>
      <c r="CB26" s="25"/>
      <c r="CC26" s="25"/>
      <c r="CD26" s="18"/>
      <c r="CE26" s="18"/>
      <c r="CF26" s="19"/>
    </row>
    <row r="27" spans="1:84" ht="17.25" customHeight="1" x14ac:dyDescent="0.2">
      <c r="A27" s="3"/>
      <c r="B27" s="38"/>
      <c r="C27" s="126" t="s">
        <v>30</v>
      </c>
      <c r="D27" s="126"/>
      <c r="E27" s="126"/>
      <c r="F27" s="127">
        <v>1</v>
      </c>
      <c r="G27" s="127"/>
      <c r="H27" s="40"/>
      <c r="I27" s="40"/>
      <c r="J27" s="135" t="s">
        <v>18</v>
      </c>
      <c r="K27" s="136"/>
      <c r="L27" s="137"/>
      <c r="M27" s="49">
        <f>xEmin(F10,BI25,F12,F13)</f>
        <v>-0.93077225096620553</v>
      </c>
      <c r="N27" s="49">
        <f>xEmin(G10,BI25,F12,F13)</f>
        <v>-3.5051352522544796</v>
      </c>
      <c r="O27" s="52" t="str">
        <f>verxEmin(M26,N26,M27,N27,G10)</f>
        <v>Ok!</v>
      </c>
      <c r="P27" s="40"/>
      <c r="Q27" s="140" t="s">
        <v>74</v>
      </c>
      <c r="R27" s="140"/>
      <c r="S27" s="140"/>
      <c r="T27" s="140"/>
      <c r="U27" s="140"/>
      <c r="V27" s="39"/>
      <c r="X27" s="119" t="s">
        <v>37</v>
      </c>
      <c r="Y27" s="119"/>
      <c r="Z27" s="119"/>
      <c r="AA27" s="81">
        <f>'Geometria ECDRH'!F26</f>
        <v>7.0482347044180216E-2</v>
      </c>
      <c r="AB27" s="81">
        <f>'Geometria ECDRH'!G26</f>
        <v>0</v>
      </c>
      <c r="AC27" s="79" t="s">
        <v>0</v>
      </c>
      <c r="AL27" s="10"/>
      <c r="AM27" s="134"/>
      <c r="AN27" s="134"/>
      <c r="AO27" s="134"/>
      <c r="AP27" s="134"/>
      <c r="AQ27" s="134"/>
      <c r="AR27" s="132"/>
      <c r="AS27" s="17">
        <v>10.000000000009999</v>
      </c>
      <c r="AT27" s="16">
        <v>5</v>
      </c>
      <c r="AU27" s="16">
        <v>8</v>
      </c>
      <c r="AV27" s="16">
        <v>12</v>
      </c>
      <c r="AW27" s="16">
        <v>20</v>
      </c>
      <c r="AX27" s="16">
        <v>30</v>
      </c>
      <c r="AY27" s="16">
        <v>50</v>
      </c>
      <c r="AZ27" s="16">
        <v>80</v>
      </c>
      <c r="BA27" s="16">
        <v>130</v>
      </c>
      <c r="BB27" s="16">
        <v>200</v>
      </c>
      <c r="BC27" s="16">
        <v>300</v>
      </c>
      <c r="BR27" s="11"/>
      <c r="BS27" s="11"/>
      <c r="BZ27" s="12"/>
      <c r="CA27" s="12"/>
      <c r="CB27" s="12"/>
      <c r="CC27" s="12"/>
      <c r="CF27" s="10"/>
    </row>
    <row r="28" spans="1:84" ht="17.25" customHeight="1" x14ac:dyDescent="0.2">
      <c r="A28" s="3"/>
      <c r="B28" s="38"/>
      <c r="C28" s="126" t="s">
        <v>31</v>
      </c>
      <c r="D28" s="126"/>
      <c r="E28" s="126"/>
      <c r="F28" s="127">
        <v>1.25</v>
      </c>
      <c r="G28" s="127"/>
      <c r="H28" s="40"/>
      <c r="I28" s="40"/>
      <c r="J28" s="62" t="str">
        <f>CONCATENATE("Espessura na cabeça ( mínimo = 0,4 x mn = ",F12*0.4," mm )")</f>
        <v>Espessura na cabeça ( mínimo = 0,4 x mn = 0.8 mm )</v>
      </c>
      <c r="K28" s="63"/>
      <c r="L28" s="63"/>
      <c r="M28" s="49">
        <f>san(BI24,BI23)</f>
        <v>1.363505708797482</v>
      </c>
      <c r="N28" s="49">
        <f>san(BJ24,BJ23)</f>
        <v>1.6529473762105182</v>
      </c>
      <c r="O28" s="52" t="str">
        <f>ver_esp_cabeça(F12,M28,N28)</f>
        <v>Ok!</v>
      </c>
      <c r="P28" s="40"/>
      <c r="Q28" s="140"/>
      <c r="R28" s="140"/>
      <c r="S28" s="140"/>
      <c r="T28" s="140"/>
      <c r="U28" s="140"/>
      <c r="V28" s="39"/>
      <c r="X28" s="119" t="s">
        <v>30</v>
      </c>
      <c r="Y28" s="119"/>
      <c r="Z28" s="119"/>
      <c r="AA28" s="179">
        <f>'Geometria ECDRH'!F27</f>
        <v>1</v>
      </c>
      <c r="AB28" s="179"/>
      <c r="AC28" s="79" t="s">
        <v>0</v>
      </c>
      <c r="AL28" s="10"/>
      <c r="AM28" s="134"/>
      <c r="AN28" s="134"/>
      <c r="AO28" s="134"/>
      <c r="AP28" s="134"/>
      <c r="AQ28" s="134"/>
      <c r="AR28" s="132"/>
      <c r="AS28" s="17">
        <v>50.000000000009997</v>
      </c>
      <c r="AT28" s="16">
        <v>6</v>
      </c>
      <c r="AU28" s="16">
        <v>10</v>
      </c>
      <c r="AV28" s="16">
        <v>16</v>
      </c>
      <c r="AW28" s="16">
        <v>25</v>
      </c>
      <c r="AX28" s="16">
        <v>40</v>
      </c>
      <c r="AY28" s="16">
        <v>60</v>
      </c>
      <c r="AZ28" s="16">
        <v>100</v>
      </c>
      <c r="BA28" s="16">
        <v>160</v>
      </c>
      <c r="BB28" s="16">
        <v>250</v>
      </c>
      <c r="BC28" s="16">
        <v>400</v>
      </c>
      <c r="BZ28" s="12"/>
      <c r="CA28" s="12"/>
      <c r="CB28" s="12"/>
      <c r="CC28" s="12"/>
    </row>
    <row r="29" spans="1:84" ht="17.25" customHeight="1" x14ac:dyDescent="0.25">
      <c r="A29" s="3"/>
      <c r="B29" s="38"/>
      <c r="C29" s="140" t="s">
        <v>41</v>
      </c>
      <c r="D29" s="126" t="s">
        <v>45</v>
      </c>
      <c r="E29" s="126"/>
      <c r="F29" s="49">
        <f>da(F16,F27,F23,F25,F12)</f>
        <v>67.975606130516624</v>
      </c>
      <c r="G29" s="49">
        <f>da(G16,F27,G23,F25,F12)</f>
        <v>149.88342917539504</v>
      </c>
      <c r="H29" s="47" t="s">
        <v>0</v>
      </c>
      <c r="I29" s="40"/>
      <c r="J29" s="148" t="s">
        <v>47</v>
      </c>
      <c r="K29" s="149"/>
      <c r="L29" s="48" t="s">
        <v>50</v>
      </c>
      <c r="M29" s="51">
        <f>kw(F10,BI19,BI15,F23,F20,BI25)</f>
        <v>5.0368827622461314</v>
      </c>
      <c r="N29" s="51">
        <f>kw(G10,BJ19,BI15,G23,F20,BI25)</f>
        <v>9.6885471183544958</v>
      </c>
      <c r="O29" s="40"/>
      <c r="P29" s="40"/>
      <c r="Q29" s="67"/>
      <c r="R29" s="67"/>
      <c r="S29" s="67"/>
      <c r="T29" s="67"/>
      <c r="U29" s="67"/>
      <c r="V29" s="39"/>
      <c r="X29" s="125" t="s">
        <v>41</v>
      </c>
      <c r="Y29" s="119" t="s">
        <v>45</v>
      </c>
      <c r="Z29" s="119"/>
      <c r="AA29" s="81">
        <f>'Geometria ECDRH'!F29</f>
        <v>67.975606130516624</v>
      </c>
      <c r="AB29" s="81">
        <f>'Geometria ECDRH'!G29</f>
        <v>149.88342917539504</v>
      </c>
      <c r="AC29" s="79" t="s">
        <v>0</v>
      </c>
      <c r="AL29" s="10"/>
      <c r="AM29" s="134"/>
      <c r="AN29" s="134"/>
      <c r="AO29" s="134"/>
      <c r="AP29" s="134"/>
      <c r="AQ29" s="134"/>
      <c r="AR29" s="132"/>
      <c r="AS29" s="17">
        <v>125.00000000001</v>
      </c>
      <c r="AT29" s="16">
        <v>8</v>
      </c>
      <c r="AU29" s="16">
        <v>12</v>
      </c>
      <c r="AV29" s="16">
        <v>20</v>
      </c>
      <c r="AW29" s="16">
        <v>30</v>
      </c>
      <c r="AX29" s="16">
        <v>50</v>
      </c>
      <c r="AY29" s="16">
        <v>80</v>
      </c>
      <c r="AZ29" s="16">
        <v>130</v>
      </c>
      <c r="BA29" s="16">
        <v>200</v>
      </c>
      <c r="BB29" s="16">
        <v>300</v>
      </c>
      <c r="BC29" s="16">
        <v>500</v>
      </c>
      <c r="BZ29" s="12"/>
      <c r="CA29" s="12"/>
      <c r="CB29" s="12"/>
      <c r="CC29" s="12"/>
    </row>
    <row r="30" spans="1:84" ht="17.25" customHeight="1" x14ac:dyDescent="0.2">
      <c r="A30" s="3"/>
      <c r="B30" s="38"/>
      <c r="C30" s="140"/>
      <c r="D30" s="126" t="s">
        <v>46</v>
      </c>
      <c r="E30" s="126"/>
      <c r="F30" s="49" t="str">
        <f>IF(ISODD(F10)=TRUE,daimpar(F16,F27,F23,F25,F12,F10),"----")</f>
        <v>----</v>
      </c>
      <c r="G30" s="49" t="str">
        <f>IF(ISODD(G10)=TRUE,daimpar(G16,F27,G23,F25,F12,G10),"----")</f>
        <v>----</v>
      </c>
      <c r="H30" s="50" t="s">
        <v>0</v>
      </c>
      <c r="I30" s="40"/>
      <c r="J30" s="150"/>
      <c r="K30" s="151"/>
      <c r="L30" s="48" t="s">
        <v>51</v>
      </c>
      <c r="M30" s="64">
        <f>ROUND(M29,0)</f>
        <v>5</v>
      </c>
      <c r="N30" s="64">
        <f>ROUND(N29,0)</f>
        <v>10</v>
      </c>
      <c r="O30" s="40"/>
      <c r="P30" s="40"/>
      <c r="Q30" s="48" t="s">
        <v>130</v>
      </c>
      <c r="R30" s="138" t="s">
        <v>158</v>
      </c>
      <c r="S30" s="138"/>
      <c r="T30" s="138"/>
      <c r="U30" s="138"/>
      <c r="V30" s="39"/>
      <c r="X30" s="125"/>
      <c r="Y30" s="119" t="s">
        <v>46</v>
      </c>
      <c r="Z30" s="119"/>
      <c r="AA30" s="81" t="str">
        <f>'Geometria ECDRH'!F30</f>
        <v>----</v>
      </c>
      <c r="AB30" s="81" t="str">
        <f>'Geometria ECDRH'!G30</f>
        <v>----</v>
      </c>
      <c r="AC30" s="79" t="s">
        <v>0</v>
      </c>
      <c r="AL30" s="10"/>
      <c r="AM30" s="134"/>
      <c r="AN30" s="134"/>
      <c r="AO30" s="134"/>
      <c r="AP30" s="134"/>
      <c r="AQ30" s="134"/>
      <c r="AR30" s="132"/>
      <c r="AS30" s="17">
        <v>280.00000000001</v>
      </c>
      <c r="AT30" s="16">
        <v>10</v>
      </c>
      <c r="AU30" s="16">
        <v>16</v>
      </c>
      <c r="AV30" s="16">
        <v>25</v>
      </c>
      <c r="AW30" s="16">
        <v>40</v>
      </c>
      <c r="AX30" s="16">
        <v>60</v>
      </c>
      <c r="AY30" s="16">
        <v>100</v>
      </c>
      <c r="AZ30" s="16">
        <v>160</v>
      </c>
      <c r="BA30" s="16">
        <v>250</v>
      </c>
      <c r="BB30" s="16">
        <v>400</v>
      </c>
      <c r="BC30" s="16">
        <v>600</v>
      </c>
      <c r="BZ30" s="12"/>
      <c r="CA30" s="12"/>
      <c r="CB30" s="12"/>
      <c r="CC30" s="12"/>
    </row>
    <row r="31" spans="1:84" ht="17.25" customHeight="1" x14ac:dyDescent="0.2">
      <c r="A31" s="3"/>
      <c r="B31" s="38"/>
      <c r="C31" s="141" t="s">
        <v>40</v>
      </c>
      <c r="D31" s="126" t="s">
        <v>103</v>
      </c>
      <c r="E31" s="126"/>
      <c r="F31" s="49">
        <f>df(F16,F28,F23,F12)</f>
        <v>59.116570824604992</v>
      </c>
      <c r="G31" s="49">
        <f>df(G16,F28,G23,F12)</f>
        <v>141.02439386948339</v>
      </c>
      <c r="H31" s="50" t="s">
        <v>0</v>
      </c>
      <c r="I31" s="40"/>
      <c r="J31" s="150"/>
      <c r="K31" s="151"/>
      <c r="L31" s="48" t="s">
        <v>48</v>
      </c>
      <c r="M31" s="49">
        <f>Wk(F20,F12,M30,F10,BI25,F23)</f>
        <v>28.180890937861879</v>
      </c>
      <c r="N31" s="49">
        <f>Wk(F20,F12,N30,G10,BI25,G23)</f>
        <v>58.626396373484397</v>
      </c>
      <c r="O31" s="50" t="s">
        <v>0</v>
      </c>
      <c r="P31" s="40"/>
      <c r="Q31" s="48" t="s">
        <v>132</v>
      </c>
      <c r="R31" s="138" t="s">
        <v>165</v>
      </c>
      <c r="S31" s="138"/>
      <c r="T31" s="138"/>
      <c r="U31" s="138"/>
      <c r="V31" s="39"/>
      <c r="X31" s="119" t="s">
        <v>60</v>
      </c>
      <c r="Y31" s="119"/>
      <c r="Z31" s="119"/>
      <c r="AA31" s="84">
        <f>'Geometria ECDRH'!F33</f>
        <v>4.4295176529558162</v>
      </c>
      <c r="AB31" s="84">
        <f>'Geometria ECDRH'!G33</f>
        <v>4.4295176529558233</v>
      </c>
      <c r="AC31" s="79" t="s">
        <v>0</v>
      </c>
      <c r="AL31" s="10"/>
      <c r="AM31" s="134"/>
      <c r="AN31" s="134"/>
      <c r="AO31" s="134"/>
      <c r="AP31" s="134"/>
      <c r="AQ31" s="134"/>
      <c r="AR31" s="132"/>
      <c r="AS31" s="17">
        <v>560.00000000001</v>
      </c>
      <c r="AT31" s="16">
        <v>12</v>
      </c>
      <c r="AU31" s="16">
        <v>20</v>
      </c>
      <c r="AV31" s="16">
        <v>30</v>
      </c>
      <c r="AW31" s="16">
        <v>50</v>
      </c>
      <c r="AX31" s="16">
        <v>80</v>
      </c>
      <c r="AY31" s="16">
        <v>130</v>
      </c>
      <c r="AZ31" s="16">
        <v>200</v>
      </c>
      <c r="BA31" s="16">
        <v>300</v>
      </c>
      <c r="BB31" s="16">
        <v>500</v>
      </c>
      <c r="BC31" s="16">
        <v>800</v>
      </c>
      <c r="BZ31" s="12"/>
      <c r="CA31" s="12"/>
      <c r="CB31" s="12"/>
      <c r="CC31" s="12"/>
    </row>
    <row r="32" spans="1:84" ht="17.25" customHeight="1" x14ac:dyDescent="0.2">
      <c r="A32" s="3"/>
      <c r="B32" s="38"/>
      <c r="C32" s="141"/>
      <c r="D32" s="126" t="s">
        <v>104</v>
      </c>
      <c r="E32" s="126"/>
      <c r="F32" s="49" t="str">
        <f>IF(ISODD(F10),dfimpar(F16,F28,F23,F12,F10),"----")</f>
        <v>----</v>
      </c>
      <c r="G32" s="49" t="str">
        <f>IF(ISODD(G10),dfimpar(G16,F28,G23,F12,G10),"----")</f>
        <v>----</v>
      </c>
      <c r="H32" s="50" t="s">
        <v>0</v>
      </c>
      <c r="I32" s="40"/>
      <c r="J32" s="150"/>
      <c r="K32" s="151"/>
      <c r="L32" s="126" t="s">
        <v>49</v>
      </c>
      <c r="M32" s="49">
        <f>Wk(F20,F12,M30,F10,BI25,M25)</f>
        <v>28.115112454406862</v>
      </c>
      <c r="N32" s="49">
        <f>Wk(F20,F12,N30,G10,BI25,N25)</f>
        <v>58.53712557450973</v>
      </c>
      <c r="O32" s="50" t="s">
        <v>0</v>
      </c>
      <c r="P32" s="40"/>
      <c r="Q32" s="126" t="s">
        <v>131</v>
      </c>
      <c r="R32" s="139" t="s">
        <v>164</v>
      </c>
      <c r="S32" s="138"/>
      <c r="T32" s="138"/>
      <c r="U32" s="138"/>
      <c r="V32" s="39"/>
      <c r="W32" s="8"/>
      <c r="X32" s="119" t="s">
        <v>61</v>
      </c>
      <c r="Y32" s="119"/>
      <c r="Z32" s="119"/>
      <c r="AA32" s="162">
        <f>'Geometria ECDRH'!F34</f>
        <v>0.5</v>
      </c>
      <c r="AB32" s="162"/>
      <c r="AC32" s="79" t="s">
        <v>0</v>
      </c>
      <c r="AL32" s="10"/>
      <c r="AM32" s="134"/>
      <c r="AN32" s="134"/>
      <c r="AO32" s="134"/>
      <c r="AP32" s="134"/>
      <c r="AQ32" s="134"/>
      <c r="AR32" s="132"/>
      <c r="AS32" s="17">
        <v>1000.00000000001</v>
      </c>
      <c r="AT32" s="16">
        <v>16</v>
      </c>
      <c r="AU32" s="16">
        <v>25</v>
      </c>
      <c r="AV32" s="16">
        <v>40</v>
      </c>
      <c r="AW32" s="16">
        <v>60</v>
      </c>
      <c r="AX32" s="16">
        <v>100</v>
      </c>
      <c r="AY32" s="16">
        <v>160</v>
      </c>
      <c r="AZ32" s="16">
        <v>250</v>
      </c>
      <c r="BA32" s="16">
        <v>400</v>
      </c>
      <c r="BB32" s="16">
        <v>600</v>
      </c>
      <c r="BC32" s="16">
        <v>1000</v>
      </c>
      <c r="BZ32" s="12"/>
      <c r="CA32" s="12"/>
      <c r="CB32" s="12"/>
      <c r="CC32" s="12"/>
    </row>
    <row r="33" spans="1:81" ht="17.25" customHeight="1" x14ac:dyDescent="0.2">
      <c r="A33" s="3"/>
      <c r="B33" s="38"/>
      <c r="C33" s="126" t="s">
        <v>60</v>
      </c>
      <c r="D33" s="126"/>
      <c r="E33" s="126"/>
      <c r="F33" s="49">
        <f>(F29-F31)/2</f>
        <v>4.4295176529558162</v>
      </c>
      <c r="G33" s="49">
        <f>(G29-G31)/2</f>
        <v>4.4295176529558233</v>
      </c>
      <c r="H33" s="50" t="s">
        <v>0</v>
      </c>
      <c r="I33" s="44"/>
      <c r="J33" s="150"/>
      <c r="K33" s="151"/>
      <c r="L33" s="126"/>
      <c r="M33" s="49">
        <f>Wk(F20,F12,M30,F10,BI25,M26)</f>
        <v>28.077524749575428</v>
      </c>
      <c r="N33" s="49">
        <f>Wk(F20,F12,N30,G10,BI25,N26)</f>
        <v>58.490140943470436</v>
      </c>
      <c r="O33" s="50" t="s">
        <v>0</v>
      </c>
      <c r="P33" s="40"/>
      <c r="Q33" s="126"/>
      <c r="R33" s="139"/>
      <c r="S33" s="138"/>
      <c r="T33" s="138"/>
      <c r="U33" s="138"/>
      <c r="V33" s="39"/>
      <c r="W33" s="8"/>
      <c r="X33" s="119" t="s">
        <v>32</v>
      </c>
      <c r="Y33" s="119"/>
      <c r="Z33" s="119"/>
      <c r="AA33" s="85">
        <f>'Geometria ECDRH'!M10</f>
        <v>170</v>
      </c>
      <c r="AB33" s="85">
        <f>'Geometria ECDRH'!N10</f>
        <v>170</v>
      </c>
      <c r="AC33" s="79" t="s">
        <v>0</v>
      </c>
      <c r="AL33" s="10"/>
      <c r="AM33" s="134"/>
      <c r="AN33" s="134"/>
      <c r="AO33" s="134"/>
      <c r="AP33" s="134"/>
      <c r="AQ33" s="134"/>
      <c r="AR33" s="132"/>
      <c r="AS33" s="17">
        <v>1600.00000000001</v>
      </c>
      <c r="AT33" s="16">
        <v>20</v>
      </c>
      <c r="AU33" s="16">
        <v>30</v>
      </c>
      <c r="AV33" s="16">
        <v>50</v>
      </c>
      <c r="AW33" s="16">
        <v>80</v>
      </c>
      <c r="AX33" s="16">
        <v>130</v>
      </c>
      <c r="AY33" s="16">
        <v>200</v>
      </c>
      <c r="AZ33" s="16">
        <v>300</v>
      </c>
      <c r="BA33" s="16">
        <v>500</v>
      </c>
      <c r="BB33" s="16">
        <v>800</v>
      </c>
      <c r="BC33" s="16">
        <v>1300</v>
      </c>
      <c r="BZ33" s="12"/>
      <c r="CA33" s="12"/>
      <c r="CB33" s="12"/>
      <c r="CC33" s="12"/>
    </row>
    <row r="34" spans="1:81" ht="17.25" customHeight="1" x14ac:dyDescent="0.2">
      <c r="A34" s="3"/>
      <c r="B34" s="38"/>
      <c r="C34" s="126" t="s">
        <v>61</v>
      </c>
      <c r="D34" s="126"/>
      <c r="E34" s="126"/>
      <c r="F34" s="156">
        <f>F18-((F29+G31)/2)</f>
        <v>0.5</v>
      </c>
      <c r="G34" s="157"/>
      <c r="H34" s="50" t="s">
        <v>0</v>
      </c>
      <c r="I34" s="44"/>
      <c r="J34" s="150"/>
      <c r="K34" s="151"/>
      <c r="L34" s="126" t="s">
        <v>97</v>
      </c>
      <c r="M34" s="49">
        <f>-M31+M33</f>
        <v>-0.10336618828645072</v>
      </c>
      <c r="N34" s="49">
        <f>-N31+N33</f>
        <v>-0.13625543001396068</v>
      </c>
      <c r="O34" s="50" t="s">
        <v>0</v>
      </c>
      <c r="P34" s="40"/>
      <c r="Q34" s="126"/>
      <c r="R34" s="138"/>
      <c r="S34" s="138"/>
      <c r="T34" s="138"/>
      <c r="U34" s="138"/>
      <c r="V34" s="39"/>
      <c r="W34" s="8"/>
      <c r="X34" s="119" t="s">
        <v>33</v>
      </c>
      <c r="Y34" s="119"/>
      <c r="Z34" s="119"/>
      <c r="AA34" s="86">
        <f>'Geometria ECDRH'!M11</f>
        <v>11</v>
      </c>
      <c r="AB34" s="86">
        <f>'Geometria ECDRH'!N11</f>
        <v>19</v>
      </c>
      <c r="AC34" s="87" t="str">
        <f>'Geometria ECDRH'!O11</f>
        <v>Ok!</v>
      </c>
      <c r="AL34" s="10"/>
      <c r="AM34" s="134"/>
      <c r="AN34" s="134"/>
      <c r="AO34" s="134"/>
      <c r="AP34" s="134"/>
      <c r="AQ34" s="134"/>
      <c r="AR34" s="132"/>
      <c r="AS34" s="17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Z34" s="12"/>
      <c r="CA34" s="12"/>
      <c r="CB34" s="12"/>
      <c r="CC34" s="12"/>
    </row>
    <row r="35" spans="1:81" ht="17.25" customHeight="1" x14ac:dyDescent="0.25">
      <c r="A35" s="3"/>
      <c r="B35" s="34"/>
      <c r="C35" s="126" t="s">
        <v>118</v>
      </c>
      <c r="D35" s="126"/>
      <c r="E35" s="126"/>
      <c r="F35" s="65">
        <v>25</v>
      </c>
      <c r="G35" s="66" t="s">
        <v>9</v>
      </c>
      <c r="H35" s="44"/>
      <c r="I35" s="40"/>
      <c r="J35" s="152"/>
      <c r="K35" s="153"/>
      <c r="L35" s="126"/>
      <c r="M35" s="49">
        <f>-M31+M32</f>
        <v>-6.5778483455016357E-2</v>
      </c>
      <c r="N35" s="49">
        <f>-N31+N32</f>
        <v>-8.9270798974666832E-2</v>
      </c>
      <c r="O35" s="50" t="s">
        <v>0</v>
      </c>
      <c r="P35" s="67"/>
      <c r="Q35" s="67"/>
      <c r="R35" s="67"/>
      <c r="S35" s="67"/>
      <c r="T35" s="67"/>
      <c r="U35" s="67"/>
      <c r="V35" s="37"/>
      <c r="X35" s="119" t="s">
        <v>118</v>
      </c>
      <c r="Y35" s="119"/>
      <c r="Z35" s="119"/>
      <c r="AA35" s="88">
        <f>'Geometria ECDRH'!F35</f>
        <v>25</v>
      </c>
      <c r="AB35" s="89" t="str">
        <f>'Geometria ECDRH'!G35</f>
        <v>cd</v>
      </c>
      <c r="AC35" s="90"/>
      <c r="AL35" s="10"/>
      <c r="AM35" s="134"/>
      <c r="AN35" s="134"/>
      <c r="AO35" s="134"/>
      <c r="AP35" s="134"/>
      <c r="AQ35" s="134"/>
      <c r="AR35" s="132"/>
      <c r="AS35" s="17">
        <v>4000.00000000001</v>
      </c>
      <c r="AT35" s="16">
        <v>30</v>
      </c>
      <c r="AU35" s="16">
        <v>50</v>
      </c>
      <c r="AV35" s="16">
        <v>80</v>
      </c>
      <c r="AW35" s="16">
        <v>130</v>
      </c>
      <c r="AX35" s="16">
        <v>200</v>
      </c>
      <c r="AY35" s="16">
        <v>300</v>
      </c>
      <c r="AZ35" s="16">
        <v>500</v>
      </c>
      <c r="BA35" s="16">
        <v>800</v>
      </c>
      <c r="BB35" s="16">
        <v>1300</v>
      </c>
      <c r="BC35" s="16">
        <v>2000</v>
      </c>
      <c r="BZ35" s="12"/>
      <c r="CA35" s="12"/>
      <c r="CB35" s="12"/>
      <c r="CC35" s="12"/>
    </row>
    <row r="36" spans="1:81" ht="17.25" customHeight="1" thickBot="1" x14ac:dyDescent="0.25">
      <c r="B36" s="68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70"/>
      <c r="X36" s="119" t="s">
        <v>31</v>
      </c>
      <c r="Y36" s="119"/>
      <c r="Z36" s="119"/>
      <c r="AA36" s="179">
        <f>'Geometria ECDRH'!F28</f>
        <v>1.25</v>
      </c>
      <c r="AB36" s="179"/>
      <c r="AC36" s="90"/>
      <c r="AL36" s="10"/>
      <c r="AM36" s="134"/>
      <c r="AN36" s="134"/>
      <c r="AO36" s="134"/>
      <c r="AP36" s="134"/>
      <c r="AQ36" s="134"/>
      <c r="AR36" s="132"/>
      <c r="AS36" s="17">
        <v>6300.00000000001</v>
      </c>
      <c r="AT36" s="16">
        <v>40</v>
      </c>
      <c r="AU36" s="16">
        <v>60</v>
      </c>
      <c r="AV36" s="16">
        <v>100</v>
      </c>
      <c r="AW36" s="16">
        <v>160</v>
      </c>
      <c r="AX36" s="16">
        <v>250</v>
      </c>
      <c r="AY36" s="16">
        <v>400</v>
      </c>
      <c r="AZ36" s="16">
        <v>600</v>
      </c>
      <c r="BA36" s="16">
        <v>1000</v>
      </c>
      <c r="BB36" s="16">
        <v>1600</v>
      </c>
      <c r="BC36" s="16">
        <v>2400</v>
      </c>
      <c r="BZ36" s="12"/>
      <c r="CA36" s="12"/>
      <c r="CB36" s="12"/>
      <c r="CC36" s="12"/>
    </row>
    <row r="37" spans="1:81" ht="17.25" customHeight="1" thickTop="1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 s="125" t="s">
        <v>40</v>
      </c>
      <c r="Y37" s="119" t="s">
        <v>103</v>
      </c>
      <c r="Z37" s="119"/>
      <c r="AA37" s="81">
        <f>'Geometria ECDRH'!F31</f>
        <v>59.116570824604992</v>
      </c>
      <c r="AB37" s="81">
        <f>'Geometria ECDRH'!G31</f>
        <v>141.02439386948339</v>
      </c>
      <c r="AC37" s="79" t="s">
        <v>0</v>
      </c>
      <c r="AL37" s="10"/>
      <c r="AM37" s="20"/>
      <c r="AN37" s="20"/>
      <c r="AO37" s="20"/>
      <c r="AP37" s="20"/>
      <c r="AQ37" s="20"/>
      <c r="AR37" s="21"/>
      <c r="AS37" s="17"/>
      <c r="AT37" s="16"/>
      <c r="AU37" s="16"/>
      <c r="AV37" s="16"/>
      <c r="AW37" s="16"/>
      <c r="AX37" s="16"/>
      <c r="AY37" s="16"/>
      <c r="AZ37" s="16"/>
      <c r="BA37" s="16"/>
      <c r="BB37" s="16"/>
      <c r="BC37" s="16"/>
    </row>
    <row r="38" spans="1:81" ht="17.25" customHeight="1" x14ac:dyDescent="0.2">
      <c r="B38"/>
      <c r="C38"/>
      <c r="D38"/>
      <c r="E38"/>
      <c r="F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 s="125"/>
      <c r="Y38" s="119" t="s">
        <v>104</v>
      </c>
      <c r="Z38" s="119"/>
      <c r="AA38" s="81" t="str">
        <f>'Geometria ECDRH'!F32</f>
        <v>----</v>
      </c>
      <c r="AB38" s="81" t="str">
        <f>'Geometria ECDRH'!G32</f>
        <v>----</v>
      </c>
      <c r="AC38" s="79" t="s">
        <v>0</v>
      </c>
      <c r="AL38" s="10"/>
      <c r="AM38" s="20"/>
      <c r="AN38" s="20"/>
      <c r="AO38" s="20"/>
      <c r="AP38" s="20"/>
      <c r="AQ38" s="20"/>
      <c r="AR38" s="21"/>
      <c r="AS38" s="17"/>
      <c r="AT38" s="16"/>
      <c r="AU38" s="16"/>
      <c r="AV38" s="16"/>
      <c r="AW38" s="16"/>
      <c r="AX38" s="16"/>
      <c r="AY38" s="16"/>
      <c r="AZ38" s="16"/>
      <c r="BA38" s="16"/>
      <c r="BB38" s="16"/>
      <c r="BC38" s="16"/>
    </row>
    <row r="39" spans="1:81" ht="17.25" customHeight="1" x14ac:dyDescent="0.2">
      <c r="B39"/>
      <c r="C39"/>
      <c r="D39" s="26"/>
      <c r="E39"/>
      <c r="F39" s="26"/>
      <c r="G39"/>
      <c r="H39"/>
      <c r="I39"/>
      <c r="J39"/>
      <c r="K39"/>
      <c r="L39"/>
      <c r="M39"/>
      <c r="N39"/>
      <c r="O39"/>
      <c r="P39"/>
      <c r="V39"/>
      <c r="W39"/>
      <c r="X39" s="125" t="s">
        <v>122</v>
      </c>
      <c r="Y39" s="119" t="s">
        <v>42</v>
      </c>
      <c r="Z39" s="119"/>
      <c r="AA39" s="91">
        <f>'Geometria ECDRH'!M12</f>
        <v>70</v>
      </c>
      <c r="AB39" s="91">
        <f>'Geometria ECDRH'!N12</f>
        <v>95</v>
      </c>
      <c r="AC39" s="79" t="s">
        <v>15</v>
      </c>
      <c r="AL39" s="10"/>
      <c r="AM39" s="20"/>
      <c r="AN39" s="20"/>
      <c r="AO39" s="20"/>
      <c r="AP39" s="20"/>
      <c r="AQ39" s="20"/>
      <c r="AR39" s="21"/>
      <c r="AS39" s="17"/>
      <c r="AT39" s="16"/>
      <c r="AU39" s="16"/>
      <c r="AV39" s="16"/>
      <c r="AW39" s="16"/>
      <c r="AX39" s="16"/>
      <c r="AY39" s="16"/>
      <c r="AZ39" s="16"/>
      <c r="BA39" s="16"/>
      <c r="BB39" s="16"/>
      <c r="BC39" s="16"/>
    </row>
    <row r="40" spans="1:81" ht="17.25" customHeight="1" x14ac:dyDescent="0.2">
      <c r="B40"/>
      <c r="C40"/>
      <c r="D40" s="26"/>
      <c r="E40" s="26"/>
      <c r="F40"/>
      <c r="G40"/>
      <c r="H40" s="26"/>
      <c r="I40"/>
      <c r="J40" s="26"/>
      <c r="P40"/>
      <c r="V40"/>
      <c r="W40"/>
      <c r="X40" s="125"/>
      <c r="Y40" s="119" t="s">
        <v>43</v>
      </c>
      <c r="Z40" s="119"/>
      <c r="AA40" s="91">
        <f>'Geometria ECDRH'!M13</f>
        <v>40</v>
      </c>
      <c r="AB40" s="91">
        <f>'Geometria ECDRH'!N13</f>
        <v>50</v>
      </c>
      <c r="AC40" s="79" t="s">
        <v>15</v>
      </c>
      <c r="AL40" s="10"/>
      <c r="AM40" s="20"/>
      <c r="AN40" s="20"/>
      <c r="AO40" s="20"/>
      <c r="AP40" s="20"/>
      <c r="AQ40" s="20"/>
      <c r="AR40" s="21"/>
      <c r="AS40" s="17"/>
      <c r="AT40" s="16"/>
      <c r="AU40" s="16"/>
      <c r="AV40" s="16"/>
      <c r="AW40" s="16"/>
      <c r="AX40" s="16"/>
      <c r="AY40" s="16"/>
      <c r="AZ40" s="16"/>
      <c r="BA40" s="16"/>
      <c r="BB40" s="16"/>
      <c r="BC40" s="16"/>
    </row>
    <row r="41" spans="1:81" x14ac:dyDescent="0.2">
      <c r="A41" s="3"/>
      <c r="B41"/>
      <c r="C41"/>
      <c r="D41" s="26"/>
      <c r="E41"/>
      <c r="F41"/>
      <c r="G41"/>
      <c r="H41"/>
      <c r="I41"/>
      <c r="J41"/>
      <c r="P41"/>
      <c r="V41"/>
      <c r="W41"/>
      <c r="X41" s="125"/>
      <c r="Y41" s="119" t="s">
        <v>44</v>
      </c>
      <c r="Z41" s="119"/>
      <c r="AA41" s="91">
        <f>'Geometria ECDRH'!M14</f>
        <v>110</v>
      </c>
      <c r="AB41" s="91">
        <f>'Geometria ECDRH'!N14</f>
        <v>145</v>
      </c>
      <c r="AC41" s="79" t="s">
        <v>15</v>
      </c>
      <c r="AE41" s="19"/>
      <c r="AF41" s="19"/>
      <c r="AG41" s="19"/>
      <c r="AH41" s="19"/>
      <c r="AI41" s="19"/>
      <c r="AJ41" s="19"/>
      <c r="AK41" s="10"/>
      <c r="AL41" s="10"/>
    </row>
    <row r="42" spans="1:81" x14ac:dyDescent="0.2">
      <c r="B42"/>
      <c r="C42"/>
      <c r="D42" s="27"/>
      <c r="E42"/>
      <c r="F42"/>
      <c r="J42" s="26"/>
      <c r="P42"/>
      <c r="V42"/>
      <c r="W42"/>
      <c r="X42" s="125" t="s">
        <v>135</v>
      </c>
      <c r="Y42" s="119" t="s">
        <v>42</v>
      </c>
      <c r="Z42" s="119"/>
      <c r="AA42" s="91">
        <f>'Geometria ECDRH'!M15</f>
        <v>62</v>
      </c>
      <c r="AB42" s="91">
        <f>'Geometria ECDRH'!N15</f>
        <v>62</v>
      </c>
      <c r="AC42" s="79" t="s">
        <v>15</v>
      </c>
      <c r="AE42" s="19"/>
      <c r="AL42" s="22"/>
    </row>
    <row r="43" spans="1:81" ht="12.75" customHeight="1" x14ac:dyDescent="0.2">
      <c r="A43" s="2"/>
      <c r="B43"/>
      <c r="C43"/>
      <c r="D43"/>
      <c r="E43"/>
      <c r="F43"/>
      <c r="P43"/>
      <c r="V43"/>
      <c r="W43"/>
      <c r="X43" s="125"/>
      <c r="Y43" s="119" t="s">
        <v>43</v>
      </c>
      <c r="Z43" s="119"/>
      <c r="AA43" s="91">
        <f>'Geometria ECDRH'!M16</f>
        <v>120</v>
      </c>
      <c r="AB43" s="91">
        <f>'Geometria ECDRH'!N16</f>
        <v>120</v>
      </c>
      <c r="AC43" s="79" t="s">
        <v>15</v>
      </c>
      <c r="AE43" s="19"/>
      <c r="AF43" s="19"/>
      <c r="AG43" s="19"/>
      <c r="AH43" s="19"/>
      <c r="AI43" s="19"/>
      <c r="AJ43" s="19"/>
      <c r="AK43" s="10"/>
      <c r="AL43" s="10"/>
    </row>
    <row r="44" spans="1:81" x14ac:dyDescent="0.2">
      <c r="A44" s="2"/>
      <c r="B44"/>
      <c r="C44"/>
      <c r="D44"/>
      <c r="E44"/>
      <c r="F44"/>
      <c r="P44"/>
      <c r="Q44"/>
      <c r="R44"/>
      <c r="S44"/>
      <c r="T44"/>
      <c r="U44"/>
      <c r="V44"/>
      <c r="W44"/>
      <c r="X44" s="125"/>
      <c r="Y44" s="119" t="s">
        <v>44</v>
      </c>
      <c r="Z44" s="119"/>
      <c r="AA44" s="91">
        <f>'Geometria ECDRH'!M17</f>
        <v>182</v>
      </c>
      <c r="AB44" s="91">
        <f>'Geometria ECDRH'!N17</f>
        <v>182</v>
      </c>
      <c r="AC44" s="79" t="s">
        <v>15</v>
      </c>
      <c r="AE44" s="19"/>
      <c r="AF44" s="19"/>
      <c r="AG44" s="19"/>
      <c r="AH44" s="19"/>
      <c r="AI44" s="19"/>
      <c r="AJ44" s="19"/>
      <c r="AK44" s="10"/>
    </row>
    <row r="45" spans="1:81" x14ac:dyDescent="0.2">
      <c r="A45" s="2"/>
      <c r="B45"/>
      <c r="C45"/>
      <c r="D45"/>
      <c r="E45"/>
      <c r="F45"/>
      <c r="P45"/>
      <c r="Q45"/>
      <c r="R45"/>
      <c r="S45"/>
      <c r="T45"/>
      <c r="U45"/>
      <c r="V45"/>
      <c r="W45"/>
      <c r="X45" s="114" t="s">
        <v>100</v>
      </c>
      <c r="Y45" s="114"/>
      <c r="Z45" s="90" t="s">
        <v>62</v>
      </c>
      <c r="AA45" s="81">
        <f>'Geometria ECDRH'!M18</f>
        <v>3.8695331221221978</v>
      </c>
      <c r="AB45" s="81">
        <f>'Geometria ECDRH'!N18</f>
        <v>3.5367655508750735</v>
      </c>
      <c r="AC45" s="79" t="s">
        <v>0</v>
      </c>
      <c r="AE45" s="19"/>
      <c r="AF45" s="19"/>
      <c r="AG45" s="19"/>
      <c r="AH45" s="19"/>
      <c r="AI45" s="19"/>
      <c r="AJ45" s="19"/>
      <c r="AK45" s="10"/>
    </row>
    <row r="46" spans="1:81" ht="12.75" customHeight="1" x14ac:dyDescent="0.2">
      <c r="A46" s="2"/>
      <c r="B46"/>
      <c r="C46"/>
      <c r="D46"/>
      <c r="E46"/>
      <c r="F46"/>
      <c r="P46"/>
      <c r="Q46"/>
      <c r="R46"/>
      <c r="S46"/>
      <c r="T46"/>
      <c r="U46"/>
      <c r="V46"/>
      <c r="W46"/>
      <c r="X46" s="115"/>
      <c r="Y46" s="115"/>
      <c r="Z46" s="90" t="s">
        <v>63</v>
      </c>
      <c r="AA46" s="81">
        <f>'Geometria ECDRH'!M19</f>
        <v>3.799533122122198</v>
      </c>
      <c r="AB46" s="81">
        <f>'Geometria ECDRH'!N19</f>
        <v>3.4417655508750733</v>
      </c>
      <c r="AC46" s="79" t="s">
        <v>0</v>
      </c>
      <c r="AE46" s="19"/>
      <c r="AF46" s="19"/>
      <c r="AG46" s="19"/>
      <c r="AH46" s="19"/>
      <c r="AI46" s="19"/>
      <c r="AJ46" s="19"/>
      <c r="AK46" s="10"/>
    </row>
    <row r="47" spans="1:81" x14ac:dyDescent="0.2">
      <c r="A47" s="2"/>
      <c r="B47"/>
      <c r="C47"/>
      <c r="D47"/>
      <c r="E47"/>
      <c r="F47"/>
      <c r="P47"/>
      <c r="Q47"/>
      <c r="R47"/>
      <c r="S47"/>
      <c r="T47"/>
      <c r="U47"/>
      <c r="V47"/>
      <c r="W47"/>
      <c r="X47" s="116"/>
      <c r="Y47" s="116"/>
      <c r="Z47" s="90" t="s">
        <v>64</v>
      </c>
      <c r="AA47" s="81">
        <f>'Geometria ECDRH'!M20</f>
        <v>3.7595331221221979</v>
      </c>
      <c r="AB47" s="81">
        <f>'Geometria ECDRH'!N20</f>
        <v>3.3917655508750735</v>
      </c>
      <c r="AC47" s="79" t="s">
        <v>0</v>
      </c>
      <c r="AE47" s="19"/>
      <c r="AF47" s="19"/>
      <c r="AG47" s="19"/>
      <c r="AH47" s="19"/>
      <c r="AI47" s="19"/>
      <c r="AJ47" s="19"/>
      <c r="AK47" s="10"/>
    </row>
    <row r="48" spans="1:81" x14ac:dyDescent="0.2">
      <c r="A48" s="2"/>
      <c r="B48"/>
      <c r="C48"/>
      <c r="D48"/>
      <c r="E48"/>
      <c r="F48"/>
      <c r="P48"/>
      <c r="Q48"/>
      <c r="R48"/>
      <c r="S48"/>
      <c r="T48"/>
      <c r="U48"/>
      <c r="V48"/>
      <c r="W48"/>
      <c r="X48" s="90" t="s">
        <v>136</v>
      </c>
      <c r="Y48" s="90"/>
      <c r="Z48" s="90"/>
      <c r="AA48" s="81">
        <f>'Geometria ECDRH'!M24</f>
        <v>2.9857278318125386</v>
      </c>
      <c r="AB48" s="81">
        <f>'Geometria ECDRH'!N24</f>
        <v>2.4925116491985384</v>
      </c>
      <c r="AC48" s="79" t="s">
        <v>0</v>
      </c>
      <c r="AE48" s="19"/>
      <c r="AF48" s="19"/>
      <c r="AG48" s="19"/>
      <c r="AH48" s="19"/>
      <c r="AI48" s="19"/>
      <c r="AJ48" s="19"/>
      <c r="AK48" s="10"/>
    </row>
    <row r="49" spans="1:69" x14ac:dyDescent="0.2">
      <c r="A49" s="2"/>
      <c r="B49"/>
      <c r="C49"/>
      <c r="D49"/>
      <c r="E49"/>
      <c r="F49"/>
      <c r="P49"/>
      <c r="Q49"/>
      <c r="R49"/>
      <c r="S49"/>
      <c r="T49"/>
      <c r="U49"/>
      <c r="V49"/>
      <c r="W49"/>
      <c r="X49" s="114" t="s">
        <v>121</v>
      </c>
      <c r="Y49" s="114"/>
      <c r="Z49" s="90" t="s">
        <v>63</v>
      </c>
      <c r="AA49" s="81">
        <f>'Geometria ECDRH'!M25</f>
        <v>0.45191914515954423</v>
      </c>
      <c r="AB49" s="81">
        <f>'Geometria ECDRH'!N25</f>
        <v>0.20617956430589476</v>
      </c>
      <c r="AC49" s="79"/>
      <c r="AE49" s="19"/>
      <c r="AF49" s="19"/>
      <c r="AG49" s="19"/>
      <c r="AH49" s="19"/>
      <c r="AI49" s="19"/>
      <c r="AJ49" s="19"/>
      <c r="AK49" s="10"/>
    </row>
    <row r="50" spans="1:69" ht="12" customHeight="1" x14ac:dyDescent="0.2">
      <c r="A50" s="2"/>
      <c r="B50"/>
      <c r="C50"/>
      <c r="D50"/>
      <c r="E50"/>
      <c r="F50"/>
      <c r="P50"/>
      <c r="Q50"/>
      <c r="R50"/>
      <c r="S50"/>
      <c r="T50"/>
      <c r="U50"/>
      <c r="V50"/>
      <c r="W50"/>
      <c r="X50" s="116"/>
      <c r="Y50" s="116"/>
      <c r="Z50" s="90" t="s">
        <v>64</v>
      </c>
      <c r="AA50" s="81">
        <f>'Geometria ECDRH'!M26</f>
        <v>0.42444437096499799</v>
      </c>
      <c r="AB50" s="81">
        <f>'Geometria ECDRH'!N26</f>
        <v>0.17183609656271209</v>
      </c>
      <c r="AC50" s="79"/>
      <c r="AF50" s="19"/>
      <c r="AG50" s="19"/>
      <c r="AH50" s="19"/>
      <c r="AI50" s="19"/>
      <c r="AJ50" s="19"/>
    </row>
    <row r="51" spans="1:69" x14ac:dyDescent="0.2">
      <c r="A51" s="2"/>
      <c r="B51"/>
      <c r="C51"/>
      <c r="D51"/>
      <c r="E51"/>
      <c r="F51"/>
      <c r="P51"/>
      <c r="Q51"/>
      <c r="R51"/>
      <c r="S51"/>
      <c r="T51"/>
      <c r="U51"/>
      <c r="V51"/>
      <c r="W51"/>
      <c r="X51" s="174" t="s">
        <v>47</v>
      </c>
      <c r="Y51" s="174"/>
      <c r="Z51" s="109" t="s">
        <v>50</v>
      </c>
      <c r="AA51" s="110">
        <f>'Geometria ECDRH'!M29</f>
        <v>5.0368827622461314</v>
      </c>
      <c r="AB51" s="110">
        <f>'Geometria ECDRH'!N29</f>
        <v>9.6885471183544958</v>
      </c>
      <c r="AC51" s="111"/>
      <c r="AF51" s="19"/>
      <c r="AG51" s="19"/>
      <c r="AH51" s="19"/>
      <c r="AI51" s="19"/>
      <c r="AJ51" s="19"/>
    </row>
    <row r="52" spans="1:69" x14ac:dyDescent="0.2">
      <c r="A52" s="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 s="175"/>
      <c r="Y52" s="175"/>
      <c r="Z52" s="109" t="s">
        <v>51</v>
      </c>
      <c r="AA52" s="112">
        <f>'Geometria ECDRH'!M30</f>
        <v>5</v>
      </c>
      <c r="AB52" s="112">
        <f>'Geometria ECDRH'!N30</f>
        <v>10</v>
      </c>
      <c r="AC52" s="111"/>
      <c r="AF52" s="19"/>
      <c r="AG52" s="19"/>
      <c r="AH52" s="19"/>
      <c r="AI52" s="19"/>
      <c r="AJ52" s="19"/>
      <c r="AO52" s="11"/>
      <c r="AQ52" s="19"/>
      <c r="AR52" s="19"/>
    </row>
    <row r="53" spans="1:69" x14ac:dyDescent="0.2">
      <c r="A53" s="2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 s="175"/>
      <c r="Y53" s="175"/>
      <c r="Z53" s="109" t="s">
        <v>48</v>
      </c>
      <c r="AA53" s="110">
        <f>'Geometria ECDRH'!M31</f>
        <v>28.180890937861879</v>
      </c>
      <c r="AB53" s="110">
        <f>'Geometria ECDRH'!N31</f>
        <v>58.626396373484397</v>
      </c>
      <c r="AC53" s="111" t="s">
        <v>0</v>
      </c>
      <c r="AF53" s="19"/>
      <c r="AG53" s="19"/>
      <c r="AH53" s="19"/>
      <c r="AI53" s="19"/>
      <c r="AJ53" s="19"/>
      <c r="AP53" s="19"/>
      <c r="AQ53" s="19"/>
    </row>
    <row r="54" spans="1:69" x14ac:dyDescent="0.2">
      <c r="A54" s="2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 s="175"/>
      <c r="Y54" s="175"/>
      <c r="Z54" s="177" t="s">
        <v>49</v>
      </c>
      <c r="AA54" s="110">
        <f>'Geometria ECDRH'!M32</f>
        <v>28.115112454406862</v>
      </c>
      <c r="AB54" s="110">
        <f>'Geometria ECDRH'!N32</f>
        <v>58.53712557450973</v>
      </c>
      <c r="AC54" s="111" t="s">
        <v>0</v>
      </c>
      <c r="AF54" s="19"/>
      <c r="AG54" s="19"/>
      <c r="AH54" s="19"/>
      <c r="AI54" s="19"/>
      <c r="AJ54" s="19"/>
      <c r="AP54" s="19"/>
      <c r="AQ54" s="19"/>
    </row>
    <row r="55" spans="1:69" x14ac:dyDescent="0.2">
      <c r="A55" s="2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 s="175"/>
      <c r="Y55" s="175"/>
      <c r="Z55" s="177"/>
      <c r="AA55" s="110">
        <f>'Geometria ECDRH'!M33</f>
        <v>28.077524749575428</v>
      </c>
      <c r="AB55" s="110">
        <f>'Geometria ECDRH'!N33</f>
        <v>58.490140943470436</v>
      </c>
      <c r="AC55" s="111" t="s">
        <v>0</v>
      </c>
      <c r="AF55" s="19"/>
      <c r="AG55" s="19"/>
      <c r="AH55" s="19"/>
      <c r="AI55" s="19"/>
      <c r="AJ55" s="19"/>
      <c r="AP55" s="19"/>
      <c r="AQ55" s="19"/>
    </row>
    <row r="56" spans="1:69" ht="12.75" customHeight="1" x14ac:dyDescent="0.2">
      <c r="A56" s="2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 s="175"/>
      <c r="Y56" s="175"/>
      <c r="Z56" s="177" t="s">
        <v>97</v>
      </c>
      <c r="AA56" s="110">
        <f>'Geometria ECDRH'!M34</f>
        <v>-0.10336618828645072</v>
      </c>
      <c r="AB56" s="110">
        <f>'Geometria ECDRH'!N34</f>
        <v>-0.13625543001396068</v>
      </c>
      <c r="AC56" s="111" t="s">
        <v>0</v>
      </c>
      <c r="AF56" s="19"/>
      <c r="AG56" s="19"/>
      <c r="AH56" s="19"/>
      <c r="AI56" s="19"/>
      <c r="AJ56" s="19"/>
    </row>
    <row r="57" spans="1:69" x14ac:dyDescent="0.2">
      <c r="A57" s="2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 s="176"/>
      <c r="Y57" s="176"/>
      <c r="Z57" s="177"/>
      <c r="AA57" s="110">
        <f>'Geometria ECDRH'!M35</f>
        <v>-6.5778483455016357E-2</v>
      </c>
      <c r="AB57" s="110">
        <f>'Geometria ECDRH'!N35</f>
        <v>-8.9270798974666832E-2</v>
      </c>
      <c r="AC57" s="111" t="s">
        <v>0</v>
      </c>
      <c r="AF57" s="19"/>
      <c r="AG57" s="19"/>
      <c r="AH57" s="19"/>
      <c r="AI57" s="19"/>
      <c r="AJ57" s="19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</row>
    <row r="58" spans="1:69" x14ac:dyDescent="0.2">
      <c r="A58" s="2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 s="90" t="s">
        <v>82</v>
      </c>
      <c r="Y58" s="90"/>
      <c r="Z58" s="90"/>
      <c r="AA58" s="120">
        <f>'Geometria ECDRH'!BI15</f>
        <v>15.978561259758463</v>
      </c>
      <c r="AB58" s="120"/>
      <c r="AC58" s="92" t="s">
        <v>145</v>
      </c>
      <c r="AF58" s="19"/>
      <c r="AG58" s="19"/>
      <c r="AH58" s="19"/>
      <c r="AI58" s="19"/>
      <c r="AJ58" s="19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</row>
    <row r="59" spans="1:69" x14ac:dyDescent="0.2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 s="90" t="s">
        <v>18</v>
      </c>
      <c r="Y59" s="90"/>
      <c r="Z59" s="90"/>
      <c r="AA59" s="81">
        <f>'Geometria ECDRH'!M27</f>
        <v>-0.93077225096620553</v>
      </c>
      <c r="AB59" s="81">
        <f>'Geometria ECDRH'!N27</f>
        <v>-3.5051352522544796</v>
      </c>
      <c r="AC59" s="87" t="str">
        <f>'Geometria ECDRH'!O27</f>
        <v>Ok!</v>
      </c>
      <c r="AF59" s="19"/>
      <c r="AG59" s="19"/>
      <c r="AH59" s="19"/>
      <c r="AI59" s="19"/>
      <c r="AJ59" s="19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</row>
    <row r="60" spans="1:69" x14ac:dyDescent="0.2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 s="119" t="str">
        <f>CONCATENATE("Espessura na cabeça ( mínimo = 0,4 x mn = ",AA15*0.4," mm )")</f>
        <v>Espessura na cabeça ( mínimo = 0,4 x mn = 0.8 mm )</v>
      </c>
      <c r="Y60" s="119"/>
      <c r="Z60" s="119"/>
      <c r="AA60" s="81">
        <f>'Geometria ECDRH'!M28</f>
        <v>1.363505708797482</v>
      </c>
      <c r="AB60" s="81">
        <f>'Geometria ECDRH'!N28</f>
        <v>1.6529473762105182</v>
      </c>
      <c r="AC60" s="87" t="str">
        <f>'Geometria ECDRH'!O28</f>
        <v>Ok!</v>
      </c>
      <c r="AF60" s="19"/>
      <c r="AG60" s="19"/>
      <c r="AH60" s="19"/>
      <c r="AI60" s="19"/>
      <c r="AJ60" s="19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</row>
    <row r="61" spans="1:69" x14ac:dyDescent="0.2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 s="122" t="s">
        <v>52</v>
      </c>
      <c r="Y61" s="122" t="s">
        <v>53</v>
      </c>
      <c r="Z61" s="122"/>
      <c r="AA61" s="86">
        <f>'Geometria ECDRH'!S10</f>
        <v>3.7112021759257363</v>
      </c>
      <c r="AB61" s="86">
        <f>'Geometria ECDRH'!T10</f>
        <v>3.4274453378947234</v>
      </c>
      <c r="AC61" s="93" t="s">
        <v>0</v>
      </c>
      <c r="AF61" s="19"/>
      <c r="AG61" s="19"/>
      <c r="AH61" s="19"/>
      <c r="AI61" s="19"/>
      <c r="AJ61" s="19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</row>
    <row r="62" spans="1:69" x14ac:dyDescent="0.2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 s="122"/>
      <c r="Y62" s="122" t="s">
        <v>54</v>
      </c>
      <c r="Z62" s="122"/>
      <c r="AA62" s="86">
        <f>'Geometria ECDRH'!S11</f>
        <v>3.5</v>
      </c>
      <c r="AB62" s="86">
        <f>'Geometria ECDRH'!T11</f>
        <v>3.5</v>
      </c>
      <c r="AC62" s="93" t="s">
        <v>0</v>
      </c>
      <c r="AF62" s="19"/>
      <c r="AG62" s="19"/>
      <c r="AH62" s="19"/>
      <c r="AI62" s="19"/>
      <c r="AJ62" s="19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</row>
    <row r="63" spans="1:69" x14ac:dyDescent="0.2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 s="122"/>
      <c r="Y63" s="122" t="s">
        <v>55</v>
      </c>
      <c r="Z63" s="122"/>
      <c r="AA63" s="94">
        <f>'Geometria ECDRH'!S12</f>
        <v>68.739437394808689</v>
      </c>
      <c r="AB63" s="94">
        <f>'Geometria ECDRH'!T12</f>
        <v>150.97798178438714</v>
      </c>
      <c r="AC63" s="93" t="s">
        <v>0</v>
      </c>
      <c r="AF63" s="19"/>
      <c r="AG63" s="19"/>
      <c r="AH63" s="19"/>
      <c r="AI63" s="19"/>
      <c r="AJ63" s="19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</row>
    <row r="64" spans="1:69" ht="12.75" customHeight="1" x14ac:dyDescent="0.2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 s="122"/>
      <c r="Y64" s="122" t="s">
        <v>56</v>
      </c>
      <c r="Z64" s="122"/>
      <c r="AA64" s="94">
        <f>'Geometria ECDRH'!S13</f>
        <v>68.589413350598434</v>
      </c>
      <c r="AB64" s="94">
        <f>'Geometria ECDRH'!T13</f>
        <v>150.74259502742885</v>
      </c>
      <c r="AC64" s="93" t="s">
        <v>0</v>
      </c>
      <c r="AF64" s="19"/>
      <c r="AG64" s="19"/>
      <c r="AH64" s="19"/>
      <c r="AI64" s="19"/>
      <c r="AJ64" s="19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</row>
    <row r="65" spans="2:69" x14ac:dyDescent="0.2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 s="122"/>
      <c r="Y65" s="122"/>
      <c r="Z65" s="122"/>
      <c r="AA65" s="94">
        <f>'Geometria ECDRH'!S14</f>
        <v>68.503072049925095</v>
      </c>
      <c r="AB65" s="94">
        <f>'Geometria ECDRH'!T14</f>
        <v>150.61785868311779</v>
      </c>
      <c r="AC65" s="93" t="s">
        <v>0</v>
      </c>
      <c r="AF65" s="19"/>
      <c r="AG65" s="19"/>
      <c r="AH65" s="19"/>
      <c r="AI65" s="19"/>
      <c r="AJ65" s="19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</row>
    <row r="66" spans="2:69" x14ac:dyDescent="0.2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U66"/>
      <c r="V66"/>
      <c r="W66"/>
      <c r="X66" s="122"/>
      <c r="Y66" s="122" t="s">
        <v>96</v>
      </c>
      <c r="Z66" s="122"/>
      <c r="AA66" s="94">
        <f>'Geometria ECDRH'!S15</f>
        <v>-0.23636534488359473</v>
      </c>
      <c r="AB66" s="94">
        <f>'Geometria ECDRH'!T15</f>
        <v>-0.36012310126935176</v>
      </c>
      <c r="AC66" s="93" t="s">
        <v>0</v>
      </c>
      <c r="AF66" s="19"/>
      <c r="AG66" s="19"/>
      <c r="AH66" s="19"/>
      <c r="AI66" s="19"/>
      <c r="AJ66" s="19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</row>
    <row r="67" spans="2:69" x14ac:dyDescent="0.2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 s="122"/>
      <c r="Y67" s="122"/>
      <c r="Z67" s="122"/>
      <c r="AA67" s="94">
        <f>'Geometria ECDRH'!S16</f>
        <v>-0.15002404421025517</v>
      </c>
      <c r="AB67" s="94">
        <f>'Geometria ECDRH'!T16</f>
        <v>-0.2353867569582917</v>
      </c>
      <c r="AC67" s="93" t="s">
        <v>0</v>
      </c>
      <c r="AF67" s="19"/>
      <c r="AG67" s="19"/>
      <c r="AH67" s="19"/>
      <c r="AI67" s="19"/>
      <c r="AJ67" s="19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</row>
    <row r="68" spans="2:69" x14ac:dyDescent="0.2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 s="119" t="s">
        <v>38</v>
      </c>
      <c r="Y68" s="119"/>
      <c r="Z68" s="119"/>
      <c r="AA68" s="172">
        <f>'Geometria ECDRH'!S17</f>
        <v>0.3</v>
      </c>
      <c r="AB68" s="172"/>
      <c r="AC68" s="79" t="s">
        <v>0</v>
      </c>
      <c r="AF68" s="19"/>
      <c r="AG68" s="19"/>
      <c r="AH68" s="19"/>
      <c r="AI68" s="19"/>
      <c r="AJ68" s="19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</row>
    <row r="69" spans="2:69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 s="125" t="s">
        <v>124</v>
      </c>
      <c r="Y69" s="119" t="s">
        <v>57</v>
      </c>
      <c r="Z69" s="119"/>
      <c r="AA69" s="121">
        <f>'Geometria ECDRH'!S18</f>
        <v>1.2188852587382577</v>
      </c>
      <c r="AB69" s="121"/>
      <c r="AC69" s="79"/>
      <c r="AF69" s="19"/>
      <c r="AG69" s="19"/>
      <c r="AH69" s="19"/>
      <c r="AI69" s="19"/>
      <c r="AJ69" s="19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</row>
    <row r="70" spans="2:69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 s="125"/>
      <c r="Y70" s="119" t="s">
        <v>59</v>
      </c>
      <c r="Z70" s="119"/>
      <c r="AA70" s="121">
        <f>'Geometria ECDRH'!S19</f>
        <v>7.9969779073357055</v>
      </c>
      <c r="AB70" s="121"/>
      <c r="AC70" s="79"/>
      <c r="AF70" s="19"/>
      <c r="AG70" s="19"/>
      <c r="AH70" s="19"/>
      <c r="AI70" s="19"/>
      <c r="AJ70" s="19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</row>
    <row r="71" spans="2:69" x14ac:dyDescent="0.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 s="125"/>
      <c r="Y71" s="119" t="s">
        <v>58</v>
      </c>
      <c r="Z71" s="119"/>
      <c r="AA71" s="121">
        <f>'Geometria ECDRH'!S20</f>
        <v>9.2158631660739623</v>
      </c>
      <c r="AB71" s="121"/>
      <c r="AC71" s="95" t="str">
        <f>ver_grau_rec_hel(AA71)</f>
        <v>Ok!</v>
      </c>
      <c r="AF71" s="19"/>
      <c r="AG71" s="19"/>
      <c r="AH71" s="19"/>
      <c r="AI71" s="19"/>
      <c r="AJ71" s="19"/>
      <c r="AR71" s="19"/>
      <c r="AS71" s="19"/>
      <c r="AT71" s="19"/>
      <c r="AU71" s="19"/>
      <c r="AV71" s="19"/>
      <c r="AW71" s="19"/>
      <c r="AX71" s="19"/>
      <c r="AY71" s="19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</row>
    <row r="72" spans="2:69" x14ac:dyDescent="0.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 s="119" t="s">
        <v>123</v>
      </c>
      <c r="Y72" s="119"/>
      <c r="Z72" s="119"/>
      <c r="AA72" s="81">
        <f>'Geometria ECDRH'!S22</f>
        <v>3.5999999999999997E-2</v>
      </c>
      <c r="AB72" s="81">
        <f>'Geometria ECDRH'!T22</f>
        <v>0</v>
      </c>
      <c r="AC72" s="79" t="s">
        <v>0</v>
      </c>
      <c r="AF72" s="19"/>
      <c r="AG72" s="19"/>
      <c r="AH72" s="19"/>
      <c r="AI72" s="19"/>
      <c r="AJ72" s="19"/>
      <c r="AR72" s="19"/>
      <c r="AS72" s="19"/>
      <c r="AT72" s="19"/>
      <c r="AU72" s="19"/>
      <c r="AV72" s="19"/>
      <c r="AW72" s="19"/>
      <c r="AX72" s="19"/>
      <c r="AY72" s="19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</row>
    <row r="73" spans="2:69" x14ac:dyDescent="0.2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 s="125" t="s">
        <v>68</v>
      </c>
      <c r="Y73" s="119" t="s">
        <v>66</v>
      </c>
      <c r="Z73" s="119"/>
      <c r="AA73" s="81">
        <f>'Geometria ECDRH'!S23</f>
        <v>0.17082056976766369</v>
      </c>
      <c r="AB73" s="81">
        <f>'Geometria ECDRH'!T23</f>
        <v>0.26399542600457115</v>
      </c>
      <c r="AC73" s="79" t="s">
        <v>0</v>
      </c>
      <c r="AE73" s="9"/>
      <c r="AF73" s="19"/>
      <c r="AG73" s="19"/>
      <c r="AH73" s="19"/>
      <c r="AI73" s="19"/>
      <c r="AJ73" s="19"/>
      <c r="AR73" s="19"/>
      <c r="AS73" s="19"/>
      <c r="AT73" s="19"/>
      <c r="AU73" s="19"/>
      <c r="AV73" s="19"/>
      <c r="AW73" s="19"/>
      <c r="AX73" s="19"/>
      <c r="AY73" s="19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</row>
    <row r="74" spans="2:69" x14ac:dyDescent="0.2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 s="125"/>
      <c r="Y74" s="119" t="s">
        <v>67</v>
      </c>
      <c r="Z74" s="119"/>
      <c r="AA74" s="81">
        <f>'Geometria ECDRH'!S24</f>
        <v>2.7130299401813548E-2</v>
      </c>
      <c r="AB74" s="81">
        <f>'Geometria ECDRH'!T24</f>
        <v>0</v>
      </c>
      <c r="AC74" s="79" t="s">
        <v>0</v>
      </c>
      <c r="AF74" s="19"/>
      <c r="AG74" s="19"/>
      <c r="AH74" s="19"/>
      <c r="AI74" s="19"/>
      <c r="AJ74" s="19"/>
      <c r="AR74" s="19"/>
      <c r="AS74" s="19"/>
      <c r="AT74" s="19"/>
      <c r="AU74" s="19"/>
      <c r="AV74" s="19"/>
      <c r="AW74" s="19"/>
      <c r="AX74" s="19"/>
      <c r="AY74" s="19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</row>
    <row r="75" spans="2:69" x14ac:dyDescent="0.2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 s="125"/>
      <c r="Y75" s="119" t="s">
        <v>69</v>
      </c>
      <c r="Z75" s="119"/>
      <c r="AA75" s="81">
        <f>'Geometria ECDRH'!S25</f>
        <v>0.19795086916947724</v>
      </c>
      <c r="AB75" s="81">
        <f>'Geometria ECDRH'!T25</f>
        <v>0.26399542600457115</v>
      </c>
      <c r="AC75" s="79" t="s">
        <v>0</v>
      </c>
      <c r="AF75" s="19"/>
      <c r="AG75" s="19"/>
      <c r="AH75" s="19"/>
      <c r="AI75" s="19"/>
      <c r="AJ75" s="19"/>
      <c r="AR75" s="19"/>
      <c r="AS75" s="19"/>
      <c r="AT75" s="19"/>
      <c r="AU75" s="19"/>
      <c r="AV75" s="19"/>
      <c r="AW75" s="19"/>
      <c r="AX75" s="19"/>
      <c r="AY75" s="19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</row>
    <row r="76" spans="2:69" x14ac:dyDescent="0.2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 s="96" t="s">
        <v>70</v>
      </c>
      <c r="Y76" s="96"/>
      <c r="Z76" s="90"/>
      <c r="AA76" s="81">
        <f>'Geometria ECDRH'!S26</f>
        <v>0.17967473274912302</v>
      </c>
      <c r="AB76" s="81">
        <f>'Geometria ECDRH'!T26</f>
        <v>0.23962161830040662</v>
      </c>
      <c r="AC76" s="79" t="s">
        <v>0</v>
      </c>
      <c r="AE76" s="10"/>
      <c r="AF76" s="19"/>
      <c r="AG76" s="19"/>
      <c r="AH76" s="19"/>
      <c r="AI76" s="19"/>
      <c r="AJ76" s="19"/>
      <c r="AR76" s="19"/>
      <c r="AS76" s="19"/>
      <c r="AT76" s="19"/>
      <c r="AU76" s="19"/>
      <c r="AV76" s="19"/>
      <c r="AW76" s="19"/>
      <c r="AX76" s="19"/>
      <c r="AY76" s="19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</row>
    <row r="77" spans="2:69" x14ac:dyDescent="0.2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 s="114" t="s">
        <v>74</v>
      </c>
      <c r="Y77" s="114"/>
      <c r="Z77" s="114"/>
      <c r="AA77" s="114"/>
      <c r="AB77" s="114"/>
      <c r="AC77" s="114"/>
      <c r="AE77" s="10"/>
      <c r="AR77" s="19"/>
      <c r="AS77" s="19"/>
      <c r="AT77" s="19"/>
      <c r="AU77" s="19"/>
      <c r="AV77" s="19"/>
      <c r="AW77" s="19"/>
      <c r="AX77" s="19"/>
      <c r="AY77" s="19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</row>
    <row r="78" spans="2:69" x14ac:dyDescent="0.2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 s="116"/>
      <c r="Y78" s="116"/>
      <c r="Z78" s="116"/>
      <c r="AA78" s="116"/>
      <c r="AB78" s="116"/>
      <c r="AC78" s="116"/>
      <c r="AE78" s="10"/>
      <c r="AL78" s="10"/>
      <c r="AM78" s="10"/>
      <c r="AN78" s="10"/>
      <c r="AO78" s="10"/>
      <c r="AP78" s="10"/>
      <c r="AQ78" s="10"/>
      <c r="AR78" s="19"/>
      <c r="AS78" s="19"/>
      <c r="AT78" s="19"/>
      <c r="AU78" s="19"/>
      <c r="AV78" s="19"/>
      <c r="AW78" s="19"/>
      <c r="AX78" s="19"/>
      <c r="AY78" s="19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</row>
    <row r="79" spans="2:69" x14ac:dyDescent="0.2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AE79" s="10"/>
      <c r="AN79" s="11"/>
      <c r="AO79" s="11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</row>
    <row r="80" spans="2:69" x14ac:dyDescent="0.2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AE80" s="10"/>
      <c r="AN80" s="11"/>
      <c r="AO80" s="11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</row>
    <row r="81" spans="2:69" ht="12.75" customHeight="1" x14ac:dyDescent="0.2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AN81" s="11"/>
      <c r="AO81" s="11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</row>
    <row r="82" spans="2:69" x14ac:dyDescent="0.2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AN82" s="11"/>
      <c r="AO82" s="11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</row>
    <row r="83" spans="2:69" x14ac:dyDescent="0.2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</row>
    <row r="84" spans="2:69" x14ac:dyDescent="0.2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</row>
    <row r="85" spans="2:69" ht="12.75" customHeight="1" x14ac:dyDescent="0.2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</row>
    <row r="86" spans="2:69" x14ac:dyDescent="0.2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</row>
    <row r="87" spans="2:69" x14ac:dyDescent="0.2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2:69" x14ac:dyDescent="0.2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2:69" x14ac:dyDescent="0.2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2:69" x14ac:dyDescent="0.2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2:69" x14ac:dyDescent="0.2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2:69" x14ac:dyDescent="0.2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2:69" x14ac:dyDescent="0.2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2:69" x14ac:dyDescent="0.2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2:69" x14ac:dyDescent="0.2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AG95" s="14"/>
      <c r="AH95" s="14"/>
      <c r="AI95" s="14"/>
      <c r="AJ95" s="14"/>
      <c r="AK95" s="14"/>
      <c r="AL95" s="14"/>
    </row>
    <row r="96" spans="2:69" x14ac:dyDescent="0.2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AG96" s="14"/>
      <c r="AH96" s="14"/>
      <c r="AI96" s="14"/>
      <c r="AJ96" s="14"/>
      <c r="AK96" s="14"/>
      <c r="AL96" s="14"/>
    </row>
    <row r="97" spans="2:38" x14ac:dyDescent="0.2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AG97" s="14"/>
      <c r="AH97" s="14"/>
      <c r="AI97" s="14"/>
      <c r="AJ97" s="14"/>
      <c r="AK97" s="14"/>
      <c r="AL97" s="14"/>
    </row>
    <row r="98" spans="2:38" x14ac:dyDescent="0.2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AG98" s="14"/>
      <c r="AH98" s="14"/>
      <c r="AI98" s="14"/>
      <c r="AJ98" s="14"/>
      <c r="AK98" s="14"/>
      <c r="AL98" s="14"/>
    </row>
    <row r="99" spans="2:38" x14ac:dyDescent="0.2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2:38" x14ac:dyDescent="0.2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2:38" x14ac:dyDescent="0.2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2:38" x14ac:dyDescent="0.2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2:38" x14ac:dyDescent="0.2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2:38" x14ac:dyDescent="0.2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2:38" x14ac:dyDescent="0.2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2:38" x14ac:dyDescent="0.2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2:38" x14ac:dyDescent="0.2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2:38" x14ac:dyDescent="0.2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2:38" x14ac:dyDescent="0.2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2:38" x14ac:dyDescent="0.2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2:38" x14ac:dyDescent="0.2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2:38" ht="18" customHeight="1" x14ac:dyDescent="0.2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2:30" ht="18" customHeight="1" x14ac:dyDescent="0.2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2:30" ht="18" customHeight="1" x14ac:dyDescent="0.2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2:30" ht="18" customHeight="1" x14ac:dyDescent="0.2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2:30" ht="18" customHeight="1" x14ac:dyDescent="0.2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2:30" ht="18" customHeight="1" x14ac:dyDescent="0.2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2:30" ht="18" customHeight="1" x14ac:dyDescent="0.2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Y118" s="74"/>
      <c r="Z118" s="74"/>
      <c r="AA118" s="74"/>
      <c r="AB118" s="74"/>
      <c r="AC118" s="74"/>
      <c r="AD118" s="98"/>
    </row>
    <row r="119" spans="2:30" ht="18" customHeight="1" x14ac:dyDescent="0.2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Y119" s="74"/>
      <c r="Z119" s="74"/>
      <c r="AA119" s="74"/>
      <c r="AB119" s="74"/>
      <c r="AC119" s="74"/>
      <c r="AD119" s="98"/>
    </row>
    <row r="120" spans="2:30" ht="18" customHeight="1" x14ac:dyDescent="0.2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Y120" s="74"/>
      <c r="Z120" s="74"/>
      <c r="AA120" s="74"/>
      <c r="AB120" s="74"/>
      <c r="AC120" s="74"/>
      <c r="AD120" s="98"/>
    </row>
    <row r="121" spans="2:30" ht="18" customHeight="1" x14ac:dyDescent="0.2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Y121" s="74"/>
      <c r="Z121" s="74"/>
      <c r="AA121" s="74"/>
      <c r="AB121" s="74"/>
      <c r="AC121" s="74"/>
      <c r="AD121" s="98"/>
    </row>
    <row r="122" spans="2:30" ht="18" customHeight="1" x14ac:dyDescent="0.2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Y122" s="74"/>
      <c r="Z122" s="74"/>
      <c r="AA122" s="74"/>
      <c r="AB122" s="74"/>
      <c r="AC122" s="74"/>
      <c r="AD122" s="98"/>
    </row>
    <row r="123" spans="2:30" ht="18" customHeight="1" x14ac:dyDescent="0.2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Y123" s="74"/>
      <c r="Z123" s="74"/>
      <c r="AA123" s="74"/>
      <c r="AB123" s="74"/>
      <c r="AC123" s="74"/>
      <c r="AD123" s="98"/>
    </row>
    <row r="124" spans="2:30" ht="18" customHeight="1" x14ac:dyDescent="0.2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Y124" s="74"/>
      <c r="Z124" s="74"/>
      <c r="AA124" s="74"/>
      <c r="AB124" s="74"/>
      <c r="AC124" s="74"/>
      <c r="AD124" s="98"/>
    </row>
    <row r="125" spans="2:30" ht="18" customHeight="1" x14ac:dyDescent="0.2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Y125" s="74"/>
      <c r="Z125" s="74"/>
      <c r="AA125" s="74"/>
      <c r="AB125" s="74"/>
      <c r="AC125" s="74"/>
      <c r="AD125" s="98"/>
    </row>
    <row r="126" spans="2:30" ht="18" customHeight="1" x14ac:dyDescent="0.2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Y126" s="74"/>
      <c r="Z126" s="74"/>
      <c r="AA126" s="74"/>
      <c r="AB126" s="74"/>
      <c r="AC126" s="74"/>
      <c r="AD126" s="98"/>
    </row>
    <row r="127" spans="2:30" ht="18" customHeight="1" x14ac:dyDescent="0.2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2:30" x14ac:dyDescent="0.2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2:23" x14ac:dyDescent="0.2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2:23" x14ac:dyDescent="0.2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2:23" x14ac:dyDescent="0.2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2:23" x14ac:dyDescent="0.2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2:23" x14ac:dyDescent="0.2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2:23" x14ac:dyDescent="0.2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2:23" x14ac:dyDescent="0.2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2:23" x14ac:dyDescent="0.2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2:23" x14ac:dyDescent="0.2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2:23" x14ac:dyDescent="0.2"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2:23" x14ac:dyDescent="0.2"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2:23" x14ac:dyDescent="0.2"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2:23" x14ac:dyDescent="0.2"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2:23" x14ac:dyDescent="0.2"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2:23" x14ac:dyDescent="0.2"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2:23" x14ac:dyDescent="0.2"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3:20" x14ac:dyDescent="0.2"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3:20" x14ac:dyDescent="0.2"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3:20" x14ac:dyDescent="0.2"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3:20" x14ac:dyDescent="0.2"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3:20" x14ac:dyDescent="0.2"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3:20" x14ac:dyDescent="0.2"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3:20" x14ac:dyDescent="0.2"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3:20" x14ac:dyDescent="0.2"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3:20" x14ac:dyDescent="0.2"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3:20" x14ac:dyDescent="0.2"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3:20" x14ac:dyDescent="0.2"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3:20" x14ac:dyDescent="0.2"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3:20" x14ac:dyDescent="0.2"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3:20" x14ac:dyDescent="0.2"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3:20" x14ac:dyDescent="0.2"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3:20" x14ac:dyDescent="0.2"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2:32" x14ac:dyDescent="0.2"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2:32" x14ac:dyDescent="0.2"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2:32" x14ac:dyDescent="0.2"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2:32" x14ac:dyDescent="0.2"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2:32" x14ac:dyDescent="0.2"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2:32" x14ac:dyDescent="0.2"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2:32" x14ac:dyDescent="0.2"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2:32" x14ac:dyDescent="0.2"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2:32" x14ac:dyDescent="0.2"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Y169" s="97"/>
    </row>
    <row r="170" spans="2:32" x14ac:dyDescent="0.2"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Y170" s="97"/>
    </row>
    <row r="171" spans="2:32" x14ac:dyDescent="0.2"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2:32" x14ac:dyDescent="0.2"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2:32" ht="18" customHeight="1" x14ac:dyDescent="0.2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Y173" s="74"/>
      <c r="Z173" s="74"/>
      <c r="AA173" s="74"/>
      <c r="AB173" s="74"/>
      <c r="AC173" s="74"/>
      <c r="AD173" s="98"/>
      <c r="AE173" s="19"/>
      <c r="AF173" s="19"/>
    </row>
    <row r="174" spans="2:32" ht="18" customHeight="1" x14ac:dyDescent="0.2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Y174" s="74"/>
      <c r="Z174" s="74"/>
      <c r="AA174" s="74"/>
      <c r="AB174" s="74"/>
      <c r="AC174" s="74"/>
      <c r="AD174" s="98"/>
      <c r="AE174" s="19"/>
      <c r="AF174" s="19"/>
    </row>
    <row r="175" spans="2:32" ht="18" customHeight="1" x14ac:dyDescent="0.2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Y175" s="74"/>
      <c r="Z175" s="74"/>
      <c r="AA175" s="74"/>
      <c r="AB175" s="74"/>
      <c r="AC175" s="74"/>
      <c r="AD175" s="98"/>
      <c r="AE175" s="19"/>
      <c r="AF175" s="19"/>
    </row>
    <row r="176" spans="2:32" ht="18" customHeight="1" x14ac:dyDescent="0.2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Y176" s="74"/>
      <c r="Z176" s="74"/>
      <c r="AA176" s="74"/>
      <c r="AB176" s="74"/>
      <c r="AC176" s="74"/>
      <c r="AD176" s="98"/>
      <c r="AE176" s="19"/>
      <c r="AF176" s="19"/>
    </row>
    <row r="177" spans="2:32" ht="18" customHeight="1" x14ac:dyDescent="0.2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Y177" s="74"/>
      <c r="Z177" s="74"/>
      <c r="AA177" s="74"/>
      <c r="AB177" s="74"/>
      <c r="AC177" s="74"/>
      <c r="AD177" s="98"/>
      <c r="AE177" s="19"/>
      <c r="AF177" s="19"/>
    </row>
    <row r="178" spans="2:32" ht="18" customHeight="1" x14ac:dyDescent="0.2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Y178" s="74"/>
      <c r="Z178" s="74"/>
      <c r="AA178" s="74"/>
      <c r="AB178" s="74"/>
      <c r="AC178" s="74"/>
      <c r="AD178" s="98"/>
      <c r="AE178" s="19"/>
      <c r="AF178" s="19"/>
    </row>
    <row r="179" spans="2:32" ht="18" customHeight="1" x14ac:dyDescent="0.2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Y179" s="74"/>
      <c r="Z179" s="74"/>
      <c r="AA179" s="74"/>
      <c r="AB179" s="74"/>
      <c r="AC179" s="74"/>
      <c r="AD179" s="98"/>
      <c r="AE179" s="19"/>
      <c r="AF179" s="19"/>
    </row>
    <row r="180" spans="2:32" ht="18" customHeight="1" x14ac:dyDescent="0.2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Y180" s="74"/>
      <c r="Z180" s="74"/>
      <c r="AA180" s="74"/>
      <c r="AB180" s="74"/>
      <c r="AC180" s="74"/>
      <c r="AD180" s="98"/>
      <c r="AE180" s="19"/>
      <c r="AF180" s="19"/>
    </row>
    <row r="181" spans="2:32" ht="18" customHeight="1" x14ac:dyDescent="0.2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Y181" s="74"/>
      <c r="Z181" s="74"/>
      <c r="AA181" s="74"/>
      <c r="AB181" s="74"/>
      <c r="AC181" s="74"/>
      <c r="AD181" s="98"/>
      <c r="AE181" s="19"/>
      <c r="AF181" s="19"/>
    </row>
    <row r="182" spans="2:32" ht="18" customHeight="1" x14ac:dyDescent="0.2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Y182" s="74"/>
      <c r="Z182" s="74"/>
      <c r="AA182" s="74"/>
      <c r="AB182" s="74"/>
      <c r="AC182" s="74"/>
      <c r="AD182" s="98"/>
      <c r="AE182" s="19"/>
      <c r="AF182" s="19"/>
    </row>
    <row r="183" spans="2:32" x14ac:dyDescent="0.2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Y183" s="74"/>
      <c r="Z183" s="74"/>
      <c r="AA183" s="74"/>
      <c r="AB183" s="74"/>
      <c r="AC183" s="74"/>
      <c r="AD183" s="98"/>
      <c r="AE183" s="19"/>
      <c r="AF183" s="19"/>
    </row>
    <row r="184" spans="2:32" x14ac:dyDescent="0.2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Y184" s="74"/>
      <c r="Z184" s="74"/>
      <c r="AA184" s="74"/>
      <c r="AB184" s="74"/>
      <c r="AC184" s="74"/>
      <c r="AD184" s="98"/>
      <c r="AE184" s="19"/>
      <c r="AF184" s="19"/>
    </row>
    <row r="185" spans="2:32" x14ac:dyDescent="0.2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Y185" s="74"/>
      <c r="Z185" s="74"/>
      <c r="AA185" s="74"/>
      <c r="AB185" s="74"/>
      <c r="AC185" s="74"/>
      <c r="AD185" s="98"/>
      <c r="AE185" s="19"/>
      <c r="AF185" s="19"/>
    </row>
    <row r="186" spans="2:32" x14ac:dyDescent="0.2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Y186" s="74"/>
      <c r="Z186" s="74"/>
      <c r="AA186" s="74"/>
      <c r="AB186" s="74"/>
      <c r="AC186" s="74"/>
      <c r="AD186" s="98"/>
      <c r="AE186" s="19"/>
      <c r="AF186" s="19"/>
    </row>
    <row r="187" spans="2:32" x14ac:dyDescent="0.2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Y187" s="74"/>
      <c r="Z187" s="74"/>
      <c r="AA187" s="74"/>
      <c r="AB187" s="74"/>
      <c r="AC187" s="74"/>
      <c r="AD187" s="98"/>
      <c r="AE187" s="19"/>
      <c r="AF187" s="19"/>
    </row>
    <row r="188" spans="2:32" x14ac:dyDescent="0.2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Y188" s="74"/>
      <c r="Z188" s="74"/>
      <c r="AA188" s="74"/>
      <c r="AB188" s="74"/>
      <c r="AC188" s="74"/>
      <c r="AD188" s="98"/>
      <c r="AE188" s="19"/>
      <c r="AF188" s="19"/>
    </row>
    <row r="189" spans="2:32" x14ac:dyDescent="0.2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Y189" s="74"/>
      <c r="Z189" s="74"/>
      <c r="AA189" s="74"/>
      <c r="AB189" s="74"/>
      <c r="AC189" s="74"/>
      <c r="AD189" s="98"/>
      <c r="AE189" s="19"/>
      <c r="AF189" s="19"/>
    </row>
    <row r="190" spans="2:32" x14ac:dyDescent="0.2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Y190" s="74"/>
      <c r="Z190" s="74"/>
      <c r="AA190" s="74"/>
      <c r="AB190" s="74"/>
      <c r="AC190" s="74"/>
      <c r="AD190" s="98"/>
      <c r="AE190" s="19"/>
      <c r="AF190" s="19"/>
    </row>
    <row r="191" spans="2:32" x14ac:dyDescent="0.2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Y191" s="74"/>
      <c r="Z191" s="74"/>
      <c r="AA191" s="74"/>
      <c r="AB191" s="74"/>
      <c r="AC191" s="74"/>
      <c r="AD191" s="98"/>
      <c r="AE191" s="19"/>
      <c r="AF191" s="19"/>
    </row>
    <row r="192" spans="2:32" x14ac:dyDescent="0.2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Y192" s="74"/>
      <c r="Z192" s="74"/>
      <c r="AA192" s="74"/>
      <c r="AB192" s="74"/>
      <c r="AC192" s="74"/>
      <c r="AD192" s="98"/>
      <c r="AE192" s="19"/>
      <c r="AF192" s="19"/>
    </row>
    <row r="193" spans="2:32" x14ac:dyDescent="0.2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Y193" s="74"/>
      <c r="Z193" s="74"/>
      <c r="AA193" s="74"/>
      <c r="AB193" s="74"/>
      <c r="AC193" s="74"/>
      <c r="AD193" s="98"/>
      <c r="AE193" s="19"/>
      <c r="AF193" s="19"/>
    </row>
    <row r="194" spans="2:32" x14ac:dyDescent="0.2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Y194" s="74"/>
      <c r="Z194" s="74"/>
      <c r="AA194" s="74"/>
      <c r="AB194" s="74"/>
      <c r="AC194" s="74"/>
      <c r="AD194" s="98"/>
      <c r="AE194" s="19"/>
      <c r="AF194" s="19"/>
    </row>
    <row r="195" spans="2:32" x14ac:dyDescent="0.2"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Y195" s="74"/>
      <c r="Z195" s="74"/>
      <c r="AA195" s="74"/>
      <c r="AB195" s="74"/>
      <c r="AC195" s="74"/>
      <c r="AD195" s="98"/>
      <c r="AE195" s="19"/>
      <c r="AF195" s="19"/>
    </row>
    <row r="196" spans="2:32" x14ac:dyDescent="0.2"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Y196" s="74"/>
      <c r="Z196" s="74"/>
      <c r="AA196" s="74"/>
      <c r="AB196" s="74"/>
      <c r="AC196" s="74"/>
      <c r="AD196" s="98"/>
      <c r="AE196" s="19"/>
      <c r="AF196" s="19"/>
    </row>
    <row r="197" spans="2:32" x14ac:dyDescent="0.2"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Y197" s="74"/>
      <c r="Z197" s="74"/>
      <c r="AA197" s="74"/>
      <c r="AB197" s="74"/>
      <c r="AC197" s="74"/>
      <c r="AD197" s="98"/>
      <c r="AE197" s="19"/>
      <c r="AF197" s="19"/>
    </row>
    <row r="198" spans="2:32" x14ac:dyDescent="0.2"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Y198" s="74"/>
      <c r="Z198" s="74"/>
      <c r="AA198" s="74"/>
      <c r="AB198" s="74"/>
      <c r="AC198" s="74"/>
      <c r="AD198" s="98"/>
      <c r="AE198" s="19"/>
      <c r="AF198" s="19"/>
    </row>
    <row r="199" spans="2:32" x14ac:dyDescent="0.2"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Y199" s="74"/>
      <c r="Z199" s="74"/>
      <c r="AA199" s="74"/>
      <c r="AB199" s="74"/>
      <c r="AC199" s="74"/>
      <c r="AD199" s="98"/>
      <c r="AE199" s="19"/>
      <c r="AF199" s="19"/>
    </row>
    <row r="200" spans="2:32" x14ac:dyDescent="0.2"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Y200" s="74"/>
      <c r="Z200" s="74"/>
      <c r="AA200" s="74"/>
      <c r="AB200" s="74"/>
      <c r="AC200" s="74"/>
      <c r="AD200" s="98"/>
      <c r="AE200" s="19"/>
      <c r="AF200" s="19"/>
    </row>
    <row r="201" spans="2:32" x14ac:dyDescent="0.2"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Y201" s="74"/>
      <c r="Z201" s="74"/>
      <c r="AA201" s="74"/>
      <c r="AB201" s="74"/>
      <c r="AC201" s="74"/>
      <c r="AD201" s="98"/>
      <c r="AE201" s="19"/>
      <c r="AF201" s="19"/>
    </row>
    <row r="202" spans="2:32" x14ac:dyDescent="0.2"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Y202" s="74"/>
      <c r="Z202" s="74"/>
      <c r="AA202" s="74"/>
      <c r="AB202" s="74"/>
      <c r="AC202" s="74"/>
      <c r="AD202" s="98"/>
      <c r="AE202" s="19"/>
      <c r="AF202" s="19"/>
    </row>
    <row r="203" spans="2:32" x14ac:dyDescent="0.2"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Y203" s="74"/>
      <c r="Z203" s="74"/>
      <c r="AA203" s="74"/>
      <c r="AB203" s="74"/>
      <c r="AC203" s="74"/>
      <c r="AD203" s="98"/>
      <c r="AE203" s="19"/>
      <c r="AF203" s="19"/>
    </row>
    <row r="204" spans="2:32" x14ac:dyDescent="0.2"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Y204" s="74"/>
      <c r="Z204" s="74"/>
      <c r="AA204" s="74"/>
      <c r="AB204" s="74"/>
      <c r="AC204" s="74"/>
      <c r="AD204" s="98"/>
      <c r="AE204" s="19"/>
      <c r="AF204" s="19"/>
    </row>
    <row r="205" spans="2:32" x14ac:dyDescent="0.2"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Y205" s="74"/>
      <c r="Z205" s="74"/>
      <c r="AA205" s="74"/>
      <c r="AB205" s="74"/>
      <c r="AC205" s="74"/>
      <c r="AD205" s="98"/>
      <c r="AE205" s="19"/>
      <c r="AF205" s="19"/>
    </row>
    <row r="206" spans="2:32" x14ac:dyDescent="0.2"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Y206" s="74"/>
      <c r="Z206" s="74"/>
      <c r="AA206" s="74"/>
      <c r="AB206" s="74"/>
      <c r="AC206" s="74"/>
      <c r="AD206" s="98"/>
      <c r="AE206" s="19"/>
      <c r="AF206" s="19"/>
    </row>
    <row r="207" spans="2:32" x14ac:dyDescent="0.2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Y207" s="74"/>
      <c r="Z207" s="74"/>
      <c r="AA207" s="74"/>
      <c r="AB207" s="74"/>
      <c r="AC207" s="74"/>
      <c r="AD207" s="98"/>
      <c r="AE207" s="19"/>
      <c r="AF207" s="19"/>
    </row>
    <row r="208" spans="2:32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Y208" s="74"/>
      <c r="Z208" s="74"/>
      <c r="AA208" s="74"/>
      <c r="AB208" s="74"/>
      <c r="AC208" s="74"/>
      <c r="AD208" s="98"/>
      <c r="AE208" s="19"/>
      <c r="AF208" s="19"/>
    </row>
    <row r="209" spans="3:32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Y209" s="74"/>
      <c r="Z209" s="74"/>
      <c r="AA209" s="74"/>
      <c r="AB209" s="74"/>
      <c r="AC209" s="74"/>
      <c r="AD209" s="98"/>
      <c r="AE209" s="19"/>
      <c r="AF209" s="19"/>
    </row>
    <row r="210" spans="3:32" x14ac:dyDescent="0.2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Y210" s="74"/>
      <c r="Z210" s="74"/>
      <c r="AA210" s="74"/>
      <c r="AB210" s="74"/>
      <c r="AC210" s="74"/>
      <c r="AD210" s="98"/>
      <c r="AE210" s="19"/>
      <c r="AF210" s="19"/>
    </row>
    <row r="211" spans="3:32" x14ac:dyDescent="0.2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Y211" s="74"/>
      <c r="Z211" s="74"/>
      <c r="AA211" s="74"/>
      <c r="AB211" s="74"/>
      <c r="AC211" s="74"/>
      <c r="AD211" s="98"/>
      <c r="AE211" s="19"/>
      <c r="AF211" s="19"/>
    </row>
    <row r="212" spans="3:32" x14ac:dyDescent="0.2"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Y212" s="74"/>
      <c r="Z212" s="74"/>
      <c r="AA212" s="74"/>
      <c r="AB212" s="74"/>
      <c r="AC212" s="74"/>
      <c r="AD212" s="98"/>
      <c r="AE212" s="19"/>
      <c r="AF212" s="19"/>
    </row>
    <row r="213" spans="3:32" x14ac:dyDescent="0.2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Y213" s="74"/>
      <c r="Z213" s="74"/>
      <c r="AA213" s="74"/>
      <c r="AB213" s="74"/>
      <c r="AC213" s="74"/>
      <c r="AD213" s="98"/>
      <c r="AE213" s="19"/>
      <c r="AF213" s="19"/>
    </row>
    <row r="214" spans="3:32" x14ac:dyDescent="0.2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Y214" s="74"/>
      <c r="Z214" s="74"/>
      <c r="AA214" s="74"/>
      <c r="AB214" s="74"/>
      <c r="AC214" s="74"/>
      <c r="AD214" s="98"/>
      <c r="AE214" s="19"/>
      <c r="AF214" s="19"/>
    </row>
    <row r="215" spans="3:32" x14ac:dyDescent="0.2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Y215" s="74"/>
      <c r="Z215" s="74"/>
      <c r="AA215" s="74"/>
      <c r="AB215" s="74"/>
      <c r="AC215" s="74"/>
      <c r="AD215" s="98"/>
      <c r="AE215" s="19"/>
      <c r="AF215" s="19"/>
    </row>
    <row r="216" spans="3:32" x14ac:dyDescent="0.2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Y216" s="74"/>
      <c r="Z216" s="74"/>
      <c r="AA216" s="74"/>
      <c r="AB216" s="74"/>
      <c r="AC216" s="74"/>
      <c r="AD216" s="98"/>
      <c r="AE216" s="19"/>
      <c r="AF216" s="19"/>
    </row>
    <row r="217" spans="3:32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Y217" s="74"/>
      <c r="Z217" s="74"/>
      <c r="AA217" s="74"/>
      <c r="AB217" s="74"/>
      <c r="AC217" s="74"/>
      <c r="AD217" s="98"/>
      <c r="AE217" s="19"/>
      <c r="AF217" s="19"/>
    </row>
    <row r="218" spans="3:32" x14ac:dyDescent="0.2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Y218" s="74"/>
      <c r="Z218" s="74"/>
      <c r="AA218" s="74"/>
      <c r="AB218" s="74"/>
      <c r="AC218" s="74"/>
      <c r="AD218" s="98"/>
      <c r="AE218" s="19"/>
      <c r="AF218" s="19"/>
    </row>
    <row r="219" spans="3:32" x14ac:dyDescent="0.2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Y219" s="74"/>
      <c r="Z219" s="74"/>
      <c r="AA219" s="74"/>
      <c r="AB219" s="74"/>
      <c r="AC219" s="74"/>
      <c r="AD219" s="98"/>
      <c r="AE219" s="19"/>
      <c r="AF219" s="19"/>
    </row>
    <row r="220" spans="3:32" x14ac:dyDescent="0.2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Y220" s="74"/>
      <c r="Z220" s="74"/>
      <c r="AA220" s="74"/>
      <c r="AB220" s="74"/>
      <c r="AC220" s="74"/>
      <c r="AD220" s="98"/>
      <c r="AE220" s="19"/>
      <c r="AF220" s="19"/>
    </row>
    <row r="221" spans="3:32" x14ac:dyDescent="0.2"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Y221" s="74"/>
      <c r="Z221" s="74"/>
      <c r="AA221" s="74"/>
      <c r="AB221" s="74"/>
      <c r="AC221" s="74"/>
      <c r="AD221" s="98"/>
      <c r="AE221" s="19"/>
      <c r="AF221" s="19"/>
    </row>
    <row r="222" spans="3:32" x14ac:dyDescent="0.2"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Y222" s="74"/>
      <c r="Z222" s="74"/>
      <c r="AA222" s="74"/>
      <c r="AB222" s="74"/>
      <c r="AC222" s="74"/>
      <c r="AD222" s="98"/>
      <c r="AE222" s="19"/>
      <c r="AF222" s="19"/>
    </row>
    <row r="223" spans="3:32" x14ac:dyDescent="0.2"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Y223" s="74"/>
      <c r="Z223" s="74"/>
      <c r="AA223" s="74"/>
      <c r="AB223" s="74"/>
      <c r="AC223" s="74"/>
      <c r="AD223" s="98"/>
      <c r="AE223" s="19"/>
      <c r="AF223" s="19"/>
    </row>
    <row r="224" spans="3:32" x14ac:dyDescent="0.2"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Y224" s="74"/>
      <c r="Z224" s="74"/>
      <c r="AA224" s="74"/>
      <c r="AB224" s="74"/>
      <c r="AC224" s="74"/>
      <c r="AD224" s="98"/>
      <c r="AE224" s="19"/>
      <c r="AF224" s="19"/>
    </row>
    <row r="225" spans="2:32" ht="18" customHeight="1" x14ac:dyDescent="0.2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 s="74"/>
      <c r="Z225" s="74"/>
      <c r="AA225" s="74"/>
      <c r="AB225" s="74"/>
      <c r="AC225" s="74"/>
      <c r="AD225" s="98"/>
      <c r="AE225" s="19"/>
      <c r="AF225" s="19"/>
    </row>
    <row r="226" spans="2:32" ht="18" customHeight="1" x14ac:dyDescent="0.2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 s="74"/>
      <c r="Z226" s="74"/>
      <c r="AA226" s="74"/>
      <c r="AB226" s="74"/>
      <c r="AC226" s="74"/>
      <c r="AD226" s="98"/>
      <c r="AE226" s="19"/>
      <c r="AF226" s="19"/>
    </row>
    <row r="227" spans="2:32" ht="18" customHeight="1" x14ac:dyDescent="0.2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 s="74"/>
      <c r="Z227" s="74"/>
      <c r="AA227" s="74"/>
      <c r="AB227" s="74"/>
      <c r="AC227" s="74"/>
      <c r="AD227" s="98"/>
      <c r="AE227" s="19"/>
      <c r="AF227" s="19"/>
    </row>
    <row r="228" spans="2:32" ht="18" customHeight="1" x14ac:dyDescent="0.2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 s="74"/>
      <c r="Z228" s="74"/>
      <c r="AA228" s="74"/>
      <c r="AB228" s="74"/>
      <c r="AC228" s="74"/>
      <c r="AD228" s="98"/>
      <c r="AE228" s="19"/>
      <c r="AF228" s="19"/>
    </row>
    <row r="229" spans="2:32" ht="18" customHeight="1" x14ac:dyDescent="0.2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 s="74"/>
      <c r="Z229" s="74"/>
      <c r="AA229" s="74"/>
      <c r="AB229" s="74"/>
      <c r="AC229" s="74"/>
      <c r="AD229" s="98"/>
      <c r="AE229" s="19"/>
      <c r="AF229" s="19"/>
    </row>
    <row r="230" spans="2:32" ht="18" customHeight="1" x14ac:dyDescent="0.2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 s="74"/>
      <c r="Z230" s="74"/>
      <c r="AA230" s="74"/>
      <c r="AB230" s="74"/>
      <c r="AC230" s="74"/>
      <c r="AD230" s="98"/>
      <c r="AE230" s="19"/>
      <c r="AF230" s="19"/>
    </row>
    <row r="231" spans="2:32" ht="18" customHeight="1" x14ac:dyDescent="0.2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 s="74"/>
      <c r="Z231" s="74"/>
      <c r="AA231" s="74"/>
      <c r="AB231" s="74"/>
      <c r="AC231" s="74"/>
      <c r="AD231" s="98"/>
      <c r="AE231" s="19"/>
      <c r="AF231" s="19"/>
    </row>
    <row r="232" spans="2:32" ht="18" customHeight="1" x14ac:dyDescent="0.2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 s="74"/>
      <c r="Z232" s="74"/>
      <c r="AA232" s="74"/>
      <c r="AB232" s="74"/>
      <c r="AC232" s="74"/>
      <c r="AD232" s="98"/>
      <c r="AE232" s="19"/>
      <c r="AF232" s="19"/>
    </row>
    <row r="233" spans="2:32" ht="18" customHeight="1" x14ac:dyDescent="0.2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 s="74"/>
      <c r="Z233" s="74"/>
      <c r="AA233" s="74"/>
      <c r="AB233" s="74"/>
      <c r="AC233" s="74"/>
      <c r="AD233" s="98"/>
      <c r="AE233" s="19"/>
      <c r="AF233" s="19"/>
    </row>
    <row r="234" spans="2:32" ht="18" customHeight="1" x14ac:dyDescent="0.2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 s="74"/>
      <c r="Z234" s="74"/>
      <c r="AA234" s="74"/>
      <c r="AB234" s="74"/>
      <c r="AC234" s="74"/>
      <c r="AD234" s="98"/>
      <c r="AE234" s="19"/>
      <c r="AF234" s="19"/>
    </row>
    <row r="235" spans="2:32" x14ac:dyDescent="0.2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 s="74"/>
      <c r="Z235" s="74"/>
      <c r="AA235" s="74"/>
      <c r="AB235" s="74"/>
      <c r="AC235" s="74"/>
      <c r="AD235" s="98"/>
      <c r="AE235" s="19"/>
      <c r="AF235" s="19"/>
    </row>
    <row r="236" spans="2:32" x14ac:dyDescent="0.2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 s="74"/>
      <c r="Z236" s="74"/>
      <c r="AA236" s="74"/>
      <c r="AB236" s="74"/>
      <c r="AC236" s="74"/>
      <c r="AD236" s="98"/>
      <c r="AE236" s="19"/>
      <c r="AF236" s="19"/>
    </row>
    <row r="237" spans="2:32" x14ac:dyDescent="0.2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 s="74"/>
      <c r="Z237" s="74"/>
      <c r="AA237" s="74"/>
      <c r="AB237" s="74"/>
      <c r="AC237" s="74"/>
      <c r="AD237" s="98"/>
      <c r="AE237" s="19"/>
      <c r="AF237" s="19"/>
    </row>
    <row r="238" spans="2:32" x14ac:dyDescent="0.2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 s="74"/>
      <c r="Z238" s="74"/>
      <c r="AA238" s="74"/>
      <c r="AB238" s="74"/>
      <c r="AC238" s="74"/>
      <c r="AD238" s="98"/>
      <c r="AE238" s="19"/>
      <c r="AF238" s="19"/>
    </row>
    <row r="239" spans="2:32" x14ac:dyDescent="0.2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 s="74"/>
      <c r="Z239" s="74"/>
      <c r="AA239" s="74"/>
      <c r="AB239" s="74"/>
      <c r="AC239" s="74"/>
      <c r="AD239" s="98"/>
      <c r="AE239" s="19"/>
      <c r="AF239" s="19"/>
    </row>
    <row r="240" spans="2:32" x14ac:dyDescent="0.2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 s="74"/>
      <c r="Z240" s="74"/>
      <c r="AA240" s="74"/>
      <c r="AB240" s="74"/>
      <c r="AC240" s="74"/>
      <c r="AD240" s="98"/>
      <c r="AE240" s="19"/>
      <c r="AF240" s="19"/>
    </row>
    <row r="241" spans="2:32" x14ac:dyDescent="0.2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 s="74"/>
      <c r="Z241" s="74"/>
      <c r="AA241" s="74"/>
      <c r="AB241" s="74"/>
      <c r="AC241" s="74"/>
      <c r="AD241" s="98"/>
      <c r="AE241" s="19"/>
      <c r="AF241" s="19"/>
    </row>
    <row r="242" spans="2:32" x14ac:dyDescent="0.2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 s="74"/>
      <c r="Z242" s="74"/>
      <c r="AA242" s="74"/>
      <c r="AB242" s="74"/>
      <c r="AC242" s="74"/>
      <c r="AD242" s="98"/>
      <c r="AE242" s="19"/>
      <c r="AF242" s="19"/>
    </row>
    <row r="243" spans="2:32" x14ac:dyDescent="0.2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 s="74"/>
      <c r="Z243" s="74"/>
      <c r="AA243" s="74"/>
      <c r="AB243" s="74"/>
      <c r="AC243" s="74"/>
      <c r="AD243" s="98"/>
      <c r="AE243" s="19"/>
      <c r="AF243" s="19"/>
    </row>
    <row r="244" spans="2:32" x14ac:dyDescent="0.2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 s="74"/>
      <c r="Z244" s="74"/>
      <c r="AA244" s="74"/>
      <c r="AB244" s="74"/>
      <c r="AC244" s="74"/>
      <c r="AD244" s="98"/>
      <c r="AE244" s="19"/>
      <c r="AF244" s="19"/>
    </row>
    <row r="245" spans="2:32" x14ac:dyDescent="0.2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 s="74"/>
      <c r="Z245" s="74"/>
      <c r="AA245" s="74"/>
      <c r="AB245" s="74"/>
      <c r="AC245" s="74"/>
      <c r="AD245" s="98"/>
      <c r="AE245" s="19"/>
      <c r="AF245" s="19"/>
    </row>
    <row r="246" spans="2:32" x14ac:dyDescent="0.2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 s="74"/>
      <c r="Z246" s="74"/>
      <c r="AA246" s="74"/>
      <c r="AB246" s="74"/>
      <c r="AC246" s="74"/>
      <c r="AD246" s="98"/>
      <c r="AE246" s="19"/>
      <c r="AF246" s="19"/>
    </row>
    <row r="247" spans="2:32" x14ac:dyDescent="0.2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 s="74"/>
      <c r="Z247" s="74"/>
      <c r="AA247" s="74"/>
      <c r="AB247" s="74"/>
      <c r="AC247" s="74"/>
      <c r="AD247" s="98"/>
      <c r="AE247" s="19"/>
      <c r="AF247" s="19"/>
    </row>
    <row r="248" spans="2:32" x14ac:dyDescent="0.2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 s="74"/>
      <c r="Z248" s="74"/>
      <c r="AA248" s="74"/>
      <c r="AB248" s="74"/>
      <c r="AC248" s="74"/>
      <c r="AD248" s="98"/>
      <c r="AE248" s="19"/>
      <c r="AF248" s="19"/>
    </row>
    <row r="249" spans="2:32" x14ac:dyDescent="0.2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 s="74"/>
      <c r="Z249" s="74"/>
      <c r="AA249" s="74"/>
      <c r="AB249" s="74"/>
      <c r="AC249" s="74"/>
      <c r="AD249" s="98"/>
      <c r="AE249" s="19"/>
      <c r="AF249" s="19"/>
    </row>
    <row r="250" spans="2:32" x14ac:dyDescent="0.2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 s="74"/>
      <c r="Z250" s="74"/>
      <c r="AA250" s="74"/>
      <c r="AB250" s="74"/>
      <c r="AC250" s="74"/>
      <c r="AD250" s="98"/>
      <c r="AE250" s="19"/>
      <c r="AF250" s="19"/>
    </row>
    <row r="251" spans="2:32" x14ac:dyDescent="0.2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 s="74"/>
      <c r="Z251" s="74"/>
      <c r="AA251" s="74"/>
      <c r="AB251" s="74"/>
      <c r="AC251" s="74"/>
      <c r="AD251" s="98"/>
      <c r="AE251" s="19"/>
      <c r="AF251" s="19"/>
    </row>
    <row r="252" spans="2:32" x14ac:dyDescent="0.2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 s="74"/>
      <c r="Z252" s="74"/>
      <c r="AA252" s="74"/>
      <c r="AB252" s="74"/>
      <c r="AC252" s="74"/>
      <c r="AD252" s="98"/>
      <c r="AE252" s="19"/>
      <c r="AF252" s="19"/>
    </row>
    <row r="253" spans="2:32" x14ac:dyDescent="0.2"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Y253" s="74"/>
      <c r="Z253" s="74"/>
      <c r="AA253" s="74"/>
      <c r="AB253" s="74"/>
      <c r="AC253" s="74"/>
      <c r="AD253" s="98"/>
      <c r="AE253" s="19"/>
      <c r="AF253" s="19"/>
    </row>
    <row r="254" spans="2:32" x14ac:dyDescent="0.2"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Y254" s="74"/>
      <c r="Z254" s="74"/>
      <c r="AA254" s="74"/>
      <c r="AB254" s="74"/>
      <c r="AC254" s="74"/>
      <c r="AD254" s="98"/>
      <c r="AE254" s="19"/>
      <c r="AF254" s="19"/>
    </row>
    <row r="255" spans="2:32" x14ac:dyDescent="0.2"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Y255" s="74"/>
      <c r="Z255" s="74"/>
      <c r="AA255" s="74"/>
      <c r="AB255" s="74"/>
      <c r="AC255" s="74"/>
      <c r="AD255" s="98"/>
      <c r="AE255" s="19"/>
      <c r="AF255" s="19"/>
    </row>
    <row r="256" spans="2:32" x14ac:dyDescent="0.2"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Y256" s="74"/>
      <c r="Z256" s="74"/>
      <c r="AA256" s="74"/>
      <c r="AB256" s="74"/>
      <c r="AC256" s="74"/>
      <c r="AD256" s="98"/>
      <c r="AE256" s="19"/>
      <c r="AF256" s="19"/>
    </row>
    <row r="257" spans="3:32" x14ac:dyDescent="0.2"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Y257" s="74"/>
      <c r="Z257" s="74"/>
      <c r="AA257" s="74"/>
      <c r="AB257" s="74"/>
      <c r="AC257" s="74"/>
      <c r="AD257" s="98"/>
      <c r="AE257" s="19"/>
      <c r="AF257" s="19"/>
    </row>
    <row r="258" spans="3:32" x14ac:dyDescent="0.2"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Y258" s="74"/>
      <c r="Z258" s="74"/>
      <c r="AA258" s="74"/>
      <c r="AB258" s="74"/>
      <c r="AC258" s="74"/>
      <c r="AD258" s="98"/>
      <c r="AE258" s="19"/>
      <c r="AF258" s="19"/>
    </row>
    <row r="259" spans="3:32" x14ac:dyDescent="0.2"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Y259" s="74"/>
      <c r="Z259" s="74"/>
      <c r="AA259" s="74"/>
      <c r="AB259" s="74"/>
      <c r="AC259" s="74"/>
      <c r="AD259" s="98"/>
      <c r="AE259" s="19"/>
      <c r="AF259" s="19"/>
    </row>
    <row r="260" spans="3:32" x14ac:dyDescent="0.2"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Y260" s="74"/>
      <c r="Z260" s="74"/>
      <c r="AA260" s="74"/>
      <c r="AB260" s="74"/>
      <c r="AC260" s="74"/>
      <c r="AD260" s="98"/>
      <c r="AE260" s="19"/>
      <c r="AF260" s="19"/>
    </row>
    <row r="261" spans="3:32" x14ac:dyDescent="0.2"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Y261" s="74"/>
      <c r="Z261" s="74"/>
      <c r="AA261" s="74"/>
      <c r="AB261" s="74"/>
      <c r="AC261" s="74"/>
      <c r="AD261" s="98"/>
      <c r="AE261" s="19"/>
      <c r="AF261" s="19"/>
    </row>
    <row r="262" spans="3:32" x14ac:dyDescent="0.2"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Y262" s="74"/>
      <c r="Z262" s="74"/>
      <c r="AA262" s="74"/>
      <c r="AB262" s="74"/>
      <c r="AC262" s="74"/>
      <c r="AD262" s="98"/>
      <c r="AE262" s="19"/>
      <c r="AF262" s="19"/>
    </row>
    <row r="263" spans="3:32" x14ac:dyDescent="0.2"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Y263" s="74"/>
      <c r="Z263" s="74"/>
      <c r="AA263" s="74"/>
      <c r="AB263" s="74"/>
      <c r="AC263" s="74"/>
      <c r="AD263" s="98"/>
      <c r="AE263" s="19"/>
      <c r="AF263" s="19"/>
    </row>
    <row r="264" spans="3:32" x14ac:dyDescent="0.2"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Y264" s="74"/>
      <c r="Z264" s="74"/>
      <c r="AA264" s="74"/>
      <c r="AB264" s="74"/>
      <c r="AC264" s="74"/>
      <c r="AD264" s="98"/>
      <c r="AE264" s="19"/>
      <c r="AF264" s="19"/>
    </row>
    <row r="265" spans="3:32" x14ac:dyDescent="0.2"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Y265" s="74"/>
      <c r="Z265" s="74"/>
      <c r="AA265" s="74"/>
      <c r="AB265" s="74"/>
      <c r="AC265" s="74"/>
      <c r="AD265" s="98"/>
      <c r="AE265" s="19"/>
      <c r="AF265" s="19"/>
    </row>
    <row r="266" spans="3:32" x14ac:dyDescent="0.2"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Y266" s="74"/>
      <c r="Z266" s="74"/>
      <c r="AA266" s="74"/>
      <c r="AB266" s="74"/>
      <c r="AC266" s="74"/>
      <c r="AD266" s="98"/>
      <c r="AE266" s="19"/>
      <c r="AF266" s="19"/>
    </row>
    <row r="267" spans="3:32" x14ac:dyDescent="0.2"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Y267" s="74"/>
      <c r="Z267" s="74"/>
      <c r="AA267" s="74"/>
      <c r="AB267" s="74"/>
      <c r="AC267" s="74"/>
      <c r="AD267" s="98"/>
      <c r="AE267" s="19"/>
      <c r="AF267" s="19"/>
    </row>
    <row r="268" spans="3:32" x14ac:dyDescent="0.2"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Y268" s="74"/>
      <c r="Z268" s="74"/>
      <c r="AA268" s="74"/>
      <c r="AB268" s="74"/>
      <c r="AC268" s="74"/>
      <c r="AD268" s="98"/>
      <c r="AE268" s="19"/>
      <c r="AF268" s="19"/>
    </row>
    <row r="269" spans="3:32" x14ac:dyDescent="0.2"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Y269" s="74"/>
      <c r="Z269" s="74"/>
      <c r="AA269" s="74"/>
      <c r="AB269" s="74"/>
      <c r="AC269" s="74"/>
      <c r="AD269" s="98"/>
      <c r="AE269" s="19"/>
      <c r="AF269" s="19"/>
    </row>
    <row r="270" spans="3:32" x14ac:dyDescent="0.2"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Y270" s="74"/>
      <c r="Z270" s="74"/>
      <c r="AA270" s="74"/>
      <c r="AB270" s="74"/>
      <c r="AC270" s="74"/>
      <c r="AD270" s="98"/>
      <c r="AE270" s="19"/>
      <c r="AF270" s="19"/>
    </row>
    <row r="271" spans="3:32" x14ac:dyDescent="0.2"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Y271" s="74"/>
      <c r="Z271" s="74"/>
      <c r="AA271" s="74"/>
      <c r="AB271" s="74"/>
      <c r="AC271" s="74"/>
      <c r="AD271" s="98"/>
      <c r="AE271" s="19"/>
      <c r="AF271" s="19"/>
    </row>
    <row r="272" spans="3:32" x14ac:dyDescent="0.2"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Y272" s="74"/>
      <c r="Z272" s="74"/>
      <c r="AA272" s="74"/>
      <c r="AB272" s="74"/>
      <c r="AC272" s="74"/>
      <c r="AD272" s="98"/>
      <c r="AE272" s="19"/>
      <c r="AF272" s="19"/>
    </row>
    <row r="273" spans="1:32" x14ac:dyDescent="0.2"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Y273" s="74"/>
      <c r="Z273" s="74"/>
      <c r="AA273" s="74"/>
      <c r="AB273" s="74"/>
      <c r="AC273" s="74"/>
      <c r="AD273" s="98"/>
      <c r="AE273" s="19"/>
      <c r="AF273" s="19"/>
    </row>
    <row r="274" spans="1:32" x14ac:dyDescent="0.2"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Y274" s="74"/>
      <c r="Z274" s="74"/>
      <c r="AA274" s="74"/>
      <c r="AB274" s="74"/>
      <c r="AC274" s="74"/>
      <c r="AD274" s="98"/>
      <c r="AE274" s="19"/>
      <c r="AF274" s="19"/>
    </row>
    <row r="275" spans="1:3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 s="74"/>
      <c r="Z275" s="74"/>
      <c r="AA275" s="74"/>
      <c r="AB275" s="74"/>
      <c r="AC275" s="74"/>
      <c r="AD275" s="98"/>
      <c r="AE275" s="19"/>
      <c r="AF275" s="19"/>
    </row>
    <row r="276" spans="1:3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 s="74"/>
      <c r="Z276" s="74"/>
      <c r="AA276" s="74"/>
      <c r="AB276" s="74"/>
      <c r="AC276" s="74"/>
      <c r="AD276" s="98"/>
      <c r="AE276" s="19"/>
      <c r="AF276" s="19"/>
    </row>
    <row r="277" spans="1:32" ht="18" customHeight="1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 s="74"/>
      <c r="Z277" s="74"/>
      <c r="AA277" s="74"/>
      <c r="AB277" s="74"/>
      <c r="AC277" s="74"/>
      <c r="AD277" s="98"/>
      <c r="AE277" s="19"/>
      <c r="AF277" s="19"/>
    </row>
    <row r="278" spans="1:32" ht="18" customHeight="1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 s="74"/>
      <c r="Z278" s="74"/>
      <c r="AA278" s="74"/>
      <c r="AB278" s="74"/>
      <c r="AC278" s="74"/>
      <c r="AD278" s="98"/>
      <c r="AE278" s="19"/>
      <c r="AF278" s="19"/>
    </row>
    <row r="279" spans="1:32" ht="18" customHeight="1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 s="74"/>
      <c r="Z279" s="74"/>
      <c r="AA279" s="74"/>
      <c r="AB279" s="74"/>
      <c r="AC279" s="74"/>
      <c r="AD279" s="98"/>
      <c r="AE279" s="19"/>
      <c r="AF279" s="19"/>
    </row>
    <row r="280" spans="1:32" ht="18" customHeight="1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 s="74"/>
      <c r="Z280" s="74"/>
      <c r="AA280" s="74"/>
      <c r="AB280" s="74"/>
      <c r="AC280" s="74"/>
      <c r="AD280" s="98"/>
      <c r="AE280" s="19"/>
      <c r="AF280" s="19"/>
    </row>
    <row r="281" spans="1:32" ht="18" customHeight="1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 s="74"/>
      <c r="Z281" s="74"/>
      <c r="AA281" s="74"/>
      <c r="AB281" s="74"/>
      <c r="AC281" s="74"/>
      <c r="AD281" s="98"/>
      <c r="AE281" s="19"/>
      <c r="AF281" s="19"/>
    </row>
    <row r="282" spans="1:32" ht="18" customHeight="1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 s="74"/>
      <c r="Z282" s="74"/>
      <c r="AA282" s="74"/>
      <c r="AB282" s="74"/>
      <c r="AC282" s="74"/>
      <c r="AD282" s="98"/>
      <c r="AE282" s="19"/>
      <c r="AF282" s="19"/>
    </row>
    <row r="283" spans="1:32" ht="18" customHeight="1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 s="74"/>
      <c r="Z283" s="74"/>
      <c r="AA283" s="74"/>
      <c r="AB283" s="74"/>
      <c r="AC283" s="74"/>
      <c r="AD283" s="98"/>
      <c r="AE283" s="19"/>
      <c r="AF283" s="19"/>
    </row>
    <row r="284" spans="1:32" ht="18" customHeight="1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 s="74"/>
      <c r="Z284" s="74"/>
      <c r="AA284" s="74"/>
      <c r="AB284" s="74"/>
      <c r="AC284" s="74"/>
      <c r="AD284" s="98"/>
      <c r="AE284" s="19"/>
      <c r="AF284" s="19"/>
    </row>
    <row r="285" spans="1:32" ht="18" customHeight="1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 s="74"/>
      <c r="Z285" s="74"/>
      <c r="AA285" s="74"/>
      <c r="AB285" s="74"/>
      <c r="AC285" s="74"/>
      <c r="AD285" s="98"/>
      <c r="AE285" s="19"/>
      <c r="AF285" s="19"/>
    </row>
    <row r="286" spans="1:32" ht="18" customHeight="1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 s="74"/>
      <c r="Z286" s="74"/>
      <c r="AA286" s="74"/>
      <c r="AB286" s="74"/>
      <c r="AC286" s="74"/>
      <c r="AD286" s="98"/>
      <c r="AE286" s="19"/>
      <c r="AF286" s="19"/>
    </row>
    <row r="287" spans="1:3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 s="74"/>
      <c r="Z287" s="74"/>
      <c r="AA287" s="74"/>
      <c r="AB287" s="74"/>
      <c r="AC287" s="74"/>
      <c r="AD287" s="98"/>
      <c r="AE287" s="19"/>
      <c r="AF287" s="19"/>
    </row>
    <row r="288" spans="1:3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 s="74"/>
      <c r="Z288" s="74"/>
      <c r="AA288" s="74"/>
      <c r="AB288" s="74"/>
      <c r="AC288" s="74"/>
      <c r="AD288" s="98"/>
      <c r="AE288" s="19"/>
      <c r="AF288" s="19"/>
    </row>
    <row r="289" spans="1:3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 s="74"/>
      <c r="Z289" s="74"/>
      <c r="AA289" s="74"/>
      <c r="AB289" s="74"/>
      <c r="AC289" s="74"/>
      <c r="AD289" s="98"/>
      <c r="AE289" s="19"/>
      <c r="AF289" s="19"/>
    </row>
    <row r="290" spans="1:3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 s="74"/>
      <c r="Z290" s="74"/>
      <c r="AA290" s="74"/>
      <c r="AB290" s="74"/>
      <c r="AC290" s="74"/>
      <c r="AD290" s="98"/>
      <c r="AE290" s="19"/>
      <c r="AF290" s="19"/>
    </row>
    <row r="291" spans="1:3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 s="74"/>
      <c r="Z291" s="74"/>
      <c r="AA291" s="74"/>
      <c r="AB291" s="74"/>
      <c r="AC291" s="74"/>
      <c r="AD291" s="98"/>
      <c r="AE291" s="19"/>
      <c r="AF291" s="19"/>
    </row>
    <row r="292" spans="1:3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 s="74"/>
      <c r="Z292" s="74"/>
      <c r="AA292" s="74"/>
      <c r="AB292" s="74"/>
      <c r="AC292" s="74"/>
      <c r="AD292" s="98"/>
      <c r="AE292" s="19"/>
      <c r="AF292" s="19"/>
    </row>
    <row r="293" spans="1:3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 s="74"/>
      <c r="Z293" s="74"/>
      <c r="AA293" s="74"/>
      <c r="AB293" s="74"/>
      <c r="AC293" s="74"/>
      <c r="AD293" s="98"/>
      <c r="AE293" s="19"/>
      <c r="AF293" s="19"/>
    </row>
    <row r="294" spans="1:3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 s="74"/>
      <c r="Z294" s="74"/>
      <c r="AA294" s="74"/>
      <c r="AB294" s="74"/>
      <c r="AC294" s="74"/>
      <c r="AD294" s="98"/>
      <c r="AE294" s="19"/>
      <c r="AF294" s="19"/>
    </row>
    <row r="295" spans="1:3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 s="74"/>
      <c r="Z295" s="74"/>
      <c r="AA295" s="74"/>
      <c r="AB295" s="74"/>
      <c r="AC295" s="74"/>
      <c r="AD295" s="98"/>
      <c r="AE295" s="19"/>
      <c r="AF295" s="19"/>
    </row>
    <row r="296" spans="1:3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 s="74"/>
      <c r="Z296" s="74"/>
      <c r="AA296" s="74"/>
      <c r="AB296" s="74"/>
      <c r="AC296" s="74"/>
      <c r="AD296" s="98"/>
      <c r="AE296" s="19"/>
      <c r="AF296" s="19"/>
    </row>
    <row r="297" spans="1:3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 s="74"/>
      <c r="Z297" s="74"/>
      <c r="AA297" s="74"/>
      <c r="AB297" s="74"/>
      <c r="AC297" s="74"/>
      <c r="AD297" s="98"/>
      <c r="AE297" s="19"/>
      <c r="AF297" s="19"/>
    </row>
    <row r="298" spans="1:3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 s="74"/>
      <c r="Z298" s="74"/>
      <c r="AA298" s="74"/>
      <c r="AB298" s="74"/>
      <c r="AC298" s="74"/>
      <c r="AD298" s="98"/>
      <c r="AE298" s="19"/>
      <c r="AF298" s="19"/>
    </row>
    <row r="299" spans="1:3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 s="74"/>
      <c r="Z299" s="74"/>
      <c r="AA299" s="74"/>
      <c r="AB299" s="74"/>
      <c r="AC299" s="74"/>
      <c r="AD299" s="98"/>
      <c r="AE299" s="19"/>
      <c r="AF299" s="19"/>
    </row>
    <row r="300" spans="1:3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 s="74"/>
      <c r="Z300" s="74"/>
      <c r="AA300" s="74"/>
      <c r="AB300" s="74"/>
      <c r="AC300" s="74"/>
      <c r="AD300" s="98"/>
      <c r="AE300" s="19"/>
      <c r="AF300" s="19"/>
    </row>
    <row r="301" spans="1:32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 s="74"/>
      <c r="Z301" s="74"/>
      <c r="AA301" s="74"/>
      <c r="AB301" s="74"/>
      <c r="AC301" s="74"/>
      <c r="AD301" s="98"/>
      <c r="AE301" s="19"/>
      <c r="AF301" s="19"/>
    </row>
    <row r="302" spans="1:32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 s="74"/>
      <c r="Z302" s="74"/>
      <c r="AA302" s="74"/>
      <c r="AB302" s="74"/>
      <c r="AC302" s="74"/>
      <c r="AD302" s="98"/>
      <c r="AE302" s="19"/>
      <c r="AF302" s="19"/>
    </row>
    <row r="303" spans="1:32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 s="74"/>
      <c r="Z303" s="74"/>
      <c r="AA303" s="74"/>
      <c r="AB303" s="74"/>
      <c r="AC303" s="74"/>
      <c r="AD303" s="98"/>
      <c r="AE303" s="19"/>
      <c r="AF303" s="19"/>
    </row>
    <row r="304" spans="1:32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 s="74"/>
      <c r="Z304" s="74"/>
      <c r="AA304" s="74"/>
      <c r="AB304" s="74"/>
      <c r="AC304" s="74"/>
      <c r="AD304" s="98"/>
      <c r="AE304" s="19"/>
      <c r="AF304" s="19"/>
    </row>
    <row r="305" spans="1:32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 s="74"/>
      <c r="Z305" s="74"/>
      <c r="AA305" s="74"/>
      <c r="AB305" s="74"/>
      <c r="AC305" s="74"/>
      <c r="AD305" s="98"/>
      <c r="AE305" s="19"/>
      <c r="AF305" s="19"/>
    </row>
    <row r="306" spans="1:32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 s="74"/>
      <c r="Z306" s="74"/>
      <c r="AA306" s="74"/>
      <c r="AB306" s="74"/>
      <c r="AC306" s="74"/>
      <c r="AD306" s="98"/>
      <c r="AE306" s="19"/>
      <c r="AF306" s="19"/>
    </row>
    <row r="307" spans="1:32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 s="74"/>
      <c r="Z307" s="74"/>
      <c r="AA307" s="74"/>
      <c r="AB307" s="74"/>
      <c r="AC307" s="74"/>
      <c r="AD307" s="98"/>
      <c r="AE307" s="19"/>
      <c r="AF307" s="19"/>
    </row>
    <row r="308" spans="1:32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 s="74"/>
      <c r="Z308" s="74"/>
      <c r="AA308" s="74"/>
      <c r="AB308" s="74"/>
      <c r="AC308" s="74"/>
      <c r="AD308" s="98"/>
      <c r="AE308" s="19"/>
      <c r="AF308" s="19"/>
    </row>
    <row r="309" spans="1:32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 s="74"/>
      <c r="Z309" s="74"/>
      <c r="AA309" s="74"/>
      <c r="AB309" s="74"/>
      <c r="AC309" s="74"/>
      <c r="AD309" s="98"/>
      <c r="AE309" s="19"/>
      <c r="AF309" s="19"/>
    </row>
    <row r="310" spans="1:32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 s="74"/>
      <c r="Z310" s="74"/>
      <c r="AA310" s="74"/>
      <c r="AB310" s="74"/>
      <c r="AC310" s="74"/>
      <c r="AD310" s="98"/>
      <c r="AE310" s="19"/>
      <c r="AF310" s="19"/>
    </row>
    <row r="311" spans="1:32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 s="74"/>
      <c r="Z311" s="74"/>
      <c r="AA311" s="74"/>
      <c r="AB311" s="74"/>
      <c r="AC311" s="74"/>
      <c r="AD311" s="98"/>
      <c r="AE311" s="19"/>
      <c r="AF311" s="19"/>
    </row>
    <row r="312" spans="1:32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 s="74"/>
      <c r="Z312" s="74"/>
      <c r="AA312" s="74"/>
      <c r="AB312" s="74"/>
      <c r="AC312" s="74"/>
      <c r="AD312" s="98"/>
      <c r="AE312" s="19"/>
      <c r="AF312" s="19"/>
    </row>
    <row r="313" spans="1:32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 s="74"/>
      <c r="Z313" s="74"/>
      <c r="AA313" s="74"/>
      <c r="AB313" s="74"/>
      <c r="AC313" s="74"/>
      <c r="AD313" s="98"/>
      <c r="AE313" s="19"/>
      <c r="AF313" s="19"/>
    </row>
    <row r="314" spans="1:32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 s="74"/>
      <c r="Z314" s="74"/>
      <c r="AA314" s="74"/>
      <c r="AB314" s="74"/>
      <c r="AC314" s="74"/>
      <c r="AD314" s="98"/>
      <c r="AE314" s="19"/>
      <c r="AF314" s="19"/>
    </row>
    <row r="315" spans="1:32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 s="74"/>
      <c r="Z315" s="74"/>
      <c r="AA315" s="74"/>
      <c r="AB315" s="74"/>
      <c r="AC315" s="74"/>
      <c r="AD315" s="98"/>
      <c r="AE315" s="19"/>
      <c r="AF315" s="19"/>
    </row>
    <row r="316" spans="1:32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 s="74"/>
      <c r="Z316" s="74"/>
      <c r="AA316" s="74"/>
      <c r="AB316" s="74"/>
      <c r="AC316" s="74"/>
      <c r="AD316" s="98"/>
      <c r="AE316" s="19"/>
      <c r="AF316" s="19"/>
    </row>
    <row r="317" spans="1:32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 s="74"/>
      <c r="Z317" s="74"/>
      <c r="AA317" s="74"/>
      <c r="AB317" s="74"/>
      <c r="AC317" s="74"/>
      <c r="AD317" s="98"/>
      <c r="AE317" s="19"/>
      <c r="AF317" s="19"/>
    </row>
    <row r="318" spans="1:32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 s="74"/>
      <c r="Z318" s="74"/>
      <c r="AA318" s="74"/>
      <c r="AB318" s="74"/>
      <c r="AC318" s="74"/>
      <c r="AD318" s="98"/>
      <c r="AE318" s="19"/>
      <c r="AF318" s="19"/>
    </row>
    <row r="319" spans="1:32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 s="74"/>
      <c r="Z319" s="74"/>
      <c r="AA319" s="74"/>
      <c r="AB319" s="74"/>
      <c r="AC319" s="74"/>
      <c r="AD319" s="98"/>
      <c r="AE319" s="19"/>
      <c r="AF319" s="19"/>
    </row>
    <row r="320" spans="1:32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 s="74"/>
      <c r="Z320" s="74"/>
      <c r="AA320" s="74"/>
      <c r="AB320" s="74"/>
      <c r="AC320" s="74"/>
      <c r="AD320" s="98"/>
      <c r="AE320" s="19"/>
      <c r="AF320" s="19"/>
    </row>
    <row r="321" spans="1:32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 s="74"/>
      <c r="Z321" s="74"/>
      <c r="AA321" s="74"/>
      <c r="AB321" s="74"/>
      <c r="AC321" s="74"/>
      <c r="AD321" s="98"/>
      <c r="AE321" s="19"/>
      <c r="AF321" s="19"/>
    </row>
    <row r="322" spans="1:32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 s="74"/>
      <c r="Z322" s="74"/>
      <c r="AA322" s="74"/>
      <c r="AB322" s="74"/>
      <c r="AC322" s="74"/>
      <c r="AD322" s="98"/>
      <c r="AE322" s="19"/>
      <c r="AF322" s="19"/>
    </row>
    <row r="323" spans="1:32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 s="74"/>
      <c r="Z323" s="74"/>
      <c r="AA323" s="74"/>
      <c r="AB323" s="74"/>
      <c r="AC323" s="74"/>
      <c r="AD323" s="98"/>
      <c r="AE323" s="19"/>
      <c r="AF323" s="19"/>
    </row>
    <row r="324" spans="1:32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 s="74"/>
      <c r="Z324" s="74"/>
      <c r="AA324" s="74"/>
      <c r="AB324" s="74"/>
      <c r="AC324" s="74"/>
      <c r="AD324" s="98"/>
      <c r="AE324" s="19"/>
      <c r="AF324" s="19"/>
    </row>
    <row r="325" spans="1:32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 s="74"/>
      <c r="Z325" s="74"/>
      <c r="AA325" s="74"/>
      <c r="AB325" s="74"/>
      <c r="AC325" s="74"/>
      <c r="AD325" s="98"/>
      <c r="AE325" s="19"/>
      <c r="AF325" s="19"/>
    </row>
    <row r="326" spans="1:32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 s="74"/>
      <c r="Z326" s="74"/>
      <c r="AA326" s="74"/>
      <c r="AB326" s="74"/>
      <c r="AC326" s="74"/>
      <c r="AD326" s="98"/>
      <c r="AE326" s="19"/>
      <c r="AF326" s="19"/>
    </row>
    <row r="327" spans="1:32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 s="74"/>
      <c r="Z327" s="74"/>
      <c r="AA327" s="74"/>
      <c r="AB327" s="74"/>
      <c r="AC327" s="74"/>
      <c r="AD327" s="98"/>
      <c r="AE327" s="19"/>
      <c r="AF327" s="19"/>
    </row>
    <row r="328" spans="1:32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 s="74"/>
      <c r="Z328" s="74"/>
      <c r="AA328" s="74"/>
      <c r="AB328" s="74"/>
      <c r="AC328" s="74"/>
      <c r="AD328" s="98"/>
      <c r="AE328" s="19"/>
      <c r="AF328" s="19"/>
    </row>
    <row r="329" spans="1:32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 s="74"/>
      <c r="Z329" s="74"/>
      <c r="AA329" s="74"/>
      <c r="AB329" s="74"/>
      <c r="AC329" s="74"/>
      <c r="AD329" s="98"/>
      <c r="AE329" s="19"/>
      <c r="AF329" s="19"/>
    </row>
    <row r="330" spans="1:32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 s="74"/>
      <c r="Z330" s="74"/>
      <c r="AA330" s="74"/>
      <c r="AB330" s="74"/>
      <c r="AC330" s="74"/>
      <c r="AD330" s="98"/>
      <c r="AE330" s="19"/>
      <c r="AF330" s="19"/>
    </row>
    <row r="331" spans="1:32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 s="74"/>
      <c r="Z331" s="74"/>
      <c r="AA331" s="74"/>
      <c r="AB331" s="74"/>
      <c r="AC331" s="74"/>
      <c r="AD331" s="98"/>
      <c r="AE331" s="19"/>
      <c r="AF331" s="19"/>
    </row>
    <row r="332" spans="1:32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 s="74"/>
      <c r="Z332" s="74"/>
      <c r="AA332" s="74"/>
      <c r="AB332" s="74"/>
      <c r="AC332" s="74"/>
      <c r="AD332" s="98"/>
      <c r="AE332" s="19"/>
      <c r="AF332" s="19"/>
    </row>
    <row r="333" spans="1:32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 s="74"/>
      <c r="Z333" s="74"/>
      <c r="AA333" s="74"/>
      <c r="AB333" s="74"/>
      <c r="AC333" s="74"/>
      <c r="AD333" s="98"/>
      <c r="AE333" s="19"/>
      <c r="AF333" s="19"/>
    </row>
    <row r="334" spans="1:32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 s="74"/>
      <c r="Z334" s="74"/>
      <c r="AA334" s="74"/>
      <c r="AB334" s="74"/>
      <c r="AC334" s="74"/>
      <c r="AD334" s="98"/>
      <c r="AE334" s="19"/>
      <c r="AF334" s="19"/>
    </row>
    <row r="335" spans="1:32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 s="74"/>
      <c r="Z335" s="74"/>
      <c r="AA335" s="74"/>
      <c r="AB335" s="74"/>
      <c r="AC335" s="74"/>
      <c r="AD335" s="98"/>
      <c r="AE335" s="19"/>
      <c r="AF335" s="19"/>
    </row>
    <row r="336" spans="1:32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 s="74"/>
      <c r="Z336" s="74"/>
      <c r="AA336" s="74"/>
      <c r="AB336" s="74"/>
      <c r="AC336" s="74"/>
      <c r="AD336" s="98"/>
      <c r="AE336" s="19"/>
      <c r="AF336" s="19"/>
    </row>
    <row r="337" spans="1:32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 s="74"/>
      <c r="Z337" s="74"/>
      <c r="AA337" s="74"/>
      <c r="AB337" s="74"/>
      <c r="AC337" s="74"/>
      <c r="AD337" s="98"/>
      <c r="AE337" s="19"/>
      <c r="AF337" s="19"/>
    </row>
    <row r="338" spans="1:32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 s="74"/>
      <c r="Z338" s="74"/>
      <c r="AA338" s="74"/>
      <c r="AB338" s="74"/>
      <c r="AC338" s="74"/>
      <c r="AD338" s="98"/>
      <c r="AE338" s="19"/>
      <c r="AF338" s="19"/>
    </row>
    <row r="339" spans="1:32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 s="74"/>
      <c r="Z339" s="74"/>
      <c r="AA339" s="74"/>
      <c r="AB339" s="74"/>
      <c r="AC339" s="74"/>
      <c r="AD339" s="98"/>
      <c r="AE339" s="19"/>
      <c r="AF339" s="19"/>
    </row>
    <row r="340" spans="1:32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 s="74"/>
      <c r="Z340" s="74"/>
      <c r="AA340" s="74"/>
      <c r="AB340" s="74"/>
      <c r="AC340" s="74"/>
      <c r="AD340" s="98"/>
      <c r="AE340" s="19"/>
      <c r="AF340" s="19"/>
    </row>
    <row r="341" spans="1:32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 s="74"/>
      <c r="Z341" s="74"/>
      <c r="AA341" s="74"/>
      <c r="AB341" s="74"/>
      <c r="AC341" s="74"/>
      <c r="AD341" s="98"/>
      <c r="AE341" s="19"/>
      <c r="AF341" s="19"/>
    </row>
    <row r="342" spans="1:32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 s="74"/>
      <c r="Z342" s="74"/>
      <c r="AA342" s="74"/>
      <c r="AB342" s="74"/>
      <c r="AC342" s="74"/>
      <c r="AD342" s="98"/>
      <c r="AE342" s="19"/>
      <c r="AF342" s="19"/>
    </row>
    <row r="343" spans="1:32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 s="74"/>
      <c r="Z343" s="74"/>
      <c r="AA343" s="74"/>
      <c r="AB343" s="74"/>
      <c r="AC343" s="74"/>
      <c r="AD343" s="98"/>
      <c r="AE343" s="19"/>
      <c r="AF343" s="19"/>
    </row>
    <row r="344" spans="1:32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 s="74"/>
      <c r="Z344" s="74"/>
      <c r="AA344" s="74"/>
      <c r="AB344" s="74"/>
      <c r="AC344" s="74"/>
      <c r="AD344" s="98"/>
      <c r="AE344" s="19"/>
      <c r="AF344" s="19"/>
    </row>
    <row r="345" spans="1:32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 s="74"/>
      <c r="Z345" s="74"/>
      <c r="AA345" s="74"/>
      <c r="AB345" s="74"/>
      <c r="AC345" s="74"/>
      <c r="AD345" s="98"/>
      <c r="AE345" s="19"/>
      <c r="AF345" s="19"/>
    </row>
    <row r="346" spans="1:32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 s="74"/>
      <c r="Z346" s="74"/>
      <c r="AA346" s="74"/>
      <c r="AB346" s="74"/>
      <c r="AC346" s="74"/>
      <c r="AD346" s="98"/>
      <c r="AE346" s="19"/>
      <c r="AF346" s="19"/>
    </row>
    <row r="347" spans="1:32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 s="74"/>
      <c r="Z347" s="74"/>
      <c r="AA347" s="74"/>
      <c r="AB347" s="74"/>
      <c r="AC347" s="74"/>
      <c r="AD347" s="98"/>
      <c r="AE347" s="19"/>
      <c r="AF347" s="19"/>
    </row>
    <row r="348" spans="1:32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 s="74"/>
      <c r="Z348" s="74"/>
      <c r="AA348" s="74"/>
      <c r="AB348" s="74"/>
      <c r="AC348" s="74"/>
      <c r="AD348" s="98"/>
      <c r="AE348" s="19"/>
      <c r="AF348" s="19"/>
    </row>
    <row r="349" spans="1:32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 s="74"/>
      <c r="Z349" s="74"/>
      <c r="AA349" s="74"/>
      <c r="AB349" s="74"/>
      <c r="AC349" s="74"/>
      <c r="AD349" s="98"/>
      <c r="AE349" s="19"/>
      <c r="AF349" s="19"/>
    </row>
    <row r="350" spans="1:32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 s="74"/>
      <c r="Z350" s="74"/>
      <c r="AA350" s="74"/>
      <c r="AB350" s="74"/>
      <c r="AC350" s="74"/>
      <c r="AD350" s="98"/>
    </row>
    <row r="351" spans="1:32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 s="74"/>
      <c r="Z351" s="74"/>
      <c r="AA351" s="74"/>
      <c r="AB351" s="74"/>
      <c r="AC351" s="74"/>
      <c r="AD351" s="98"/>
    </row>
    <row r="352" spans="1:32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 s="74"/>
      <c r="Z352" s="74"/>
      <c r="AA352" s="74"/>
      <c r="AB352" s="74"/>
      <c r="AC352" s="74"/>
      <c r="AD352" s="98"/>
    </row>
    <row r="353" spans="1:30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 s="74"/>
      <c r="Z353" s="74"/>
      <c r="AA353" s="74"/>
      <c r="AB353" s="74"/>
      <c r="AC353" s="74"/>
      <c r="AD353" s="98"/>
    </row>
    <row r="354" spans="1:30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 s="74"/>
      <c r="Z354" s="74"/>
      <c r="AA354" s="74"/>
      <c r="AB354" s="74"/>
      <c r="AC354" s="74"/>
      <c r="AD354" s="98"/>
    </row>
    <row r="355" spans="1:30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 s="74"/>
      <c r="Z355" s="74"/>
      <c r="AA355" s="74"/>
      <c r="AB355" s="74"/>
      <c r="AC355" s="74"/>
      <c r="AD355" s="98"/>
    </row>
    <row r="356" spans="1:30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 s="74"/>
      <c r="Z356" s="74"/>
      <c r="AA356" s="74"/>
      <c r="AB356" s="74"/>
      <c r="AC356" s="74"/>
      <c r="AD356" s="98"/>
    </row>
    <row r="357" spans="1:30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 s="74"/>
      <c r="Z357" s="74"/>
      <c r="AA357" s="74"/>
      <c r="AB357" s="74"/>
      <c r="AC357" s="74"/>
      <c r="AD357" s="98"/>
    </row>
    <row r="358" spans="1:30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 s="74"/>
      <c r="Z358" s="74"/>
      <c r="AA358" s="74"/>
      <c r="AB358" s="74"/>
      <c r="AC358" s="74"/>
      <c r="AD358" s="98"/>
    </row>
    <row r="359" spans="1:30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 s="74"/>
      <c r="Z359" s="74"/>
      <c r="AA359" s="74"/>
      <c r="AB359" s="74"/>
      <c r="AC359" s="74"/>
      <c r="AD359" s="98"/>
    </row>
    <row r="360" spans="1:30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 s="74"/>
      <c r="Z360" s="74"/>
      <c r="AA360" s="74"/>
      <c r="AB360" s="74"/>
      <c r="AC360" s="74"/>
      <c r="AD360" s="98"/>
    </row>
    <row r="361" spans="1:30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 s="74"/>
      <c r="Z361" s="74"/>
      <c r="AA361" s="74"/>
      <c r="AB361" s="74"/>
      <c r="AC361" s="74"/>
      <c r="AD361" s="98"/>
    </row>
    <row r="362" spans="1:30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 s="74"/>
      <c r="Z362" s="74"/>
      <c r="AA362" s="74"/>
      <c r="AB362" s="74"/>
      <c r="AC362" s="74"/>
      <c r="AD362" s="98"/>
    </row>
    <row r="363" spans="1:30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 s="74"/>
      <c r="Z363" s="74"/>
      <c r="AA363" s="74"/>
      <c r="AB363" s="74"/>
      <c r="AC363" s="74"/>
      <c r="AD363" s="98"/>
    </row>
    <row r="364" spans="1:30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 s="74"/>
      <c r="Z364" s="74"/>
      <c r="AA364" s="74"/>
      <c r="AB364" s="74"/>
      <c r="AC364" s="74"/>
      <c r="AD364" s="98"/>
    </row>
    <row r="365" spans="1:30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 s="74"/>
      <c r="Z365" s="74"/>
      <c r="AA365" s="74"/>
      <c r="AB365" s="74"/>
      <c r="AC365" s="74"/>
      <c r="AD365" s="98"/>
    </row>
    <row r="366" spans="1:30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 s="74"/>
      <c r="Z366" s="74"/>
      <c r="AA366" s="74"/>
      <c r="AB366" s="74"/>
      <c r="AC366" s="74"/>
      <c r="AD366" s="98"/>
    </row>
    <row r="367" spans="1:30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 s="74"/>
      <c r="Z367" s="74"/>
      <c r="AA367" s="74"/>
      <c r="AB367" s="74"/>
      <c r="AC367" s="74"/>
      <c r="AD367" s="98"/>
    </row>
    <row r="368" spans="1:30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 s="74"/>
      <c r="Z368" s="74"/>
      <c r="AA368" s="74"/>
      <c r="AB368" s="74"/>
      <c r="AC368" s="74"/>
      <c r="AD368" s="98"/>
    </row>
    <row r="369" spans="1:30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 s="74"/>
      <c r="Z369" s="74"/>
      <c r="AA369" s="74"/>
      <c r="AB369" s="74"/>
      <c r="AC369" s="74"/>
      <c r="AD369" s="98"/>
    </row>
    <row r="370" spans="1:30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 s="74"/>
      <c r="Z370" s="74"/>
      <c r="AA370" s="74"/>
      <c r="AB370" s="74"/>
      <c r="AC370" s="74"/>
      <c r="AD370" s="98"/>
    </row>
    <row r="371" spans="1:30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 s="74"/>
      <c r="Z371" s="74"/>
      <c r="AA371" s="74"/>
      <c r="AB371" s="74"/>
      <c r="AC371" s="74"/>
      <c r="AD371" s="98"/>
    </row>
    <row r="372" spans="1:30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 s="74"/>
      <c r="Z372" s="74"/>
      <c r="AA372" s="74"/>
      <c r="AB372" s="74"/>
      <c r="AC372" s="74"/>
      <c r="AD372" s="98"/>
    </row>
    <row r="373" spans="1:30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 s="74"/>
      <c r="Z373" s="74"/>
      <c r="AA373" s="74"/>
      <c r="AB373" s="74"/>
      <c r="AC373" s="74"/>
      <c r="AD373" s="98"/>
    </row>
    <row r="374" spans="1:30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 s="74"/>
      <c r="Z374" s="74"/>
      <c r="AA374" s="74"/>
      <c r="AB374" s="74"/>
      <c r="AC374" s="74"/>
      <c r="AD374" s="98"/>
    </row>
    <row r="375" spans="1:30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 s="74"/>
      <c r="Z375" s="74"/>
      <c r="AA375" s="74"/>
      <c r="AB375" s="74"/>
      <c r="AC375" s="74"/>
      <c r="AD375" s="98"/>
    </row>
    <row r="376" spans="1:30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 s="74"/>
      <c r="Z376" s="74"/>
      <c r="AA376" s="74"/>
      <c r="AB376" s="74"/>
      <c r="AC376" s="74"/>
      <c r="AD376" s="98"/>
    </row>
    <row r="377" spans="1:30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 s="74"/>
      <c r="Z377" s="74"/>
      <c r="AA377" s="74"/>
      <c r="AB377" s="74"/>
      <c r="AC377" s="74"/>
      <c r="AD377" s="98"/>
    </row>
    <row r="378" spans="1:30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 s="74"/>
      <c r="Z378" s="74"/>
      <c r="AA378" s="74"/>
      <c r="AB378" s="74"/>
      <c r="AC378" s="74"/>
      <c r="AD378" s="98"/>
    </row>
    <row r="379" spans="1:30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 s="74"/>
      <c r="Z379" s="74"/>
      <c r="AA379" s="74"/>
      <c r="AB379" s="74"/>
      <c r="AC379" s="74"/>
      <c r="AD379" s="98"/>
    </row>
    <row r="380" spans="1:30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 s="74"/>
      <c r="Z380" s="74"/>
      <c r="AA380" s="74"/>
      <c r="AB380" s="74"/>
      <c r="AC380" s="74"/>
      <c r="AD380" s="98"/>
    </row>
    <row r="381" spans="1:30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 s="74"/>
      <c r="Z381" s="74"/>
      <c r="AA381" s="74"/>
      <c r="AB381" s="74"/>
      <c r="AC381" s="74"/>
      <c r="AD381" s="98"/>
    </row>
    <row r="382" spans="1:30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 s="74"/>
      <c r="Z382" s="74"/>
      <c r="AA382" s="74"/>
      <c r="AB382" s="74"/>
      <c r="AC382" s="74"/>
      <c r="AD382" s="98"/>
    </row>
    <row r="383" spans="1:30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 s="74"/>
      <c r="Z383" s="74"/>
      <c r="AA383" s="74"/>
      <c r="AB383" s="74"/>
      <c r="AC383" s="74"/>
      <c r="AD383" s="98"/>
    </row>
    <row r="384" spans="1:30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 s="74"/>
      <c r="Z384" s="74"/>
      <c r="AA384" s="74"/>
      <c r="AB384" s="74"/>
      <c r="AC384" s="74"/>
      <c r="AD384" s="98"/>
    </row>
    <row r="385" spans="1:30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 s="74"/>
      <c r="Z385" s="74"/>
      <c r="AA385" s="74"/>
      <c r="AB385" s="74"/>
      <c r="AC385" s="74"/>
      <c r="AD385" s="98"/>
    </row>
    <row r="386" spans="1:30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 s="74"/>
      <c r="Z386" s="74"/>
      <c r="AA386" s="74"/>
      <c r="AB386" s="74"/>
      <c r="AC386" s="74"/>
      <c r="AD386" s="98"/>
    </row>
    <row r="387" spans="1:30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 s="74"/>
      <c r="Z387" s="74"/>
      <c r="AA387" s="74"/>
      <c r="AB387" s="74"/>
      <c r="AC387" s="74"/>
      <c r="AD387" s="98"/>
    </row>
    <row r="388" spans="1:30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 s="74"/>
      <c r="Z388" s="74"/>
      <c r="AA388" s="74"/>
      <c r="AB388" s="74"/>
      <c r="AC388" s="74"/>
      <c r="AD388" s="98"/>
    </row>
    <row r="389" spans="1:30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 s="74"/>
      <c r="Z389" s="74"/>
      <c r="AA389" s="74"/>
      <c r="AB389" s="74"/>
      <c r="AC389" s="74"/>
      <c r="AD389" s="98"/>
    </row>
    <row r="390" spans="1:30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 s="74"/>
      <c r="Z390" s="74"/>
      <c r="AA390" s="74"/>
      <c r="AB390" s="74"/>
      <c r="AC390" s="74"/>
      <c r="AD390" s="98"/>
    </row>
    <row r="391" spans="1:30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 s="74"/>
      <c r="Z391" s="74"/>
      <c r="AA391" s="74"/>
      <c r="AB391" s="74"/>
      <c r="AC391" s="74"/>
      <c r="AD391" s="98"/>
    </row>
    <row r="392" spans="1:30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 s="74"/>
      <c r="Z392" s="74"/>
      <c r="AA392" s="74"/>
      <c r="AB392" s="74"/>
      <c r="AC392" s="74"/>
      <c r="AD392" s="98"/>
    </row>
    <row r="393" spans="1:30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 s="74"/>
      <c r="Z393" s="74"/>
      <c r="AA393" s="74"/>
      <c r="AB393" s="74"/>
      <c r="AC393" s="74"/>
      <c r="AD393" s="98"/>
    </row>
    <row r="394" spans="1:30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 s="74"/>
      <c r="Z394" s="74"/>
      <c r="AA394" s="74"/>
      <c r="AB394" s="74"/>
      <c r="AC394" s="74"/>
      <c r="AD394" s="98"/>
    </row>
    <row r="395" spans="1:30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 s="74"/>
      <c r="Z395" s="74"/>
      <c r="AA395" s="74"/>
      <c r="AB395" s="74"/>
      <c r="AC395" s="74"/>
      <c r="AD395" s="98"/>
    </row>
    <row r="396" spans="1:30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 s="74"/>
      <c r="Z396" s="74"/>
      <c r="AA396" s="74"/>
      <c r="AB396" s="74"/>
      <c r="AC396" s="74"/>
      <c r="AD396" s="98"/>
    </row>
    <row r="397" spans="1:30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 s="74"/>
      <c r="Z397" s="74"/>
      <c r="AA397" s="74"/>
      <c r="AB397" s="74"/>
      <c r="AC397" s="74"/>
      <c r="AD397" s="98"/>
    </row>
    <row r="398" spans="1:30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 s="74"/>
      <c r="Z398" s="74"/>
      <c r="AA398" s="74"/>
      <c r="AB398" s="74"/>
      <c r="AC398" s="74"/>
      <c r="AD398" s="98"/>
    </row>
    <row r="399" spans="1:30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 s="74"/>
      <c r="Z399" s="74"/>
      <c r="AA399" s="74"/>
      <c r="AB399" s="74"/>
      <c r="AC399" s="74"/>
      <c r="AD399" s="98"/>
    </row>
    <row r="400" spans="1:30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 s="74"/>
      <c r="Z400" s="74"/>
      <c r="AA400" s="74"/>
      <c r="AB400" s="74"/>
      <c r="AC400" s="74"/>
      <c r="AD400" s="98"/>
    </row>
    <row r="401" spans="1:30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 s="74"/>
      <c r="Z401" s="74"/>
      <c r="AA401" s="74"/>
      <c r="AB401" s="74"/>
      <c r="AC401" s="74"/>
      <c r="AD401" s="98"/>
    </row>
    <row r="402" spans="1:30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 s="74"/>
      <c r="Z402" s="74"/>
      <c r="AA402" s="74"/>
      <c r="AB402" s="74"/>
      <c r="AC402" s="74"/>
      <c r="AD402" s="98"/>
    </row>
    <row r="403" spans="1:30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 s="74"/>
      <c r="Z403" s="74"/>
      <c r="AA403" s="74"/>
      <c r="AB403" s="74"/>
      <c r="AC403" s="74"/>
      <c r="AD403" s="98"/>
    </row>
    <row r="404" spans="1:30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 s="74"/>
      <c r="Z404" s="74"/>
      <c r="AA404" s="74"/>
      <c r="AB404" s="74"/>
      <c r="AC404" s="74"/>
      <c r="AD404" s="98"/>
    </row>
    <row r="405" spans="1:30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 s="74"/>
      <c r="Z405" s="74"/>
      <c r="AA405" s="74"/>
      <c r="AB405" s="74"/>
      <c r="AC405" s="74"/>
      <c r="AD405" s="98"/>
    </row>
    <row r="406" spans="1:30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 s="74"/>
      <c r="Z406" s="74"/>
      <c r="AA406" s="74"/>
      <c r="AB406" s="74"/>
      <c r="AC406" s="74"/>
      <c r="AD406" s="98"/>
    </row>
    <row r="407" spans="1:30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 s="74"/>
      <c r="Z407" s="74"/>
      <c r="AA407" s="74"/>
      <c r="AB407" s="74"/>
      <c r="AC407" s="74"/>
      <c r="AD407" s="98"/>
    </row>
    <row r="408" spans="1:30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 s="74"/>
      <c r="Z408" s="74"/>
      <c r="AA408" s="74"/>
      <c r="AB408" s="74"/>
      <c r="AC408" s="74"/>
      <c r="AD408" s="98"/>
    </row>
    <row r="409" spans="1:30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 s="74"/>
      <c r="Z409" s="74"/>
      <c r="AA409" s="74"/>
      <c r="AB409" s="74"/>
      <c r="AC409" s="74"/>
      <c r="AD409" s="98"/>
    </row>
    <row r="410" spans="1:30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 s="74"/>
      <c r="Z410" s="74"/>
      <c r="AA410" s="74"/>
      <c r="AB410" s="74"/>
      <c r="AC410" s="74"/>
      <c r="AD410" s="98"/>
    </row>
    <row r="411" spans="1:30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 s="74"/>
      <c r="Z411" s="74"/>
      <c r="AA411" s="74"/>
      <c r="AB411" s="74"/>
      <c r="AC411" s="74"/>
      <c r="AD411" s="98"/>
    </row>
    <row r="412" spans="1:30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 s="74"/>
      <c r="Z412" s="74"/>
      <c r="AA412" s="74"/>
      <c r="AB412" s="74"/>
      <c r="AC412" s="74"/>
      <c r="AD412" s="98"/>
    </row>
    <row r="413" spans="1:30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 s="74"/>
      <c r="Z413" s="74"/>
      <c r="AA413" s="74"/>
      <c r="AB413" s="74"/>
      <c r="AC413" s="74"/>
      <c r="AD413" s="98"/>
    </row>
    <row r="414" spans="1:30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 s="74"/>
      <c r="Z414" s="74"/>
      <c r="AA414" s="74"/>
      <c r="AB414" s="74"/>
      <c r="AC414" s="74"/>
      <c r="AD414" s="98"/>
    </row>
    <row r="415" spans="1:30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 s="74"/>
      <c r="Z415" s="74"/>
      <c r="AA415" s="74"/>
      <c r="AB415" s="74"/>
      <c r="AC415" s="74"/>
      <c r="AD415" s="98"/>
    </row>
    <row r="416" spans="1:30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 s="74"/>
      <c r="Z416" s="74"/>
      <c r="AA416" s="74"/>
      <c r="AB416" s="74"/>
      <c r="AC416" s="74"/>
      <c r="AD416" s="98"/>
    </row>
    <row r="417" spans="1:30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 s="74"/>
      <c r="Z417" s="74"/>
      <c r="AA417" s="74"/>
      <c r="AB417" s="74"/>
      <c r="AC417" s="74"/>
      <c r="AD417" s="98"/>
    </row>
    <row r="418" spans="1:30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 s="74"/>
      <c r="Z418" s="74"/>
      <c r="AA418" s="74"/>
      <c r="AB418" s="74"/>
      <c r="AC418" s="74"/>
      <c r="AD418" s="98"/>
    </row>
    <row r="419" spans="1:30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 s="74"/>
      <c r="Z419" s="74"/>
      <c r="AA419" s="74"/>
      <c r="AB419" s="74"/>
      <c r="AC419" s="74"/>
      <c r="AD419" s="98"/>
    </row>
    <row r="420" spans="1:30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 s="74"/>
      <c r="Z420" s="74"/>
      <c r="AA420" s="74"/>
      <c r="AB420" s="74"/>
      <c r="AC420" s="74"/>
      <c r="AD420" s="98"/>
    </row>
    <row r="421" spans="1:30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 s="74"/>
      <c r="Z421" s="74"/>
      <c r="AA421" s="74"/>
      <c r="AB421" s="74"/>
      <c r="AC421" s="74"/>
      <c r="AD421" s="98"/>
    </row>
    <row r="422" spans="1:30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 s="74"/>
      <c r="Z422" s="74"/>
      <c r="AA422" s="74"/>
      <c r="AB422" s="74"/>
      <c r="AC422" s="74"/>
      <c r="AD422" s="98"/>
    </row>
    <row r="423" spans="1:30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 s="74"/>
      <c r="Z423" s="74"/>
      <c r="AA423" s="74"/>
      <c r="AB423" s="74"/>
      <c r="AC423" s="74"/>
      <c r="AD423" s="98"/>
    </row>
    <row r="424" spans="1:30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 s="74"/>
      <c r="Z424" s="74"/>
      <c r="AA424" s="74"/>
      <c r="AB424" s="74"/>
      <c r="AC424" s="74"/>
      <c r="AD424" s="98"/>
    </row>
    <row r="425" spans="1:30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 s="74"/>
      <c r="Z425" s="74"/>
      <c r="AA425" s="74"/>
      <c r="AB425" s="74"/>
      <c r="AC425" s="74"/>
      <c r="AD425" s="98"/>
    </row>
    <row r="426" spans="1:30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 s="74"/>
      <c r="Z426" s="74"/>
      <c r="AA426" s="74"/>
      <c r="AB426" s="74"/>
      <c r="AC426" s="74"/>
      <c r="AD426" s="98"/>
    </row>
    <row r="427" spans="1:30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 s="74"/>
      <c r="Z427" s="74"/>
      <c r="AA427" s="74"/>
      <c r="AB427" s="74"/>
      <c r="AC427" s="74"/>
      <c r="AD427" s="98"/>
    </row>
    <row r="428" spans="1:30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 s="74"/>
      <c r="Z428" s="74"/>
      <c r="AA428" s="74"/>
      <c r="AB428" s="74"/>
      <c r="AC428" s="74"/>
      <c r="AD428" s="98"/>
    </row>
    <row r="429" spans="1:30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 s="74"/>
      <c r="Z429" s="74"/>
      <c r="AA429" s="74"/>
      <c r="AB429" s="74"/>
      <c r="AC429" s="74"/>
      <c r="AD429" s="98"/>
    </row>
    <row r="430" spans="1:30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 s="74"/>
      <c r="Z430" s="74"/>
      <c r="AA430" s="74"/>
      <c r="AB430" s="74"/>
      <c r="AC430" s="74"/>
      <c r="AD430" s="98"/>
    </row>
    <row r="431" spans="1:30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 s="74"/>
      <c r="Z431" s="74"/>
      <c r="AA431" s="74"/>
      <c r="AB431" s="74"/>
      <c r="AC431" s="74"/>
      <c r="AD431" s="98"/>
    </row>
    <row r="432" spans="1:30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 s="74"/>
      <c r="Z432" s="74"/>
      <c r="AA432" s="74"/>
      <c r="AB432" s="74"/>
      <c r="AC432" s="74"/>
      <c r="AD432" s="98"/>
    </row>
    <row r="433" spans="1:30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 s="74"/>
      <c r="Z433" s="74"/>
      <c r="AA433" s="74"/>
      <c r="AB433" s="74"/>
      <c r="AC433" s="74"/>
      <c r="AD433" s="98"/>
    </row>
    <row r="434" spans="1:30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 s="74"/>
      <c r="Z434" s="74"/>
      <c r="AA434" s="74"/>
      <c r="AB434" s="74"/>
      <c r="AC434" s="74"/>
      <c r="AD434" s="98"/>
    </row>
    <row r="435" spans="1:30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 s="74"/>
      <c r="Z435" s="74"/>
      <c r="AA435" s="74"/>
      <c r="AB435" s="74"/>
      <c r="AC435" s="74"/>
      <c r="AD435" s="98"/>
    </row>
    <row r="436" spans="1:30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 s="74"/>
      <c r="Z436" s="74"/>
      <c r="AA436" s="74"/>
      <c r="AB436" s="74"/>
      <c r="AC436" s="74"/>
      <c r="AD436" s="98"/>
    </row>
    <row r="437" spans="1:30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 s="74"/>
      <c r="Z437" s="74"/>
      <c r="AA437" s="74"/>
      <c r="AB437" s="74"/>
      <c r="AC437" s="74"/>
      <c r="AD437" s="98"/>
    </row>
    <row r="438" spans="1:30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 s="74"/>
      <c r="Z438" s="74"/>
      <c r="AA438" s="74"/>
      <c r="AB438" s="74"/>
      <c r="AC438" s="74"/>
      <c r="AD438" s="98"/>
    </row>
    <row r="439" spans="1:30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 s="74"/>
      <c r="Z439" s="74"/>
      <c r="AA439" s="74"/>
      <c r="AB439" s="74"/>
      <c r="AC439" s="74"/>
      <c r="AD439" s="98"/>
    </row>
    <row r="440" spans="1:30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 s="74"/>
      <c r="Z440" s="74"/>
      <c r="AA440" s="74"/>
      <c r="AB440" s="74"/>
      <c r="AC440" s="74"/>
      <c r="AD440" s="98"/>
    </row>
    <row r="441" spans="1:30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 s="74"/>
      <c r="Z441" s="74"/>
      <c r="AA441" s="74"/>
      <c r="AB441" s="74"/>
      <c r="AC441" s="74"/>
      <c r="AD441" s="98"/>
    </row>
    <row r="442" spans="1:30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 s="74"/>
      <c r="Z442" s="74"/>
      <c r="AA442" s="74"/>
      <c r="AB442" s="74"/>
      <c r="AC442" s="74"/>
      <c r="AD442" s="98"/>
    </row>
    <row r="443" spans="1:30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 s="74"/>
      <c r="Z443" s="74"/>
      <c r="AA443" s="74"/>
      <c r="AB443" s="74"/>
      <c r="AC443" s="74"/>
      <c r="AD443" s="98"/>
    </row>
    <row r="444" spans="1:30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 s="74"/>
      <c r="Z444" s="74"/>
      <c r="AA444" s="74"/>
      <c r="AB444" s="74"/>
      <c r="AC444" s="74"/>
      <c r="AD444" s="98"/>
    </row>
    <row r="445" spans="1:30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 s="74"/>
      <c r="Z445" s="74"/>
      <c r="AA445" s="74"/>
      <c r="AB445" s="74"/>
      <c r="AC445" s="74"/>
      <c r="AD445" s="98"/>
    </row>
    <row r="446" spans="1:30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 s="74"/>
      <c r="Z446" s="74"/>
      <c r="AA446" s="74"/>
      <c r="AB446" s="74"/>
      <c r="AC446" s="74"/>
      <c r="AD446" s="98"/>
    </row>
    <row r="447" spans="1:30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 s="74"/>
      <c r="Z447" s="74"/>
      <c r="AA447" s="74"/>
      <c r="AB447" s="74"/>
      <c r="AC447" s="74"/>
      <c r="AD447" s="98"/>
    </row>
    <row r="448" spans="1:30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 s="74"/>
      <c r="Z448" s="74"/>
      <c r="AA448" s="74"/>
      <c r="AB448" s="74"/>
      <c r="AC448" s="74"/>
      <c r="AD448" s="98"/>
    </row>
    <row r="449" spans="1:30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 s="74"/>
      <c r="Z449" s="74"/>
      <c r="AA449" s="74"/>
      <c r="AB449" s="74"/>
      <c r="AC449" s="74"/>
      <c r="AD449" s="98"/>
    </row>
    <row r="450" spans="1:30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 s="74"/>
      <c r="Z450" s="74"/>
      <c r="AA450" s="74"/>
      <c r="AB450" s="74"/>
      <c r="AC450" s="74"/>
      <c r="AD450" s="98"/>
    </row>
    <row r="451" spans="1:30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 s="74"/>
      <c r="Z451" s="74"/>
      <c r="AA451" s="74"/>
      <c r="AB451" s="74"/>
      <c r="AC451" s="74"/>
      <c r="AD451" s="98"/>
    </row>
    <row r="452" spans="1:30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 s="74"/>
      <c r="Z452" s="74"/>
      <c r="AA452" s="74"/>
      <c r="AB452" s="74"/>
      <c r="AC452" s="74"/>
      <c r="AD452" s="98"/>
    </row>
    <row r="453" spans="1:30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 s="74"/>
      <c r="Z453" s="74"/>
      <c r="AA453" s="74"/>
      <c r="AB453" s="74"/>
      <c r="AC453" s="74"/>
      <c r="AD453" s="98"/>
    </row>
    <row r="454" spans="1:30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 s="74"/>
      <c r="Z454" s="74"/>
      <c r="AA454" s="74"/>
      <c r="AB454" s="74"/>
      <c r="AC454" s="74"/>
      <c r="AD454" s="98"/>
    </row>
    <row r="455" spans="1:30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 s="74"/>
      <c r="Z455" s="74"/>
      <c r="AA455" s="74"/>
      <c r="AB455" s="74"/>
      <c r="AC455" s="74"/>
      <c r="AD455" s="98"/>
    </row>
    <row r="456" spans="1:30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 s="74"/>
      <c r="Z456" s="74"/>
      <c r="AA456" s="74"/>
      <c r="AB456" s="74"/>
      <c r="AC456" s="74"/>
      <c r="AD456" s="98"/>
    </row>
    <row r="457" spans="1:30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 s="74"/>
      <c r="Z457" s="74"/>
      <c r="AA457" s="74"/>
      <c r="AB457" s="74"/>
      <c r="AC457" s="74"/>
      <c r="AD457" s="98"/>
    </row>
    <row r="458" spans="1:30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 s="74"/>
      <c r="Z458" s="74"/>
      <c r="AA458" s="74"/>
      <c r="AB458" s="74"/>
      <c r="AC458" s="74"/>
      <c r="AD458" s="98"/>
    </row>
    <row r="459" spans="1:30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 s="74"/>
      <c r="Z459" s="74"/>
      <c r="AA459" s="74"/>
      <c r="AB459" s="74"/>
      <c r="AC459" s="74"/>
      <c r="AD459" s="98"/>
    </row>
    <row r="460" spans="1:30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 s="74"/>
      <c r="Z460" s="74"/>
      <c r="AA460" s="74"/>
      <c r="AB460" s="74"/>
      <c r="AC460" s="74"/>
      <c r="AD460" s="98"/>
    </row>
    <row r="461" spans="1:30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 s="74"/>
      <c r="Z461" s="74"/>
      <c r="AA461" s="74"/>
      <c r="AB461" s="74"/>
      <c r="AC461" s="74"/>
      <c r="AD461" s="98"/>
    </row>
    <row r="462" spans="1:30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 s="74"/>
      <c r="Z462" s="74"/>
      <c r="AA462" s="74"/>
      <c r="AB462" s="74"/>
      <c r="AC462" s="74"/>
      <c r="AD462" s="98"/>
    </row>
    <row r="463" spans="1:30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 s="74"/>
      <c r="Z463" s="74"/>
      <c r="AA463" s="74"/>
      <c r="AB463" s="74"/>
      <c r="AC463" s="74"/>
      <c r="AD463" s="98"/>
    </row>
    <row r="464" spans="1:30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 s="74"/>
      <c r="Z464" s="74"/>
      <c r="AA464" s="74"/>
      <c r="AB464" s="74"/>
      <c r="AC464" s="74"/>
      <c r="AD464" s="98"/>
    </row>
    <row r="465" spans="1:30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 s="74"/>
      <c r="Z465" s="74"/>
      <c r="AA465" s="74"/>
      <c r="AB465" s="74"/>
      <c r="AC465" s="74"/>
      <c r="AD465" s="98"/>
    </row>
    <row r="466" spans="1:30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 s="74"/>
      <c r="Z466" s="74"/>
      <c r="AA466" s="74"/>
      <c r="AB466" s="74"/>
      <c r="AC466" s="74"/>
      <c r="AD466" s="98"/>
    </row>
    <row r="467" spans="1:30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 s="74"/>
      <c r="Z467" s="74"/>
      <c r="AA467" s="74"/>
      <c r="AB467" s="74"/>
      <c r="AC467" s="74"/>
      <c r="AD467" s="98"/>
    </row>
    <row r="468" spans="1:30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 s="74"/>
      <c r="Z468" s="74"/>
      <c r="AA468" s="74"/>
      <c r="AB468" s="74"/>
      <c r="AC468" s="74"/>
      <c r="AD468" s="98"/>
    </row>
    <row r="469" spans="1:30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 s="74"/>
      <c r="Z469" s="74"/>
      <c r="AA469" s="74"/>
      <c r="AB469" s="74"/>
      <c r="AC469" s="74"/>
      <c r="AD469" s="98"/>
    </row>
    <row r="470" spans="1:30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 s="74"/>
      <c r="Z470" s="74"/>
      <c r="AA470" s="74"/>
      <c r="AB470" s="74"/>
      <c r="AC470" s="74"/>
      <c r="AD470" s="98"/>
    </row>
    <row r="471" spans="1:30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 s="74"/>
      <c r="Z471" s="74"/>
      <c r="AA471" s="74"/>
      <c r="AB471" s="74"/>
      <c r="AC471" s="74"/>
      <c r="AD471" s="98"/>
    </row>
    <row r="472" spans="1:30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 s="74"/>
      <c r="Z472" s="74"/>
      <c r="AA472" s="74"/>
      <c r="AB472" s="74"/>
      <c r="AC472" s="74"/>
      <c r="AD472" s="98"/>
    </row>
    <row r="473" spans="1:30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 s="74"/>
      <c r="Z473" s="74"/>
      <c r="AA473" s="74"/>
      <c r="AB473" s="74"/>
      <c r="AC473" s="74"/>
      <c r="AD473" s="98"/>
    </row>
    <row r="474" spans="1:30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 s="74"/>
      <c r="Z474" s="74"/>
      <c r="AA474" s="74"/>
      <c r="AB474" s="74"/>
      <c r="AC474" s="74"/>
      <c r="AD474" s="98"/>
    </row>
    <row r="475" spans="1:30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 s="74"/>
      <c r="Z475" s="74"/>
      <c r="AA475" s="74"/>
      <c r="AB475" s="74"/>
      <c r="AC475" s="74"/>
      <c r="AD475" s="98"/>
    </row>
    <row r="476" spans="1:30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 s="74"/>
      <c r="Z476" s="74"/>
      <c r="AA476" s="74"/>
      <c r="AB476" s="74"/>
      <c r="AC476" s="74"/>
      <c r="AD476" s="98"/>
    </row>
    <row r="477" spans="1:30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 s="74"/>
      <c r="Z477" s="74"/>
      <c r="AA477" s="74"/>
      <c r="AB477" s="74"/>
      <c r="AC477" s="74"/>
      <c r="AD477" s="98"/>
    </row>
    <row r="478" spans="1:30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 s="74"/>
      <c r="Z478" s="74"/>
      <c r="AA478" s="74"/>
      <c r="AB478" s="74"/>
      <c r="AC478" s="74"/>
      <c r="AD478" s="98"/>
    </row>
    <row r="479" spans="1:30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 s="74"/>
      <c r="Z479" s="74"/>
      <c r="AA479" s="74"/>
      <c r="AB479" s="74"/>
      <c r="AC479" s="74"/>
      <c r="AD479" s="98"/>
    </row>
    <row r="480" spans="1:30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 s="74"/>
      <c r="Z480" s="74"/>
      <c r="AA480" s="74"/>
      <c r="AB480" s="74"/>
      <c r="AC480" s="74"/>
      <c r="AD480" s="98"/>
    </row>
    <row r="481" spans="1:30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 s="74"/>
      <c r="Z481" s="74"/>
      <c r="AA481" s="74"/>
      <c r="AB481" s="74"/>
      <c r="AC481" s="74"/>
      <c r="AD481" s="98"/>
    </row>
    <row r="482" spans="1:30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 s="74"/>
      <c r="Z482" s="74"/>
      <c r="AA482" s="74"/>
      <c r="AB482" s="74"/>
      <c r="AC482" s="74"/>
      <c r="AD482" s="98"/>
    </row>
    <row r="483" spans="1:30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 s="74"/>
      <c r="Z483" s="74"/>
      <c r="AA483" s="74"/>
      <c r="AB483" s="74"/>
      <c r="AC483" s="74"/>
      <c r="AD483" s="98"/>
    </row>
    <row r="484" spans="1:30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 s="74"/>
      <c r="Z484" s="74"/>
      <c r="AA484" s="74"/>
      <c r="AB484" s="74"/>
      <c r="AC484" s="74"/>
      <c r="AD484" s="98"/>
    </row>
    <row r="485" spans="1:30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 s="74"/>
      <c r="Z485" s="74"/>
      <c r="AA485" s="74"/>
      <c r="AB485" s="74"/>
      <c r="AC485" s="74"/>
      <c r="AD485" s="98"/>
    </row>
    <row r="486" spans="1:30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 s="74"/>
      <c r="Z486" s="74"/>
      <c r="AA486" s="74"/>
      <c r="AB486" s="74"/>
      <c r="AC486" s="74"/>
      <c r="AD486" s="98"/>
    </row>
    <row r="487" spans="1:30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 s="74"/>
      <c r="Z487" s="74"/>
      <c r="AA487" s="74"/>
      <c r="AB487" s="74"/>
      <c r="AC487" s="74"/>
      <c r="AD487" s="98"/>
    </row>
    <row r="488" spans="1:30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 s="74"/>
      <c r="Z488" s="74"/>
      <c r="AA488" s="74"/>
      <c r="AB488" s="74"/>
      <c r="AC488" s="74"/>
      <c r="AD488" s="98"/>
    </row>
    <row r="489" spans="1:30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 s="74"/>
      <c r="Z489" s="74"/>
      <c r="AA489" s="74"/>
      <c r="AB489" s="74"/>
      <c r="AC489" s="74"/>
      <c r="AD489" s="98"/>
    </row>
    <row r="490" spans="1:30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 s="74"/>
      <c r="Z490" s="74"/>
      <c r="AA490" s="74"/>
      <c r="AB490" s="74"/>
      <c r="AC490" s="74"/>
      <c r="AD490" s="98"/>
    </row>
    <row r="491" spans="1:30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 s="74"/>
      <c r="Z491" s="74"/>
      <c r="AA491" s="74"/>
      <c r="AB491" s="74"/>
      <c r="AC491" s="74"/>
      <c r="AD491" s="98"/>
    </row>
    <row r="492" spans="1:30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 s="74"/>
      <c r="Z492" s="74"/>
      <c r="AA492" s="74"/>
      <c r="AB492" s="74"/>
      <c r="AC492" s="74"/>
      <c r="AD492" s="98"/>
    </row>
    <row r="493" spans="1:30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 s="74"/>
      <c r="Z493" s="74"/>
      <c r="AA493" s="74"/>
      <c r="AB493" s="74"/>
      <c r="AC493" s="74"/>
      <c r="AD493" s="98"/>
    </row>
    <row r="494" spans="1:30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 s="74"/>
      <c r="Z494" s="74"/>
      <c r="AA494" s="74"/>
      <c r="AB494" s="74"/>
      <c r="AC494" s="74"/>
      <c r="AD494" s="98"/>
    </row>
    <row r="495" spans="1:30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 s="74"/>
      <c r="Z495" s="74"/>
      <c r="AA495" s="74"/>
      <c r="AB495" s="74"/>
      <c r="AC495" s="74"/>
      <c r="AD495" s="98"/>
    </row>
    <row r="496" spans="1:30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 s="74"/>
      <c r="Z496" s="74"/>
      <c r="AA496" s="74"/>
      <c r="AB496" s="74"/>
      <c r="AC496" s="74"/>
      <c r="AD496" s="98"/>
    </row>
    <row r="497" spans="1:30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 s="74"/>
      <c r="Z497" s="74"/>
      <c r="AA497" s="74"/>
      <c r="AB497" s="74"/>
      <c r="AC497" s="74"/>
      <c r="AD497" s="98"/>
    </row>
    <row r="498" spans="1:30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 s="74"/>
      <c r="Z498" s="74"/>
      <c r="AA498" s="74"/>
      <c r="AB498" s="74"/>
      <c r="AC498" s="74"/>
      <c r="AD498" s="98"/>
    </row>
    <row r="499" spans="1:30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 s="74"/>
      <c r="Z499" s="74"/>
      <c r="AA499" s="74"/>
      <c r="AB499" s="74"/>
      <c r="AC499" s="74"/>
      <c r="AD499" s="98"/>
    </row>
    <row r="500" spans="1:30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 s="74"/>
      <c r="Z500" s="74"/>
      <c r="AA500" s="74"/>
      <c r="AB500" s="74"/>
      <c r="AC500" s="74"/>
      <c r="AD500" s="98"/>
    </row>
    <row r="501" spans="1:30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 s="74"/>
      <c r="Z501" s="74"/>
      <c r="AA501" s="74"/>
      <c r="AB501" s="74"/>
      <c r="AC501" s="74"/>
      <c r="AD501" s="98"/>
    </row>
    <row r="502" spans="1:30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 s="74"/>
      <c r="Z502" s="74"/>
      <c r="AA502" s="74"/>
      <c r="AB502" s="74"/>
      <c r="AC502" s="74"/>
      <c r="AD502" s="98"/>
    </row>
    <row r="503" spans="1:30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 s="74"/>
      <c r="Z503" s="74"/>
      <c r="AA503" s="74"/>
      <c r="AB503" s="74"/>
      <c r="AC503" s="74"/>
      <c r="AD503" s="98"/>
    </row>
    <row r="504" spans="1:30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 s="74"/>
      <c r="Z504" s="74"/>
      <c r="AA504" s="74"/>
      <c r="AB504" s="74"/>
      <c r="AC504" s="74"/>
      <c r="AD504" s="98"/>
    </row>
    <row r="505" spans="1:30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 s="74"/>
      <c r="Z505" s="74"/>
      <c r="AA505" s="74"/>
      <c r="AB505" s="74"/>
      <c r="AC505" s="74"/>
      <c r="AD505" s="98"/>
    </row>
    <row r="506" spans="1:30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 s="74"/>
      <c r="Z506" s="74"/>
      <c r="AA506" s="74"/>
      <c r="AB506" s="74"/>
      <c r="AC506" s="74"/>
      <c r="AD506" s="98"/>
    </row>
    <row r="507" spans="1:30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 s="74"/>
      <c r="Z507" s="74"/>
      <c r="AA507" s="74"/>
      <c r="AB507" s="74"/>
      <c r="AC507" s="74"/>
      <c r="AD507" s="98"/>
    </row>
    <row r="508" spans="1:30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 s="74"/>
      <c r="Z508" s="74"/>
      <c r="AA508" s="74"/>
      <c r="AB508" s="74"/>
      <c r="AC508" s="74"/>
      <c r="AD508" s="98"/>
    </row>
    <row r="509" spans="1:30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 s="74"/>
      <c r="Z509" s="74"/>
      <c r="AA509" s="74"/>
      <c r="AB509" s="74"/>
      <c r="AC509" s="74"/>
      <c r="AD509" s="98"/>
    </row>
    <row r="510" spans="1:30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 s="74"/>
      <c r="Z510" s="74"/>
      <c r="AA510" s="74"/>
      <c r="AB510" s="74"/>
      <c r="AC510" s="74"/>
      <c r="AD510" s="98"/>
    </row>
    <row r="511" spans="1:30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 s="74"/>
      <c r="Z511" s="74"/>
      <c r="AA511" s="74"/>
      <c r="AB511" s="74"/>
      <c r="AC511" s="74"/>
      <c r="AD511" s="98"/>
    </row>
    <row r="512" spans="1:30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 s="74"/>
      <c r="Z512" s="74"/>
      <c r="AA512" s="74"/>
      <c r="AB512" s="74"/>
      <c r="AC512" s="74"/>
      <c r="AD512" s="98"/>
    </row>
    <row r="513" spans="1:30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 s="74"/>
      <c r="Z513" s="74"/>
      <c r="AA513" s="74"/>
      <c r="AB513" s="74"/>
      <c r="AC513" s="74"/>
      <c r="AD513" s="98"/>
    </row>
    <row r="514" spans="1:30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 s="74"/>
      <c r="Z514" s="74"/>
      <c r="AA514" s="74"/>
      <c r="AB514" s="74"/>
      <c r="AC514" s="74"/>
      <c r="AD514" s="98"/>
    </row>
    <row r="515" spans="1:30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 s="74"/>
      <c r="Z515" s="74"/>
      <c r="AA515" s="74"/>
      <c r="AB515" s="74"/>
      <c r="AC515" s="74"/>
      <c r="AD515" s="98"/>
    </row>
    <row r="516" spans="1:30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 s="74"/>
      <c r="Z516" s="74"/>
      <c r="AA516" s="74"/>
      <c r="AB516" s="74"/>
      <c r="AC516" s="74"/>
      <c r="AD516" s="98"/>
    </row>
    <row r="517" spans="1:30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 s="74"/>
      <c r="Z517" s="74"/>
      <c r="AA517" s="74"/>
      <c r="AB517" s="74"/>
      <c r="AC517" s="74"/>
      <c r="AD517" s="98"/>
    </row>
    <row r="518" spans="1:30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 s="74"/>
      <c r="Z518" s="74"/>
      <c r="AA518" s="74"/>
      <c r="AB518" s="74"/>
      <c r="AC518" s="74"/>
      <c r="AD518" s="98"/>
    </row>
    <row r="519" spans="1:30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 s="74"/>
      <c r="Z519" s="74"/>
      <c r="AA519" s="74"/>
      <c r="AB519" s="74"/>
      <c r="AC519" s="74"/>
      <c r="AD519" s="98"/>
    </row>
    <row r="520" spans="1:30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 s="74"/>
      <c r="Z520" s="74"/>
      <c r="AA520" s="74"/>
      <c r="AB520" s="74"/>
      <c r="AC520" s="74"/>
      <c r="AD520" s="98"/>
    </row>
    <row r="521" spans="1:30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 s="74"/>
      <c r="Z521" s="74"/>
      <c r="AA521" s="74"/>
      <c r="AB521" s="74"/>
      <c r="AC521" s="74"/>
      <c r="AD521" s="98"/>
    </row>
    <row r="522" spans="1:30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 s="74"/>
      <c r="Z522" s="74"/>
      <c r="AA522" s="74"/>
      <c r="AB522" s="74"/>
      <c r="AC522" s="74"/>
      <c r="AD522" s="98"/>
    </row>
    <row r="523" spans="1:30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 s="74"/>
      <c r="Z523" s="74"/>
      <c r="AA523" s="74"/>
      <c r="AB523" s="74"/>
      <c r="AC523" s="74"/>
      <c r="AD523" s="98"/>
    </row>
    <row r="524" spans="1:30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 s="74"/>
      <c r="Z524" s="74"/>
      <c r="AA524" s="74"/>
      <c r="AB524" s="74"/>
      <c r="AC524" s="74"/>
      <c r="AD524" s="98"/>
    </row>
    <row r="525" spans="1:30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 s="74"/>
      <c r="Z525" s="74"/>
      <c r="AA525" s="74"/>
      <c r="AB525" s="74"/>
      <c r="AC525" s="74"/>
      <c r="AD525" s="98"/>
    </row>
    <row r="526" spans="1:30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 s="74"/>
      <c r="Z526" s="74"/>
      <c r="AA526" s="74"/>
      <c r="AB526" s="74"/>
      <c r="AC526" s="74"/>
      <c r="AD526" s="98"/>
    </row>
    <row r="527" spans="1:30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 s="74"/>
      <c r="Z527" s="74"/>
      <c r="AA527" s="74"/>
      <c r="AB527" s="74"/>
      <c r="AC527" s="74"/>
      <c r="AD527" s="98"/>
    </row>
    <row r="528" spans="1:30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 s="74"/>
      <c r="Z528" s="74"/>
      <c r="AA528" s="74"/>
      <c r="AB528" s="74"/>
      <c r="AC528" s="74"/>
      <c r="AD528" s="98"/>
    </row>
    <row r="529" spans="1:30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 s="74"/>
      <c r="Z529" s="74"/>
      <c r="AA529" s="74"/>
      <c r="AB529" s="74"/>
      <c r="AC529" s="74"/>
      <c r="AD529" s="98"/>
    </row>
    <row r="530" spans="1:30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 s="74"/>
      <c r="Z530" s="74"/>
      <c r="AA530" s="74"/>
      <c r="AB530" s="74"/>
      <c r="AC530" s="74"/>
      <c r="AD530" s="98"/>
    </row>
    <row r="531" spans="1:30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 s="74"/>
      <c r="Z531" s="74"/>
      <c r="AA531" s="74"/>
      <c r="AB531" s="74"/>
      <c r="AC531" s="74"/>
      <c r="AD531" s="98"/>
    </row>
    <row r="532" spans="1:30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 s="74"/>
      <c r="Z532" s="74"/>
      <c r="AA532" s="74"/>
      <c r="AB532" s="74"/>
      <c r="AC532" s="74"/>
      <c r="AD532" s="98"/>
    </row>
    <row r="533" spans="1:30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 s="74"/>
      <c r="Z533" s="74"/>
      <c r="AA533" s="74"/>
      <c r="AB533" s="74"/>
      <c r="AC533" s="74"/>
      <c r="AD533" s="98"/>
    </row>
    <row r="534" spans="1:30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 s="74"/>
      <c r="Z534" s="74"/>
      <c r="AA534" s="74"/>
      <c r="AB534" s="74"/>
      <c r="AC534" s="74"/>
      <c r="AD534" s="98"/>
    </row>
    <row r="535" spans="1:30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 s="74"/>
      <c r="Z535" s="74"/>
      <c r="AA535" s="74"/>
      <c r="AB535" s="74"/>
      <c r="AC535" s="74"/>
      <c r="AD535" s="98"/>
    </row>
    <row r="536" spans="1:30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 s="74"/>
      <c r="Z536" s="74"/>
      <c r="AA536" s="74"/>
      <c r="AB536" s="74"/>
      <c r="AC536" s="74"/>
      <c r="AD536" s="98"/>
    </row>
    <row r="537" spans="1:30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 s="74"/>
      <c r="Z537" s="74"/>
      <c r="AA537" s="74"/>
      <c r="AB537" s="74"/>
      <c r="AC537" s="74"/>
      <c r="AD537" s="98"/>
    </row>
    <row r="538" spans="1:30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 s="74"/>
      <c r="Z538" s="74"/>
      <c r="AA538" s="74"/>
      <c r="AB538" s="74"/>
      <c r="AC538" s="74"/>
      <c r="AD538" s="98"/>
    </row>
    <row r="539" spans="1:30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 s="74"/>
      <c r="Z539" s="74"/>
      <c r="AA539" s="74"/>
      <c r="AB539" s="74"/>
      <c r="AC539" s="74"/>
      <c r="AD539" s="98"/>
    </row>
    <row r="540" spans="1:30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 s="74"/>
      <c r="Z540" s="74"/>
      <c r="AA540" s="74"/>
      <c r="AB540" s="74"/>
      <c r="AC540" s="74"/>
      <c r="AD540" s="98"/>
    </row>
    <row r="541" spans="1:30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 s="74"/>
      <c r="Z541" s="74"/>
      <c r="AA541" s="74"/>
      <c r="AB541" s="74"/>
      <c r="AC541" s="74"/>
      <c r="AD541" s="98"/>
    </row>
    <row r="542" spans="1:30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 s="74"/>
      <c r="Z542" s="74"/>
      <c r="AA542" s="74"/>
      <c r="AB542" s="74"/>
      <c r="AC542" s="74"/>
      <c r="AD542" s="98"/>
    </row>
    <row r="543" spans="1:30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 s="74"/>
      <c r="Z543" s="74"/>
      <c r="AA543" s="74"/>
      <c r="AB543" s="74"/>
      <c r="AC543" s="74"/>
      <c r="AD543" s="98"/>
    </row>
    <row r="544" spans="1:30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 s="74"/>
      <c r="Z544" s="74"/>
      <c r="AA544" s="74"/>
      <c r="AB544" s="74"/>
      <c r="AC544" s="74"/>
      <c r="AD544" s="98"/>
    </row>
    <row r="545" spans="1:30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 s="74"/>
      <c r="Z545" s="74"/>
      <c r="AA545" s="74"/>
      <c r="AB545" s="74"/>
      <c r="AC545" s="74"/>
      <c r="AD545" s="98"/>
    </row>
    <row r="546" spans="1:30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 s="74"/>
      <c r="Z546" s="74"/>
      <c r="AA546" s="74"/>
      <c r="AB546" s="74"/>
      <c r="AC546" s="74"/>
      <c r="AD546" s="98"/>
    </row>
    <row r="547" spans="1:30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 s="74"/>
      <c r="Z547" s="74"/>
      <c r="AA547" s="74"/>
      <c r="AB547" s="74"/>
      <c r="AC547" s="74"/>
      <c r="AD547" s="98"/>
    </row>
    <row r="548" spans="1:30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 s="74"/>
      <c r="Z548" s="74"/>
      <c r="AA548" s="74"/>
      <c r="AB548" s="74"/>
      <c r="AC548" s="74"/>
      <c r="AD548" s="98"/>
    </row>
    <row r="549" spans="1:30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 s="74"/>
      <c r="Z549" s="74"/>
      <c r="AA549" s="74"/>
      <c r="AB549" s="74"/>
      <c r="AC549" s="74"/>
      <c r="AD549" s="98"/>
    </row>
    <row r="550" spans="1:30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 s="74"/>
      <c r="Z550" s="74"/>
      <c r="AA550" s="74"/>
      <c r="AB550" s="74"/>
      <c r="AC550" s="74"/>
      <c r="AD550" s="98"/>
    </row>
    <row r="551" spans="1:30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 s="74"/>
      <c r="Z551" s="74"/>
      <c r="AA551" s="74"/>
      <c r="AB551" s="74"/>
      <c r="AC551" s="74"/>
      <c r="AD551" s="98"/>
    </row>
    <row r="552" spans="1:30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 s="74"/>
      <c r="Z552" s="74"/>
      <c r="AA552" s="74"/>
      <c r="AB552" s="74"/>
      <c r="AC552" s="74"/>
      <c r="AD552" s="98"/>
    </row>
    <row r="553" spans="1:30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 s="74"/>
      <c r="Z553" s="74"/>
      <c r="AA553" s="74"/>
      <c r="AB553" s="74"/>
      <c r="AC553" s="74"/>
      <c r="AD553" s="98"/>
    </row>
    <row r="554" spans="1:30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 s="74"/>
      <c r="Z554" s="74"/>
      <c r="AA554" s="74"/>
      <c r="AB554" s="74"/>
      <c r="AC554" s="74"/>
      <c r="AD554" s="98"/>
    </row>
    <row r="555" spans="1:30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 s="74"/>
      <c r="Z555" s="74"/>
      <c r="AA555" s="74"/>
      <c r="AB555" s="74"/>
      <c r="AC555" s="74"/>
      <c r="AD555" s="98"/>
    </row>
    <row r="556" spans="1:30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 s="74"/>
      <c r="Z556" s="74"/>
      <c r="AA556" s="74"/>
      <c r="AB556" s="74"/>
      <c r="AC556" s="74"/>
      <c r="AD556" s="98"/>
    </row>
    <row r="557" spans="1:30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 s="74"/>
      <c r="Z557" s="74"/>
      <c r="AA557" s="74"/>
      <c r="AB557" s="74"/>
      <c r="AC557" s="74"/>
      <c r="AD557" s="98"/>
    </row>
    <row r="558" spans="1:30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 s="74"/>
      <c r="Z558" s="74"/>
      <c r="AA558" s="74"/>
      <c r="AB558" s="74"/>
      <c r="AC558" s="74"/>
      <c r="AD558" s="98"/>
    </row>
    <row r="559" spans="1:30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 s="74"/>
      <c r="Z559" s="74"/>
      <c r="AA559" s="74"/>
      <c r="AB559" s="74"/>
      <c r="AC559" s="74"/>
      <c r="AD559" s="98"/>
    </row>
    <row r="560" spans="1:30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 s="74"/>
      <c r="Z560" s="74"/>
      <c r="AA560" s="74"/>
      <c r="AB560" s="74"/>
      <c r="AC560" s="74"/>
      <c r="AD560" s="98"/>
    </row>
    <row r="561" spans="1:30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 s="74"/>
      <c r="Z561" s="74"/>
      <c r="AA561" s="74"/>
      <c r="AB561" s="74"/>
      <c r="AC561" s="74"/>
      <c r="AD561" s="98"/>
    </row>
    <row r="562" spans="1:30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 s="74"/>
      <c r="Z562" s="74"/>
      <c r="AA562" s="74"/>
      <c r="AB562" s="74"/>
      <c r="AC562" s="74"/>
      <c r="AD562" s="98"/>
    </row>
    <row r="563" spans="1:30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 s="74"/>
      <c r="Z563" s="74"/>
      <c r="AA563" s="74"/>
      <c r="AB563" s="74"/>
      <c r="AC563" s="74"/>
      <c r="AD563" s="98"/>
    </row>
    <row r="564" spans="1:30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 s="74"/>
      <c r="Z564" s="74"/>
      <c r="AA564" s="74"/>
      <c r="AB564" s="74"/>
      <c r="AC564" s="74"/>
      <c r="AD564" s="98"/>
    </row>
    <row r="565" spans="1:30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 s="74"/>
      <c r="Z565" s="74"/>
      <c r="AA565" s="74"/>
      <c r="AB565" s="74"/>
      <c r="AC565" s="74"/>
      <c r="AD565" s="98"/>
    </row>
    <row r="566" spans="1:30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 s="74"/>
      <c r="Z566" s="74"/>
      <c r="AA566" s="74"/>
      <c r="AB566" s="74"/>
      <c r="AC566" s="74"/>
      <c r="AD566" s="98"/>
    </row>
    <row r="567" spans="1:30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 s="74"/>
      <c r="Z567" s="74"/>
      <c r="AA567" s="74"/>
      <c r="AB567" s="74"/>
      <c r="AC567" s="74"/>
      <c r="AD567" s="98"/>
    </row>
    <row r="568" spans="1:30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 s="74"/>
      <c r="Z568" s="74"/>
      <c r="AA568" s="74"/>
      <c r="AB568" s="74"/>
      <c r="AC568" s="74"/>
      <c r="AD568" s="98"/>
    </row>
    <row r="569" spans="1:30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 s="74"/>
      <c r="Z569" s="74"/>
      <c r="AA569" s="74"/>
      <c r="AB569" s="74"/>
      <c r="AC569" s="74"/>
      <c r="AD569" s="98"/>
    </row>
    <row r="570" spans="1:30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 s="74"/>
      <c r="Z570" s="74"/>
      <c r="AA570" s="74"/>
      <c r="AB570" s="74"/>
      <c r="AC570" s="74"/>
      <c r="AD570" s="98"/>
    </row>
    <row r="571" spans="1:30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 s="74"/>
      <c r="Z571" s="74"/>
      <c r="AA571" s="74"/>
      <c r="AB571" s="74"/>
      <c r="AC571" s="74"/>
      <c r="AD571" s="98"/>
    </row>
    <row r="572" spans="1:30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 s="74"/>
      <c r="Z572" s="74"/>
      <c r="AA572" s="74"/>
      <c r="AB572" s="74"/>
      <c r="AC572" s="74"/>
      <c r="AD572" s="98"/>
    </row>
    <row r="573" spans="1:30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 s="74"/>
      <c r="Z573" s="74"/>
      <c r="AA573" s="74"/>
      <c r="AB573" s="74"/>
      <c r="AC573" s="74"/>
      <c r="AD573" s="98"/>
    </row>
    <row r="574" spans="1:30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 s="74"/>
      <c r="Z574" s="74"/>
      <c r="AA574" s="74"/>
      <c r="AB574" s="74"/>
      <c r="AC574" s="74"/>
      <c r="AD574" s="98"/>
    </row>
    <row r="575" spans="1:30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 s="74"/>
      <c r="Z575" s="74"/>
      <c r="AA575" s="74"/>
      <c r="AB575" s="74"/>
      <c r="AC575" s="74"/>
      <c r="AD575" s="98"/>
    </row>
    <row r="576" spans="1:30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 s="74"/>
      <c r="Z576" s="74"/>
      <c r="AA576" s="74"/>
      <c r="AB576" s="74"/>
      <c r="AC576" s="74"/>
      <c r="AD576" s="98"/>
    </row>
    <row r="577" spans="1:30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 s="74"/>
      <c r="Z577" s="74"/>
      <c r="AA577" s="74"/>
      <c r="AB577" s="74"/>
      <c r="AC577" s="74"/>
      <c r="AD577" s="98"/>
    </row>
    <row r="578" spans="1:30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 s="74"/>
      <c r="Z578" s="74"/>
      <c r="AA578" s="74"/>
      <c r="AB578" s="74"/>
      <c r="AC578" s="74"/>
      <c r="AD578" s="98"/>
    </row>
    <row r="579" spans="1:30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 s="74"/>
      <c r="Z579" s="74"/>
      <c r="AA579" s="74"/>
      <c r="AB579" s="74"/>
      <c r="AC579" s="74"/>
      <c r="AD579" s="98"/>
    </row>
    <row r="580" spans="1:30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 s="74"/>
      <c r="Z580" s="74"/>
      <c r="AA580" s="74"/>
      <c r="AB580" s="74"/>
      <c r="AC580" s="74"/>
      <c r="AD580" s="98"/>
    </row>
    <row r="581" spans="1:30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 s="74"/>
      <c r="Z581" s="74"/>
      <c r="AA581" s="74"/>
      <c r="AB581" s="74"/>
      <c r="AC581" s="74"/>
      <c r="AD581" s="98"/>
    </row>
    <row r="582" spans="1:30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 s="74"/>
      <c r="Z582" s="74"/>
      <c r="AA582" s="74"/>
      <c r="AB582" s="74"/>
      <c r="AC582" s="74"/>
      <c r="AD582" s="98"/>
    </row>
    <row r="583" spans="1:30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 s="74"/>
      <c r="Z583" s="74"/>
      <c r="AA583" s="74"/>
      <c r="AB583" s="74"/>
      <c r="AC583" s="74"/>
      <c r="AD583" s="98"/>
    </row>
    <row r="584" spans="1:30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 s="74"/>
      <c r="Z584" s="74"/>
      <c r="AA584" s="74"/>
      <c r="AB584" s="74"/>
      <c r="AC584" s="74"/>
      <c r="AD584" s="98"/>
    </row>
    <row r="585" spans="1:30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 s="74"/>
      <c r="Z585" s="74"/>
      <c r="AA585" s="74"/>
      <c r="AB585" s="74"/>
      <c r="AC585" s="74"/>
      <c r="AD585" s="98"/>
    </row>
    <row r="586" spans="1:30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 s="74"/>
      <c r="Z586" s="74"/>
      <c r="AA586" s="74"/>
      <c r="AB586" s="74"/>
      <c r="AC586" s="74"/>
      <c r="AD586" s="98"/>
    </row>
    <row r="587" spans="1:30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 s="74"/>
      <c r="Z587" s="74"/>
      <c r="AA587" s="74"/>
      <c r="AB587" s="74"/>
      <c r="AC587" s="74"/>
      <c r="AD587" s="98"/>
    </row>
    <row r="588" spans="1:30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 s="74"/>
      <c r="Z588" s="74"/>
      <c r="AA588" s="74"/>
      <c r="AB588" s="74"/>
      <c r="AC588" s="74"/>
      <c r="AD588" s="98"/>
    </row>
    <row r="589" spans="1:30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 s="74"/>
      <c r="Z589" s="74"/>
      <c r="AA589" s="74"/>
      <c r="AB589" s="74"/>
      <c r="AC589" s="74"/>
      <c r="AD589" s="98"/>
    </row>
    <row r="590" spans="1:30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 s="74"/>
      <c r="Z590" s="74"/>
      <c r="AA590" s="74"/>
      <c r="AB590" s="74"/>
      <c r="AC590" s="74"/>
      <c r="AD590" s="98"/>
    </row>
    <row r="591" spans="1:30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 s="74"/>
      <c r="Z591" s="74"/>
      <c r="AA591" s="74"/>
      <c r="AB591" s="74"/>
      <c r="AC591" s="74"/>
      <c r="AD591" s="98"/>
    </row>
    <row r="592" spans="1:30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 s="74"/>
      <c r="Z592" s="74"/>
      <c r="AA592" s="74"/>
      <c r="AB592" s="74"/>
      <c r="AC592" s="74"/>
      <c r="AD592" s="98"/>
    </row>
    <row r="593" spans="1:30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 s="74"/>
      <c r="Z593" s="74"/>
      <c r="AA593" s="74"/>
      <c r="AB593" s="74"/>
      <c r="AC593" s="74"/>
      <c r="AD593" s="98"/>
    </row>
    <row r="594" spans="1:30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 s="74"/>
      <c r="Z594" s="74"/>
      <c r="AA594" s="74"/>
      <c r="AB594" s="74"/>
      <c r="AC594" s="74"/>
      <c r="AD594" s="98"/>
    </row>
    <row r="595" spans="1:30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 s="74"/>
      <c r="Z595" s="74"/>
      <c r="AA595" s="74"/>
      <c r="AB595" s="74"/>
      <c r="AC595" s="74"/>
      <c r="AD595" s="98"/>
    </row>
    <row r="596" spans="1:30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 s="74"/>
      <c r="Z596" s="74"/>
      <c r="AA596" s="74"/>
      <c r="AB596" s="74"/>
      <c r="AC596" s="74"/>
      <c r="AD596" s="98"/>
    </row>
    <row r="597" spans="1:30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 s="74"/>
      <c r="Z597" s="74"/>
      <c r="AA597" s="74"/>
      <c r="AB597" s="74"/>
      <c r="AC597" s="74"/>
      <c r="AD597" s="98"/>
    </row>
    <row r="598" spans="1:30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 s="74"/>
      <c r="Z598" s="74"/>
      <c r="AA598" s="74"/>
      <c r="AB598" s="74"/>
      <c r="AC598" s="74"/>
      <c r="AD598" s="98"/>
    </row>
    <row r="599" spans="1:30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 s="74"/>
      <c r="Z599" s="74"/>
      <c r="AA599" s="74"/>
      <c r="AB599" s="74"/>
      <c r="AC599" s="74"/>
      <c r="AD599" s="98"/>
    </row>
    <row r="600" spans="1:30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 s="74"/>
      <c r="Z600" s="74"/>
      <c r="AA600" s="74"/>
      <c r="AB600" s="74"/>
      <c r="AC600" s="74"/>
      <c r="AD600" s="98"/>
    </row>
    <row r="601" spans="1:30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 s="74"/>
      <c r="Z601" s="74"/>
      <c r="AA601" s="74"/>
      <c r="AB601" s="74"/>
      <c r="AC601" s="74"/>
      <c r="AD601" s="98"/>
    </row>
    <row r="602" spans="1:30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 s="74"/>
      <c r="Z602" s="74"/>
      <c r="AA602" s="74"/>
      <c r="AB602" s="74"/>
      <c r="AC602" s="74"/>
      <c r="AD602" s="98"/>
    </row>
    <row r="603" spans="1:30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 s="74"/>
      <c r="Z603" s="74"/>
      <c r="AA603" s="74"/>
      <c r="AB603" s="74"/>
      <c r="AC603" s="74"/>
      <c r="AD603" s="98"/>
    </row>
    <row r="604" spans="1:30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 s="74"/>
      <c r="Z604" s="74"/>
      <c r="AA604" s="74"/>
      <c r="AB604" s="74"/>
      <c r="AC604" s="74"/>
      <c r="AD604" s="98"/>
    </row>
    <row r="605" spans="1:30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 s="74"/>
      <c r="Z605" s="74"/>
      <c r="AA605" s="74"/>
      <c r="AB605" s="74"/>
      <c r="AC605" s="74"/>
      <c r="AD605" s="98"/>
    </row>
    <row r="606" spans="1:30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 s="74"/>
      <c r="Z606" s="74"/>
      <c r="AA606" s="74"/>
      <c r="AB606" s="74"/>
      <c r="AC606" s="74"/>
      <c r="AD606" s="98"/>
    </row>
    <row r="607" spans="1:30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 s="74"/>
      <c r="Z607" s="74"/>
      <c r="AA607" s="74"/>
      <c r="AB607" s="74"/>
      <c r="AC607" s="74"/>
      <c r="AD607" s="98"/>
    </row>
    <row r="608" spans="1:30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 s="74"/>
      <c r="Z608" s="74"/>
      <c r="AA608" s="74"/>
      <c r="AB608" s="74"/>
      <c r="AC608" s="74"/>
      <c r="AD608" s="98"/>
    </row>
    <row r="609" spans="1:30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 s="74"/>
      <c r="Z609" s="74"/>
      <c r="AA609" s="74"/>
      <c r="AB609" s="74"/>
      <c r="AC609" s="74"/>
      <c r="AD609" s="98"/>
    </row>
    <row r="610" spans="1:30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 s="74"/>
      <c r="Z610" s="74"/>
      <c r="AA610" s="74"/>
      <c r="AB610" s="74"/>
      <c r="AC610" s="74"/>
      <c r="AD610" s="98"/>
    </row>
    <row r="611" spans="1:30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 s="74"/>
      <c r="Z611" s="74"/>
      <c r="AA611" s="74"/>
      <c r="AB611" s="74"/>
      <c r="AC611" s="74"/>
      <c r="AD611" s="98"/>
    </row>
    <row r="612" spans="1:30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 s="74"/>
      <c r="Z612" s="74"/>
      <c r="AA612" s="74"/>
      <c r="AB612" s="74"/>
      <c r="AC612" s="74"/>
      <c r="AD612" s="98"/>
    </row>
    <row r="613" spans="1:30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 s="74"/>
      <c r="Z613" s="74"/>
      <c r="AA613" s="74"/>
      <c r="AB613" s="74"/>
      <c r="AC613" s="74"/>
      <c r="AD613" s="98"/>
    </row>
    <row r="614" spans="1:30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 s="74"/>
      <c r="Z614" s="74"/>
      <c r="AA614" s="74"/>
      <c r="AB614" s="74"/>
      <c r="AC614" s="74"/>
      <c r="AD614" s="98"/>
    </row>
    <row r="615" spans="1:30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 s="74"/>
      <c r="Z615" s="74"/>
      <c r="AA615" s="74"/>
      <c r="AB615" s="74"/>
      <c r="AC615" s="74"/>
      <c r="AD615" s="98"/>
    </row>
    <row r="616" spans="1:30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 s="74"/>
      <c r="Z616" s="74"/>
      <c r="AA616" s="74"/>
      <c r="AB616" s="74"/>
      <c r="AC616" s="74"/>
      <c r="AD616" s="98"/>
    </row>
    <row r="617" spans="1:30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 s="74"/>
      <c r="Z617" s="74"/>
      <c r="AA617" s="74"/>
      <c r="AB617" s="74"/>
      <c r="AC617" s="74"/>
      <c r="AD617" s="98"/>
    </row>
    <row r="618" spans="1:30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 s="74"/>
      <c r="Z618" s="74"/>
      <c r="AA618" s="74"/>
      <c r="AB618" s="74"/>
      <c r="AC618" s="74"/>
      <c r="AD618" s="98"/>
    </row>
    <row r="619" spans="1:30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 s="74"/>
      <c r="Z619" s="74"/>
      <c r="AA619" s="74"/>
      <c r="AB619" s="74"/>
      <c r="AC619" s="74"/>
      <c r="AD619" s="98"/>
    </row>
    <row r="620" spans="1:30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 s="74"/>
      <c r="Z620" s="74"/>
      <c r="AA620" s="74"/>
      <c r="AB620" s="74"/>
      <c r="AC620" s="74"/>
      <c r="AD620" s="98"/>
    </row>
    <row r="621" spans="1:30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 s="74"/>
      <c r="Z621" s="74"/>
      <c r="AA621" s="74"/>
      <c r="AB621" s="74"/>
      <c r="AC621" s="74"/>
      <c r="AD621" s="98"/>
    </row>
    <row r="622" spans="1:30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 s="74"/>
      <c r="Z622" s="74"/>
      <c r="AA622" s="74"/>
      <c r="AB622" s="74"/>
      <c r="AC622" s="74"/>
      <c r="AD622" s="98"/>
    </row>
    <row r="623" spans="1:30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 s="74"/>
      <c r="Z623" s="74"/>
      <c r="AA623" s="74"/>
      <c r="AB623" s="74"/>
      <c r="AC623" s="74"/>
      <c r="AD623" s="98"/>
    </row>
    <row r="624" spans="1:30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 s="74"/>
      <c r="Z624" s="74"/>
      <c r="AA624" s="74"/>
      <c r="AB624" s="74"/>
      <c r="AC624" s="74"/>
      <c r="AD624" s="98"/>
    </row>
    <row r="625" spans="1:30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 s="74"/>
      <c r="Z625" s="74"/>
      <c r="AA625" s="74"/>
      <c r="AB625" s="74"/>
      <c r="AC625" s="74"/>
      <c r="AD625" s="98"/>
    </row>
    <row r="626" spans="1:30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 s="74"/>
      <c r="Z626" s="74"/>
      <c r="AA626" s="74"/>
      <c r="AB626" s="74"/>
      <c r="AC626" s="74"/>
      <c r="AD626" s="98"/>
    </row>
    <row r="627" spans="1:30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 s="74"/>
      <c r="Z627" s="74"/>
      <c r="AA627" s="74"/>
      <c r="AB627" s="74"/>
      <c r="AC627" s="74"/>
      <c r="AD627" s="98"/>
    </row>
    <row r="628" spans="1:30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 s="74"/>
      <c r="Z628" s="74"/>
      <c r="AA628" s="74"/>
      <c r="AB628" s="74"/>
      <c r="AC628" s="74"/>
      <c r="AD628" s="98"/>
    </row>
    <row r="629" spans="1:30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 s="74"/>
      <c r="Z629" s="74"/>
      <c r="AA629" s="74"/>
      <c r="AB629" s="74"/>
      <c r="AC629" s="74"/>
      <c r="AD629" s="98"/>
    </row>
    <row r="630" spans="1:30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 s="74"/>
      <c r="Z630" s="74"/>
      <c r="AA630" s="74"/>
      <c r="AB630" s="74"/>
      <c r="AC630" s="74"/>
      <c r="AD630" s="98"/>
    </row>
    <row r="631" spans="1:30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 s="74"/>
      <c r="Z631" s="74"/>
      <c r="AA631" s="74"/>
      <c r="AB631" s="74"/>
      <c r="AC631" s="74"/>
      <c r="AD631" s="98"/>
    </row>
    <row r="632" spans="1:30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 s="74"/>
      <c r="Z632" s="74"/>
      <c r="AA632" s="74"/>
      <c r="AB632" s="74"/>
      <c r="AC632" s="74"/>
      <c r="AD632" s="98"/>
    </row>
    <row r="633" spans="1:30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 s="74"/>
      <c r="Z633" s="74"/>
      <c r="AA633" s="74"/>
      <c r="AB633" s="74"/>
      <c r="AC633" s="74"/>
      <c r="AD633" s="98"/>
    </row>
    <row r="634" spans="1:30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 s="74"/>
      <c r="Z634" s="74"/>
      <c r="AA634" s="74"/>
      <c r="AB634" s="74"/>
      <c r="AC634" s="74"/>
      <c r="AD634" s="98"/>
    </row>
    <row r="635" spans="1:30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 s="74"/>
      <c r="Z635" s="74"/>
      <c r="AA635" s="74"/>
      <c r="AB635" s="74"/>
      <c r="AC635" s="74"/>
      <c r="AD635" s="98"/>
    </row>
    <row r="636" spans="1:30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 s="74"/>
      <c r="Z636" s="74"/>
      <c r="AA636" s="74"/>
      <c r="AB636" s="74"/>
      <c r="AC636" s="74"/>
      <c r="AD636" s="98"/>
    </row>
    <row r="637" spans="1:30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 s="74"/>
      <c r="Z637" s="74"/>
      <c r="AA637" s="74"/>
      <c r="AB637" s="74"/>
      <c r="AC637" s="74"/>
      <c r="AD637" s="98"/>
    </row>
    <row r="638" spans="1:30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 s="74"/>
      <c r="Z638" s="74"/>
      <c r="AA638" s="74"/>
      <c r="AB638" s="74"/>
      <c r="AC638" s="74"/>
      <c r="AD638" s="98"/>
    </row>
    <row r="639" spans="1:30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 s="74"/>
      <c r="Z639" s="74"/>
      <c r="AA639" s="74"/>
      <c r="AB639" s="74"/>
      <c r="AC639" s="74"/>
      <c r="AD639" s="98"/>
    </row>
    <row r="640" spans="1:30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 s="74"/>
      <c r="Z640" s="74"/>
      <c r="AA640" s="74"/>
      <c r="AB640" s="74"/>
      <c r="AC640" s="74"/>
      <c r="AD640" s="98"/>
    </row>
    <row r="641" spans="1:30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 s="74"/>
      <c r="Z641" s="74"/>
      <c r="AA641" s="74"/>
      <c r="AB641" s="74"/>
      <c r="AC641" s="74"/>
      <c r="AD641" s="98"/>
    </row>
    <row r="642" spans="1:30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 s="74"/>
      <c r="Z642" s="74"/>
      <c r="AA642" s="74"/>
      <c r="AB642" s="74"/>
      <c r="AC642" s="74"/>
      <c r="AD642" s="98"/>
    </row>
    <row r="643" spans="1:30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 s="74"/>
      <c r="Z643" s="74"/>
      <c r="AA643" s="74"/>
      <c r="AB643" s="74"/>
      <c r="AC643" s="74"/>
      <c r="AD643" s="98"/>
    </row>
    <row r="644" spans="1:30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 s="74"/>
      <c r="Z644" s="74"/>
      <c r="AA644" s="74"/>
      <c r="AB644" s="74"/>
      <c r="AC644" s="74"/>
      <c r="AD644" s="98"/>
    </row>
    <row r="645" spans="1:30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 s="74"/>
      <c r="Z645" s="74"/>
      <c r="AA645" s="74"/>
      <c r="AB645" s="74"/>
      <c r="AC645" s="74"/>
      <c r="AD645" s="98"/>
    </row>
    <row r="646" spans="1:30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 s="74"/>
      <c r="Z646" s="74"/>
      <c r="AA646" s="74"/>
      <c r="AB646" s="74"/>
      <c r="AC646" s="74"/>
      <c r="AD646" s="98"/>
    </row>
    <row r="647" spans="1:30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 s="74"/>
      <c r="Z647" s="74"/>
      <c r="AA647" s="74"/>
      <c r="AB647" s="74"/>
      <c r="AC647" s="74"/>
      <c r="AD647" s="98"/>
    </row>
    <row r="648" spans="1:30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 s="74"/>
      <c r="Z648" s="74"/>
      <c r="AA648" s="74"/>
      <c r="AB648" s="74"/>
      <c r="AC648" s="74"/>
      <c r="AD648" s="98"/>
    </row>
    <row r="649" spans="1:30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 s="74"/>
      <c r="Z649" s="74"/>
      <c r="AA649" s="74"/>
      <c r="AB649" s="74"/>
      <c r="AC649" s="74"/>
      <c r="AD649" s="98"/>
    </row>
    <row r="650" spans="1:30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 s="74"/>
      <c r="Z650" s="74"/>
      <c r="AA650" s="74"/>
      <c r="AB650" s="74"/>
      <c r="AC650" s="74"/>
      <c r="AD650" s="98"/>
    </row>
    <row r="651" spans="1:30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 s="74"/>
      <c r="Z651" s="74"/>
      <c r="AA651" s="74"/>
      <c r="AB651" s="74"/>
      <c r="AC651" s="74"/>
      <c r="AD651" s="98"/>
    </row>
    <row r="652" spans="1:30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 s="74"/>
      <c r="Z652" s="74"/>
      <c r="AA652" s="74"/>
      <c r="AB652" s="74"/>
      <c r="AC652" s="74"/>
      <c r="AD652" s="98"/>
    </row>
    <row r="653" spans="1:30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 s="74"/>
      <c r="Z653" s="74"/>
      <c r="AA653" s="74"/>
      <c r="AB653" s="74"/>
      <c r="AC653" s="74"/>
      <c r="AD653" s="98"/>
    </row>
    <row r="654" spans="1:30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 s="74"/>
      <c r="Z654" s="74"/>
      <c r="AA654" s="74"/>
      <c r="AB654" s="74"/>
      <c r="AC654" s="74"/>
      <c r="AD654" s="98"/>
    </row>
    <row r="655" spans="1:30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 s="74"/>
      <c r="Z655" s="74"/>
      <c r="AA655" s="74"/>
      <c r="AB655" s="74"/>
      <c r="AC655" s="74"/>
      <c r="AD655" s="98"/>
    </row>
    <row r="656" spans="1:30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 s="74"/>
      <c r="Z656" s="74"/>
      <c r="AA656" s="74"/>
      <c r="AB656" s="74"/>
      <c r="AC656" s="74"/>
      <c r="AD656" s="98"/>
    </row>
    <row r="657" spans="1:30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 s="74"/>
      <c r="Z657" s="74"/>
      <c r="AA657" s="74"/>
      <c r="AB657" s="74"/>
      <c r="AC657" s="74"/>
      <c r="AD657" s="98"/>
    </row>
    <row r="658" spans="1:30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 s="74"/>
      <c r="Z658" s="74"/>
      <c r="AA658" s="74"/>
      <c r="AB658" s="74"/>
      <c r="AC658" s="74"/>
      <c r="AD658" s="98"/>
    </row>
    <row r="659" spans="1:30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 s="74"/>
      <c r="Z659" s="74"/>
      <c r="AA659" s="74"/>
      <c r="AB659" s="74"/>
      <c r="AC659" s="74"/>
      <c r="AD659" s="98"/>
    </row>
    <row r="660" spans="1:30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 s="74"/>
      <c r="Z660" s="74"/>
      <c r="AA660" s="74"/>
      <c r="AB660" s="74"/>
      <c r="AC660" s="74"/>
      <c r="AD660" s="98"/>
    </row>
    <row r="661" spans="1:30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 s="74"/>
      <c r="Z661" s="74"/>
      <c r="AA661" s="74"/>
      <c r="AB661" s="74"/>
      <c r="AC661" s="74"/>
      <c r="AD661" s="98"/>
    </row>
    <row r="662" spans="1:30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 s="74"/>
      <c r="Z662" s="74"/>
      <c r="AA662" s="74"/>
      <c r="AB662" s="74"/>
      <c r="AC662" s="74"/>
      <c r="AD662" s="98"/>
    </row>
    <row r="663" spans="1:30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 s="74"/>
      <c r="Z663" s="74"/>
      <c r="AA663" s="74"/>
      <c r="AB663" s="74"/>
      <c r="AC663" s="74"/>
      <c r="AD663" s="98"/>
    </row>
    <row r="664" spans="1:30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 s="74"/>
      <c r="Z664" s="74"/>
      <c r="AA664" s="74"/>
      <c r="AB664" s="74"/>
      <c r="AC664" s="74"/>
      <c r="AD664" s="98"/>
    </row>
    <row r="665" spans="1:30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 s="74"/>
      <c r="Z665" s="74"/>
      <c r="AA665" s="74"/>
      <c r="AB665" s="74"/>
      <c r="AC665" s="74"/>
      <c r="AD665" s="98"/>
    </row>
    <row r="666" spans="1:30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 s="74"/>
      <c r="Z666" s="74"/>
      <c r="AA666" s="74"/>
      <c r="AB666" s="74"/>
      <c r="AC666" s="74"/>
      <c r="AD666" s="98"/>
    </row>
    <row r="667" spans="1:30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 s="74"/>
      <c r="Z667" s="74"/>
      <c r="AA667" s="74"/>
      <c r="AB667" s="74"/>
      <c r="AC667" s="74"/>
      <c r="AD667" s="98"/>
    </row>
    <row r="668" spans="1:30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 s="74"/>
      <c r="Z668" s="74"/>
      <c r="AA668" s="74"/>
      <c r="AB668" s="74"/>
      <c r="AC668" s="74"/>
      <c r="AD668" s="98"/>
    </row>
    <row r="669" spans="1:30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 s="74"/>
      <c r="Z669" s="74"/>
      <c r="AA669" s="74"/>
      <c r="AB669" s="74"/>
      <c r="AC669" s="74"/>
      <c r="AD669" s="98"/>
    </row>
    <row r="670" spans="1:30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 s="74"/>
      <c r="Z670" s="74"/>
      <c r="AA670" s="74"/>
      <c r="AB670" s="74"/>
      <c r="AC670" s="74"/>
      <c r="AD670" s="98"/>
    </row>
    <row r="671" spans="1:30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 s="74"/>
      <c r="Z671" s="74"/>
      <c r="AA671" s="74"/>
      <c r="AB671" s="74"/>
      <c r="AC671" s="74"/>
      <c r="AD671" s="98"/>
    </row>
    <row r="672" spans="1:30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 s="74"/>
      <c r="Z672" s="74"/>
      <c r="AA672" s="74"/>
      <c r="AB672" s="74"/>
      <c r="AC672" s="74"/>
      <c r="AD672" s="98"/>
    </row>
    <row r="673" spans="1:30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 s="74"/>
      <c r="Z673" s="74"/>
      <c r="AA673" s="74"/>
      <c r="AB673" s="74"/>
      <c r="AC673" s="74"/>
      <c r="AD673" s="98"/>
    </row>
    <row r="674" spans="1:30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 s="74"/>
      <c r="Z674" s="74"/>
      <c r="AA674" s="74"/>
      <c r="AB674" s="74"/>
      <c r="AC674" s="74"/>
      <c r="AD674" s="98"/>
    </row>
    <row r="675" spans="1:30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 s="74"/>
      <c r="Z675" s="74"/>
      <c r="AA675" s="74"/>
      <c r="AB675" s="74"/>
      <c r="AC675" s="74"/>
      <c r="AD675" s="98"/>
    </row>
    <row r="676" spans="1:30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 s="74"/>
      <c r="Z676" s="74"/>
      <c r="AA676" s="74"/>
      <c r="AB676" s="74"/>
      <c r="AC676" s="74"/>
      <c r="AD676" s="98"/>
    </row>
    <row r="677" spans="1:30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 s="74"/>
      <c r="Z677" s="74"/>
      <c r="AA677" s="74"/>
      <c r="AB677" s="74"/>
      <c r="AC677" s="74"/>
      <c r="AD677" s="98"/>
    </row>
    <row r="678" spans="1:30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 s="74"/>
      <c r="Z678" s="74"/>
      <c r="AA678" s="74"/>
      <c r="AB678" s="74"/>
      <c r="AC678" s="74"/>
      <c r="AD678" s="98"/>
    </row>
    <row r="679" spans="1:30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 s="74"/>
      <c r="Z679" s="74"/>
      <c r="AA679" s="74"/>
      <c r="AB679" s="74"/>
      <c r="AC679" s="74"/>
      <c r="AD679" s="98"/>
    </row>
    <row r="680" spans="1:30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 s="74"/>
      <c r="Z680" s="74"/>
      <c r="AA680" s="74"/>
      <c r="AB680" s="74"/>
      <c r="AC680" s="74"/>
      <c r="AD680" s="98"/>
    </row>
    <row r="681" spans="1:30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 s="74"/>
      <c r="Z681" s="74"/>
      <c r="AA681" s="74"/>
      <c r="AB681" s="74"/>
      <c r="AC681" s="74"/>
      <c r="AD681" s="98"/>
    </row>
    <row r="682" spans="1:30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 s="74"/>
      <c r="Z682" s="74"/>
      <c r="AA682" s="74"/>
      <c r="AB682" s="74"/>
      <c r="AC682" s="74"/>
      <c r="AD682" s="98"/>
    </row>
    <row r="683" spans="1:30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 s="74"/>
      <c r="Z683" s="74"/>
      <c r="AA683" s="74"/>
      <c r="AB683" s="74"/>
      <c r="AC683" s="74"/>
      <c r="AD683" s="98"/>
    </row>
    <row r="684" spans="1:30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 s="74"/>
      <c r="Z684" s="74"/>
      <c r="AA684" s="74"/>
      <c r="AB684" s="74"/>
      <c r="AC684" s="74"/>
      <c r="AD684" s="98"/>
    </row>
    <row r="685" spans="1:30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 s="74"/>
      <c r="Z685" s="74"/>
      <c r="AA685" s="74"/>
      <c r="AB685" s="74"/>
      <c r="AC685" s="74"/>
      <c r="AD685" s="98"/>
    </row>
    <row r="686" spans="1:30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 s="74"/>
      <c r="Z686" s="74"/>
      <c r="AA686" s="74"/>
      <c r="AB686" s="74"/>
      <c r="AC686" s="74"/>
      <c r="AD686" s="98"/>
    </row>
    <row r="687" spans="1:30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 s="74"/>
      <c r="Z687" s="74"/>
      <c r="AA687" s="74"/>
      <c r="AB687" s="74"/>
      <c r="AC687" s="74"/>
      <c r="AD687" s="98"/>
    </row>
    <row r="688" spans="1:30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 s="74"/>
      <c r="Z688" s="74"/>
      <c r="AA688" s="74"/>
      <c r="AB688" s="74"/>
      <c r="AC688" s="74"/>
      <c r="AD688" s="98"/>
    </row>
    <row r="689" spans="1:30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 s="74"/>
      <c r="Z689" s="74"/>
      <c r="AA689" s="74"/>
      <c r="AB689" s="74"/>
      <c r="AC689" s="74"/>
      <c r="AD689" s="98"/>
    </row>
    <row r="690" spans="1:30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 s="74"/>
      <c r="Z690" s="74"/>
      <c r="AA690" s="74"/>
      <c r="AB690" s="74"/>
      <c r="AC690" s="74"/>
      <c r="AD690" s="98"/>
    </row>
    <row r="691" spans="1:30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 s="74"/>
      <c r="Z691" s="74"/>
      <c r="AA691" s="74"/>
      <c r="AB691" s="74"/>
      <c r="AC691" s="74"/>
      <c r="AD691" s="98"/>
    </row>
    <row r="692" spans="1:30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 s="74"/>
      <c r="Z692" s="74"/>
      <c r="AA692" s="74"/>
      <c r="AB692" s="74"/>
      <c r="AC692" s="74"/>
      <c r="AD692" s="98"/>
    </row>
    <row r="693" spans="1:30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 s="74"/>
      <c r="Z693" s="74"/>
      <c r="AA693" s="74"/>
      <c r="AB693" s="74"/>
      <c r="AC693" s="74"/>
      <c r="AD693" s="98"/>
    </row>
    <row r="694" spans="1:30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 s="74"/>
      <c r="Z694" s="74"/>
      <c r="AA694" s="74"/>
      <c r="AB694" s="74"/>
      <c r="AC694" s="74"/>
      <c r="AD694" s="98"/>
    </row>
    <row r="695" spans="1:30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 s="74"/>
      <c r="Z695" s="74"/>
      <c r="AA695" s="74"/>
      <c r="AB695" s="74"/>
      <c r="AC695" s="74"/>
      <c r="AD695" s="98"/>
    </row>
    <row r="696" spans="1:30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 s="74"/>
      <c r="Z696" s="74"/>
      <c r="AA696" s="74"/>
      <c r="AB696" s="74"/>
      <c r="AC696" s="74"/>
      <c r="AD696" s="98"/>
    </row>
    <row r="697" spans="1:30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 s="74"/>
      <c r="Z697" s="74"/>
      <c r="AA697" s="74"/>
      <c r="AB697" s="74"/>
      <c r="AC697" s="74"/>
      <c r="AD697" s="98"/>
    </row>
    <row r="698" spans="1:30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 s="74"/>
      <c r="Z698" s="74"/>
      <c r="AA698" s="74"/>
      <c r="AB698" s="74"/>
      <c r="AC698" s="74"/>
      <c r="AD698" s="98"/>
    </row>
    <row r="699" spans="1:30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 s="74"/>
      <c r="Z699" s="74"/>
      <c r="AA699" s="74"/>
      <c r="AB699" s="74"/>
      <c r="AC699" s="74"/>
      <c r="AD699" s="98"/>
    </row>
    <row r="700" spans="1:30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 s="74"/>
      <c r="Z700" s="74"/>
      <c r="AA700" s="74"/>
      <c r="AB700" s="74"/>
      <c r="AC700" s="74"/>
      <c r="AD700" s="98"/>
    </row>
    <row r="701" spans="1:30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 s="74"/>
      <c r="Z701" s="74"/>
      <c r="AA701" s="74"/>
      <c r="AB701" s="74"/>
      <c r="AC701" s="74"/>
      <c r="AD701" s="98"/>
    </row>
    <row r="702" spans="1:30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 s="74"/>
      <c r="Z702" s="74"/>
      <c r="AA702" s="74"/>
      <c r="AB702" s="74"/>
      <c r="AC702" s="74"/>
      <c r="AD702" s="98"/>
    </row>
    <row r="703" spans="1:30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 s="74"/>
      <c r="Z703" s="74"/>
      <c r="AA703" s="74"/>
      <c r="AB703" s="74"/>
      <c r="AC703" s="74"/>
      <c r="AD703" s="98"/>
    </row>
    <row r="704" spans="1:30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 s="74"/>
      <c r="Z704" s="74"/>
      <c r="AA704" s="74"/>
      <c r="AB704" s="74"/>
      <c r="AC704" s="74"/>
      <c r="AD704" s="98"/>
    </row>
    <row r="705" spans="1:30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 s="74"/>
      <c r="Z705" s="74"/>
      <c r="AA705" s="74"/>
      <c r="AB705" s="74"/>
      <c r="AC705" s="74"/>
      <c r="AD705" s="98"/>
    </row>
    <row r="706" spans="1:30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 s="74"/>
      <c r="Z706" s="74"/>
      <c r="AA706" s="74"/>
      <c r="AB706" s="74"/>
      <c r="AC706" s="74"/>
      <c r="AD706" s="98"/>
    </row>
    <row r="707" spans="1:30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 s="74"/>
      <c r="Z707" s="74"/>
      <c r="AA707" s="74"/>
      <c r="AB707" s="74"/>
      <c r="AC707" s="74"/>
      <c r="AD707" s="98"/>
    </row>
    <row r="708" spans="1:30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 s="74"/>
      <c r="Z708" s="74"/>
      <c r="AA708" s="74"/>
      <c r="AB708" s="74"/>
      <c r="AC708" s="74"/>
      <c r="AD708" s="98"/>
    </row>
    <row r="709" spans="1:30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 s="74"/>
      <c r="Z709" s="74"/>
      <c r="AA709" s="74"/>
      <c r="AB709" s="74"/>
      <c r="AC709" s="74"/>
      <c r="AD709" s="98"/>
    </row>
    <row r="710" spans="1:30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 s="74"/>
      <c r="Z710" s="74"/>
      <c r="AA710" s="74"/>
      <c r="AB710" s="74"/>
      <c r="AC710" s="74"/>
      <c r="AD710" s="98"/>
    </row>
    <row r="711" spans="1:30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 s="74"/>
      <c r="Z711" s="74"/>
      <c r="AA711" s="74"/>
      <c r="AB711" s="74"/>
      <c r="AC711" s="74"/>
      <c r="AD711" s="98"/>
    </row>
    <row r="712" spans="1:30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 s="74"/>
      <c r="Z712" s="74"/>
      <c r="AA712" s="74"/>
      <c r="AB712" s="74"/>
      <c r="AC712" s="74"/>
      <c r="AD712" s="98"/>
    </row>
    <row r="713" spans="1:30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 s="74"/>
      <c r="Z713" s="74"/>
      <c r="AA713" s="74"/>
      <c r="AB713" s="74"/>
      <c r="AC713" s="74"/>
      <c r="AD713" s="98"/>
    </row>
    <row r="714" spans="1:30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 s="74"/>
      <c r="Z714" s="74"/>
      <c r="AA714" s="74"/>
      <c r="AB714" s="74"/>
      <c r="AC714" s="74"/>
      <c r="AD714" s="98"/>
    </row>
    <row r="715" spans="1:30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 s="74"/>
      <c r="Z715" s="74"/>
      <c r="AA715" s="74"/>
      <c r="AB715" s="74"/>
      <c r="AC715" s="74"/>
      <c r="AD715" s="98"/>
    </row>
    <row r="716" spans="1:30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 s="74"/>
      <c r="Z716" s="74"/>
      <c r="AA716" s="74"/>
      <c r="AB716" s="74"/>
      <c r="AC716" s="74"/>
      <c r="AD716" s="98"/>
    </row>
    <row r="717" spans="1:30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 s="74"/>
      <c r="Z717" s="74"/>
      <c r="AA717" s="74"/>
      <c r="AB717" s="74"/>
      <c r="AC717" s="74"/>
      <c r="AD717" s="98"/>
    </row>
    <row r="718" spans="1:30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 s="74"/>
      <c r="Z718" s="74"/>
      <c r="AA718" s="74"/>
      <c r="AB718" s="74"/>
      <c r="AC718" s="74"/>
      <c r="AD718" s="98"/>
    </row>
    <row r="719" spans="1:30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 s="74"/>
      <c r="Z719" s="74"/>
      <c r="AA719" s="74"/>
      <c r="AB719" s="74"/>
      <c r="AC719" s="74"/>
      <c r="AD719" s="98"/>
    </row>
    <row r="720" spans="1:30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 s="74"/>
      <c r="Z720" s="74"/>
      <c r="AA720" s="74"/>
      <c r="AB720" s="74"/>
      <c r="AC720" s="74"/>
      <c r="AD720" s="98"/>
    </row>
    <row r="721" spans="1:30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 s="74"/>
      <c r="Z721" s="74"/>
      <c r="AA721" s="74"/>
      <c r="AB721" s="74"/>
      <c r="AC721" s="74"/>
      <c r="AD721" s="98"/>
    </row>
    <row r="722" spans="1:30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 s="74"/>
      <c r="Z722" s="74"/>
      <c r="AA722" s="74"/>
      <c r="AB722" s="74"/>
      <c r="AC722" s="74"/>
      <c r="AD722" s="98"/>
    </row>
    <row r="723" spans="1:30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 s="74"/>
      <c r="Z723" s="74"/>
      <c r="AA723" s="74"/>
      <c r="AB723" s="74"/>
      <c r="AC723" s="74"/>
      <c r="AD723" s="98"/>
    </row>
    <row r="724" spans="1:30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 s="74"/>
      <c r="Z724" s="74"/>
      <c r="AA724" s="74"/>
      <c r="AB724" s="74"/>
      <c r="AC724" s="74"/>
      <c r="AD724" s="98"/>
    </row>
    <row r="725" spans="1:30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 s="74"/>
      <c r="Z725" s="74"/>
      <c r="AA725" s="74"/>
      <c r="AB725" s="74"/>
      <c r="AC725" s="74"/>
      <c r="AD725" s="98"/>
    </row>
    <row r="726" spans="1:30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 s="74"/>
      <c r="Z726" s="74"/>
      <c r="AA726" s="74"/>
      <c r="AB726" s="74"/>
      <c r="AC726" s="74"/>
      <c r="AD726" s="98"/>
    </row>
    <row r="727" spans="1:30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 s="74"/>
      <c r="Z727" s="74"/>
      <c r="AA727" s="74"/>
      <c r="AB727" s="74"/>
      <c r="AC727" s="74"/>
      <c r="AD727" s="98"/>
    </row>
    <row r="728" spans="1:30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 s="74"/>
      <c r="Z728" s="74"/>
      <c r="AA728" s="74"/>
      <c r="AB728" s="74"/>
      <c r="AC728" s="74"/>
      <c r="AD728" s="98"/>
    </row>
    <row r="729" spans="1:30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 s="74"/>
      <c r="Z729" s="74"/>
      <c r="AA729" s="74"/>
      <c r="AB729" s="74"/>
      <c r="AC729" s="74"/>
      <c r="AD729" s="98"/>
    </row>
    <row r="730" spans="1:30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 s="74"/>
      <c r="Z730" s="74"/>
      <c r="AA730" s="74"/>
      <c r="AB730" s="74"/>
      <c r="AC730" s="74"/>
      <c r="AD730" s="98"/>
    </row>
    <row r="731" spans="1:30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 s="74"/>
      <c r="Z731" s="74"/>
      <c r="AA731" s="74"/>
      <c r="AB731" s="74"/>
      <c r="AC731" s="74"/>
      <c r="AD731" s="98"/>
    </row>
    <row r="732" spans="1:30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 s="74"/>
      <c r="Z732" s="74"/>
      <c r="AA732" s="74"/>
      <c r="AB732" s="74"/>
      <c r="AC732" s="74"/>
      <c r="AD732" s="98"/>
    </row>
    <row r="733" spans="1:30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 s="74"/>
      <c r="Z733" s="74"/>
      <c r="AA733" s="74"/>
      <c r="AB733" s="74"/>
      <c r="AC733" s="74"/>
      <c r="AD733" s="98"/>
    </row>
    <row r="734" spans="1:30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 s="74"/>
      <c r="Z734" s="74"/>
      <c r="AA734" s="74"/>
      <c r="AB734" s="74"/>
      <c r="AC734" s="74"/>
      <c r="AD734" s="98"/>
    </row>
    <row r="735" spans="1:30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 s="74"/>
      <c r="Z735" s="74"/>
      <c r="AA735" s="74"/>
      <c r="AB735" s="74"/>
      <c r="AC735" s="74"/>
      <c r="AD735" s="98"/>
    </row>
    <row r="736" spans="1:30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 s="74"/>
      <c r="Z736" s="74"/>
      <c r="AA736" s="74"/>
      <c r="AB736" s="74"/>
      <c r="AC736" s="74"/>
      <c r="AD736" s="98"/>
    </row>
    <row r="737" spans="1:30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 s="74"/>
      <c r="Z737" s="74"/>
      <c r="AA737" s="74"/>
      <c r="AB737" s="74"/>
      <c r="AC737" s="74"/>
      <c r="AD737" s="98"/>
    </row>
    <row r="738" spans="1:30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 s="74"/>
      <c r="Z738" s="74"/>
      <c r="AA738" s="74"/>
      <c r="AB738" s="74"/>
      <c r="AC738" s="74"/>
      <c r="AD738" s="98"/>
    </row>
    <row r="739" spans="1:30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 s="74"/>
      <c r="Z739" s="74"/>
      <c r="AA739" s="74"/>
      <c r="AB739" s="74"/>
      <c r="AC739" s="74"/>
      <c r="AD739" s="98"/>
    </row>
    <row r="740" spans="1:30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 s="74"/>
      <c r="Z740" s="74"/>
      <c r="AA740" s="74"/>
      <c r="AB740" s="74"/>
      <c r="AC740" s="74"/>
      <c r="AD740" s="98"/>
    </row>
    <row r="741" spans="1:30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 s="74"/>
      <c r="Z741" s="74"/>
      <c r="AA741" s="74"/>
      <c r="AB741" s="74"/>
      <c r="AC741" s="74"/>
      <c r="AD741" s="98"/>
    </row>
    <row r="742" spans="1:30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 s="74"/>
      <c r="Z742" s="74"/>
      <c r="AA742" s="74"/>
      <c r="AB742" s="74"/>
      <c r="AC742" s="74"/>
      <c r="AD742" s="98"/>
    </row>
    <row r="743" spans="1:30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 s="74"/>
      <c r="Z743" s="74"/>
      <c r="AA743" s="74"/>
      <c r="AB743" s="74"/>
      <c r="AC743" s="74"/>
      <c r="AD743" s="98"/>
    </row>
    <row r="744" spans="1:30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 s="74"/>
      <c r="Z744" s="74"/>
      <c r="AA744" s="74"/>
      <c r="AB744" s="74"/>
      <c r="AC744" s="74"/>
      <c r="AD744" s="98"/>
    </row>
    <row r="745" spans="1:30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 s="74"/>
      <c r="Z745" s="74"/>
      <c r="AA745" s="74"/>
      <c r="AB745" s="74"/>
      <c r="AC745" s="74"/>
      <c r="AD745" s="98"/>
    </row>
    <row r="746" spans="1:30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 s="74"/>
      <c r="Z746" s="74"/>
      <c r="AA746" s="74"/>
      <c r="AB746" s="74"/>
      <c r="AC746" s="74"/>
      <c r="AD746" s="98"/>
    </row>
    <row r="747" spans="1:30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 s="74"/>
      <c r="Z747" s="74"/>
      <c r="AA747" s="74"/>
      <c r="AB747" s="74"/>
      <c r="AC747" s="74"/>
      <c r="AD747" s="98"/>
    </row>
    <row r="748" spans="1:30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 s="74"/>
      <c r="Z748" s="74"/>
      <c r="AA748" s="74"/>
      <c r="AB748" s="74"/>
      <c r="AC748" s="74"/>
      <c r="AD748" s="98"/>
    </row>
    <row r="749" spans="1:30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 s="74"/>
      <c r="Z749" s="74"/>
      <c r="AA749" s="74"/>
      <c r="AB749" s="74"/>
      <c r="AC749" s="74"/>
      <c r="AD749" s="98"/>
    </row>
    <row r="750" spans="1:30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 s="74"/>
      <c r="Z750" s="74"/>
      <c r="AA750" s="74"/>
      <c r="AB750" s="74"/>
      <c r="AC750" s="74"/>
      <c r="AD750" s="98"/>
    </row>
    <row r="751" spans="1:30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 s="74"/>
      <c r="Z751" s="74"/>
      <c r="AA751" s="74"/>
      <c r="AB751" s="74"/>
      <c r="AC751" s="74"/>
      <c r="AD751" s="98"/>
    </row>
    <row r="752" spans="1:30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 s="74"/>
      <c r="Z752" s="74"/>
      <c r="AA752" s="74"/>
      <c r="AB752" s="74"/>
      <c r="AC752" s="74"/>
      <c r="AD752" s="98"/>
    </row>
    <row r="753" spans="1:30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 s="74"/>
      <c r="Z753" s="74"/>
      <c r="AA753" s="74"/>
      <c r="AB753" s="74"/>
      <c r="AC753" s="74"/>
      <c r="AD753" s="98"/>
    </row>
    <row r="754" spans="1:30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 s="74"/>
      <c r="Z754" s="74"/>
      <c r="AA754" s="74"/>
      <c r="AB754" s="74"/>
      <c r="AC754" s="74"/>
      <c r="AD754" s="98"/>
    </row>
    <row r="755" spans="1:30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 s="74"/>
      <c r="Z755" s="74"/>
      <c r="AA755" s="74"/>
      <c r="AB755" s="74"/>
      <c r="AC755" s="74"/>
      <c r="AD755" s="98"/>
    </row>
    <row r="756" spans="1:30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 s="74"/>
      <c r="Z756" s="74"/>
      <c r="AA756" s="74"/>
      <c r="AB756" s="74"/>
      <c r="AC756" s="74"/>
      <c r="AD756" s="98"/>
    </row>
    <row r="757" spans="1:30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 s="74"/>
      <c r="Z757" s="74"/>
      <c r="AA757" s="74"/>
      <c r="AB757" s="74"/>
      <c r="AC757" s="74"/>
      <c r="AD757" s="98"/>
    </row>
    <row r="758" spans="1:30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 s="74"/>
      <c r="Z758" s="74"/>
      <c r="AA758" s="74"/>
      <c r="AB758" s="74"/>
      <c r="AC758" s="74"/>
      <c r="AD758" s="98"/>
    </row>
    <row r="759" spans="1:30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 s="74"/>
      <c r="Z759" s="74"/>
      <c r="AA759" s="74"/>
      <c r="AB759" s="74"/>
      <c r="AC759" s="74"/>
      <c r="AD759" s="98"/>
    </row>
    <row r="760" spans="1:30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 s="74"/>
      <c r="Z760" s="74"/>
      <c r="AA760" s="74"/>
      <c r="AB760" s="74"/>
      <c r="AC760" s="74"/>
      <c r="AD760" s="98"/>
    </row>
    <row r="761" spans="1:30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 s="74"/>
      <c r="Z761" s="74"/>
      <c r="AA761" s="74"/>
      <c r="AB761" s="74"/>
      <c r="AC761" s="74"/>
      <c r="AD761" s="98"/>
    </row>
    <row r="762" spans="1:30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 s="74"/>
      <c r="Z762" s="74"/>
      <c r="AA762" s="74"/>
      <c r="AB762" s="74"/>
      <c r="AC762" s="74"/>
      <c r="AD762" s="98"/>
    </row>
    <row r="763" spans="1:30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 s="74"/>
      <c r="Z763" s="74"/>
      <c r="AA763" s="74"/>
      <c r="AB763" s="74"/>
      <c r="AC763" s="74"/>
      <c r="AD763" s="98"/>
    </row>
    <row r="764" spans="1:30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 s="74"/>
      <c r="Z764" s="74"/>
      <c r="AA764" s="74"/>
      <c r="AB764" s="74"/>
      <c r="AC764" s="74"/>
      <c r="AD764" s="98"/>
    </row>
    <row r="765" spans="1:30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 s="74"/>
      <c r="Z765" s="74"/>
      <c r="AA765" s="74"/>
      <c r="AB765" s="74"/>
      <c r="AC765" s="74"/>
      <c r="AD765" s="98"/>
    </row>
    <row r="766" spans="1:30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 s="74"/>
      <c r="Z766" s="74"/>
      <c r="AA766" s="74"/>
      <c r="AB766" s="74"/>
      <c r="AC766" s="74"/>
      <c r="AD766" s="98"/>
    </row>
    <row r="767" spans="1:30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 s="74"/>
      <c r="Z767" s="74"/>
      <c r="AA767" s="74"/>
      <c r="AB767" s="74"/>
      <c r="AC767" s="74"/>
      <c r="AD767" s="98"/>
    </row>
    <row r="768" spans="1:30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 s="74"/>
      <c r="Z768" s="74"/>
      <c r="AA768" s="74"/>
      <c r="AB768" s="74"/>
      <c r="AC768" s="74"/>
      <c r="AD768" s="98"/>
    </row>
    <row r="769" spans="1:30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 s="74"/>
      <c r="Z769" s="74"/>
      <c r="AA769" s="74"/>
      <c r="AB769" s="74"/>
      <c r="AC769" s="74"/>
      <c r="AD769" s="98"/>
    </row>
    <row r="770" spans="1:30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 s="74"/>
      <c r="Z770" s="74"/>
      <c r="AA770" s="74"/>
      <c r="AB770" s="74"/>
      <c r="AC770" s="74"/>
      <c r="AD770" s="98"/>
    </row>
    <row r="771" spans="1:30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 s="74"/>
      <c r="Z771" s="74"/>
      <c r="AA771" s="74"/>
      <c r="AB771" s="74"/>
      <c r="AC771" s="74"/>
      <c r="AD771" s="98"/>
    </row>
    <row r="772" spans="1:30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 s="74"/>
      <c r="Z772" s="74"/>
      <c r="AA772" s="74"/>
      <c r="AB772" s="74"/>
      <c r="AC772" s="74"/>
      <c r="AD772" s="98"/>
    </row>
    <row r="773" spans="1:30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 s="74"/>
      <c r="Z773" s="74"/>
      <c r="AA773" s="74"/>
      <c r="AB773" s="74"/>
      <c r="AC773" s="74"/>
      <c r="AD773" s="98"/>
    </row>
    <row r="774" spans="1:30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 s="74"/>
      <c r="Z774" s="74"/>
      <c r="AA774" s="74"/>
      <c r="AB774" s="74"/>
      <c r="AC774" s="74"/>
      <c r="AD774" s="98"/>
    </row>
    <row r="775" spans="1:30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 s="74"/>
      <c r="Z775" s="74"/>
      <c r="AA775" s="74"/>
      <c r="AB775" s="74"/>
      <c r="AC775" s="74"/>
      <c r="AD775" s="98"/>
    </row>
    <row r="776" spans="1:30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 s="74"/>
      <c r="Z776" s="74"/>
      <c r="AA776" s="74"/>
      <c r="AB776" s="74"/>
      <c r="AC776" s="74"/>
      <c r="AD776" s="98"/>
    </row>
    <row r="777" spans="1:30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 s="74"/>
      <c r="Z777" s="74"/>
      <c r="AA777" s="74"/>
      <c r="AB777" s="74"/>
      <c r="AC777" s="74"/>
      <c r="AD777" s="98"/>
    </row>
    <row r="778" spans="1:30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 s="74"/>
      <c r="Z778" s="74"/>
      <c r="AA778" s="74"/>
      <c r="AB778" s="74"/>
      <c r="AC778" s="74"/>
      <c r="AD778" s="98"/>
    </row>
    <row r="779" spans="1:30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 s="74"/>
      <c r="Z779" s="74"/>
      <c r="AA779" s="74"/>
      <c r="AB779" s="74"/>
      <c r="AC779" s="74"/>
      <c r="AD779" s="98"/>
    </row>
    <row r="780" spans="1:30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 s="74"/>
      <c r="Z780" s="74"/>
      <c r="AA780" s="74"/>
      <c r="AB780" s="74"/>
      <c r="AC780" s="74"/>
      <c r="AD780" s="98"/>
    </row>
    <row r="781" spans="1:30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 s="74"/>
      <c r="Z781" s="74"/>
      <c r="AA781" s="74"/>
      <c r="AB781" s="74"/>
      <c r="AC781" s="74"/>
      <c r="AD781" s="98"/>
    </row>
    <row r="782" spans="1:30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 s="74"/>
      <c r="Z782" s="74"/>
      <c r="AA782" s="74"/>
      <c r="AB782" s="74"/>
      <c r="AC782" s="74"/>
      <c r="AD782" s="98"/>
    </row>
    <row r="783" spans="1:30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 s="74"/>
      <c r="Z783" s="74"/>
      <c r="AA783" s="74"/>
      <c r="AB783" s="74"/>
      <c r="AC783" s="74"/>
      <c r="AD783" s="98"/>
    </row>
    <row r="784" spans="1:30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 s="74"/>
      <c r="Z784" s="74"/>
      <c r="AA784" s="74"/>
      <c r="AB784" s="74"/>
      <c r="AC784" s="74"/>
      <c r="AD784" s="98"/>
    </row>
    <row r="785" spans="1:30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 s="74"/>
      <c r="Z785" s="74"/>
      <c r="AA785" s="74"/>
      <c r="AB785" s="74"/>
      <c r="AC785" s="74"/>
      <c r="AD785" s="98"/>
    </row>
    <row r="786" spans="1:30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 s="74"/>
      <c r="Z786" s="74"/>
      <c r="AA786" s="74"/>
      <c r="AB786" s="74"/>
      <c r="AC786" s="74"/>
      <c r="AD786" s="98"/>
    </row>
    <row r="787" spans="1:30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 s="74"/>
      <c r="Z787" s="74"/>
      <c r="AA787" s="74"/>
      <c r="AB787" s="74"/>
      <c r="AC787" s="74"/>
      <c r="AD787" s="98"/>
    </row>
    <row r="788" spans="1:30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 s="74"/>
      <c r="Z788" s="74"/>
      <c r="AA788" s="74"/>
      <c r="AB788" s="74"/>
      <c r="AC788" s="74"/>
      <c r="AD788" s="98"/>
    </row>
    <row r="789" spans="1:30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 s="74"/>
      <c r="Z789" s="74"/>
      <c r="AA789" s="74"/>
      <c r="AB789" s="74"/>
      <c r="AC789" s="74"/>
      <c r="AD789" s="98"/>
    </row>
    <row r="790" spans="1:30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 s="74"/>
      <c r="Z790" s="74"/>
      <c r="AA790" s="74"/>
      <c r="AB790" s="74"/>
      <c r="AC790" s="74"/>
      <c r="AD790" s="98"/>
    </row>
    <row r="791" spans="1:30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 s="74"/>
      <c r="Z791" s="74"/>
      <c r="AA791" s="74"/>
      <c r="AB791" s="74"/>
      <c r="AC791" s="74"/>
      <c r="AD791" s="98"/>
    </row>
    <row r="792" spans="1:30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 s="74"/>
      <c r="Z792" s="74"/>
      <c r="AA792" s="74"/>
      <c r="AB792" s="74"/>
      <c r="AC792" s="74"/>
      <c r="AD792" s="98"/>
    </row>
    <row r="793" spans="1:30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 s="74"/>
      <c r="Z793" s="74"/>
      <c r="AA793" s="74"/>
      <c r="AB793" s="74"/>
      <c r="AC793" s="74"/>
      <c r="AD793" s="98"/>
    </row>
    <row r="794" spans="1:30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 s="74"/>
      <c r="Z794" s="74"/>
      <c r="AA794" s="74"/>
      <c r="AB794" s="74"/>
      <c r="AC794" s="74"/>
      <c r="AD794" s="98"/>
    </row>
    <row r="795" spans="1:30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 s="74"/>
      <c r="Z795" s="74"/>
      <c r="AA795" s="74"/>
      <c r="AB795" s="74"/>
      <c r="AC795" s="74"/>
      <c r="AD795" s="98"/>
    </row>
    <row r="796" spans="1:30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 s="74"/>
      <c r="Z796" s="74"/>
      <c r="AA796" s="74"/>
      <c r="AB796" s="74"/>
      <c r="AC796" s="74"/>
      <c r="AD796" s="98"/>
    </row>
    <row r="797" spans="1:30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 s="74"/>
      <c r="Z797" s="74"/>
      <c r="AA797" s="74"/>
      <c r="AB797" s="74"/>
      <c r="AC797" s="74"/>
      <c r="AD797" s="98"/>
    </row>
    <row r="798" spans="1:30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 s="74"/>
      <c r="Z798" s="74"/>
      <c r="AA798" s="74"/>
      <c r="AB798" s="74"/>
      <c r="AC798" s="74"/>
      <c r="AD798" s="98"/>
    </row>
    <row r="799" spans="1:30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 s="74"/>
      <c r="Z799" s="74"/>
      <c r="AA799" s="74"/>
      <c r="AB799" s="74"/>
      <c r="AC799" s="74"/>
      <c r="AD799" s="98"/>
    </row>
    <row r="800" spans="1:30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 s="74"/>
      <c r="Z800" s="74"/>
      <c r="AA800" s="74"/>
      <c r="AB800" s="74"/>
      <c r="AC800" s="74"/>
      <c r="AD800" s="98"/>
    </row>
    <row r="801" spans="1:30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 s="74"/>
      <c r="Z801" s="74"/>
      <c r="AA801" s="74"/>
      <c r="AB801" s="74"/>
      <c r="AC801" s="74"/>
      <c r="AD801" s="98"/>
    </row>
    <row r="802" spans="1:30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 s="74"/>
      <c r="Z802" s="74"/>
      <c r="AA802" s="74"/>
      <c r="AB802" s="74"/>
      <c r="AC802" s="74"/>
      <c r="AD802" s="98"/>
    </row>
    <row r="803" spans="1:30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 s="74"/>
      <c r="Z803" s="74"/>
      <c r="AA803" s="74"/>
      <c r="AB803" s="74"/>
      <c r="AC803" s="74"/>
      <c r="AD803" s="98"/>
    </row>
    <row r="804" spans="1:30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 s="74"/>
      <c r="Z804" s="74"/>
      <c r="AA804" s="74"/>
      <c r="AB804" s="74"/>
      <c r="AC804" s="74"/>
      <c r="AD804" s="98"/>
    </row>
    <row r="805" spans="1:30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 s="74"/>
      <c r="Z805" s="74"/>
      <c r="AA805" s="74"/>
      <c r="AB805" s="74"/>
      <c r="AC805" s="74"/>
      <c r="AD805" s="98"/>
    </row>
    <row r="806" spans="1:30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 s="74"/>
      <c r="Z806" s="74"/>
      <c r="AA806" s="74"/>
      <c r="AB806" s="74"/>
      <c r="AC806" s="74"/>
      <c r="AD806" s="98"/>
    </row>
    <row r="807" spans="1:30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 s="74"/>
      <c r="Z807" s="74"/>
      <c r="AA807" s="74"/>
      <c r="AB807" s="74"/>
      <c r="AC807" s="74"/>
      <c r="AD807" s="98"/>
    </row>
    <row r="808" spans="1:30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 s="74"/>
      <c r="Z808" s="74"/>
      <c r="AA808" s="74"/>
      <c r="AB808" s="74"/>
      <c r="AC808" s="74"/>
      <c r="AD808" s="98"/>
    </row>
    <row r="809" spans="1:30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 s="74"/>
      <c r="Z809" s="74"/>
      <c r="AA809" s="74"/>
      <c r="AB809" s="74"/>
      <c r="AC809" s="74"/>
      <c r="AD809" s="98"/>
    </row>
    <row r="810" spans="1:30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 s="74"/>
      <c r="Z810" s="74"/>
      <c r="AA810" s="74"/>
      <c r="AB810" s="74"/>
      <c r="AC810" s="74"/>
      <c r="AD810" s="98"/>
    </row>
    <row r="811" spans="1:30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 s="74"/>
      <c r="Z811" s="74"/>
      <c r="AA811" s="74"/>
      <c r="AB811" s="74"/>
      <c r="AC811" s="74"/>
      <c r="AD811" s="98"/>
    </row>
    <row r="812" spans="1:30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 s="74"/>
      <c r="Z812" s="74"/>
      <c r="AA812" s="74"/>
      <c r="AB812" s="74"/>
      <c r="AC812" s="74"/>
      <c r="AD812" s="98"/>
    </row>
    <row r="813" spans="1:30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 s="74"/>
      <c r="Z813" s="74"/>
      <c r="AA813" s="74"/>
      <c r="AB813" s="74"/>
      <c r="AC813" s="74"/>
      <c r="AD813" s="98"/>
    </row>
    <row r="814" spans="1:30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 s="74"/>
      <c r="Z814" s="74"/>
      <c r="AA814" s="74"/>
      <c r="AB814" s="74"/>
      <c r="AC814" s="74"/>
      <c r="AD814" s="98"/>
    </row>
    <row r="815" spans="1:30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 s="74"/>
      <c r="Z815" s="74"/>
      <c r="AA815" s="74"/>
      <c r="AB815" s="74"/>
      <c r="AC815" s="74"/>
      <c r="AD815" s="98"/>
    </row>
    <row r="816" spans="1:30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 s="74"/>
      <c r="Z816" s="74"/>
      <c r="AA816" s="74"/>
      <c r="AB816" s="74"/>
      <c r="AC816" s="74"/>
      <c r="AD816" s="98"/>
    </row>
    <row r="817" spans="1:30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 s="74"/>
      <c r="Z817" s="74"/>
      <c r="AA817" s="74"/>
      <c r="AB817" s="74"/>
      <c r="AC817" s="74"/>
      <c r="AD817" s="98"/>
    </row>
    <row r="818" spans="1:30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 s="74"/>
      <c r="Z818" s="74"/>
      <c r="AA818" s="74"/>
      <c r="AB818" s="74"/>
      <c r="AC818" s="74"/>
      <c r="AD818" s="98"/>
    </row>
    <row r="819" spans="1:30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 s="74"/>
      <c r="Z819" s="74"/>
      <c r="AA819" s="74"/>
      <c r="AB819" s="74"/>
      <c r="AC819" s="74"/>
      <c r="AD819" s="98"/>
    </row>
    <row r="820" spans="1:30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 s="74"/>
      <c r="Z820" s="74"/>
      <c r="AA820" s="74"/>
      <c r="AB820" s="74"/>
      <c r="AC820" s="74"/>
      <c r="AD820" s="98"/>
    </row>
    <row r="821" spans="1:30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 s="74"/>
      <c r="Z821" s="74"/>
      <c r="AA821" s="74"/>
      <c r="AB821" s="74"/>
      <c r="AC821" s="74"/>
      <c r="AD821" s="98"/>
    </row>
    <row r="822" spans="1:30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 s="74"/>
      <c r="Z822" s="74"/>
      <c r="AA822" s="74"/>
      <c r="AB822" s="74"/>
      <c r="AC822" s="74"/>
      <c r="AD822" s="98"/>
    </row>
    <row r="823" spans="1:30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 s="74"/>
      <c r="Z823" s="74"/>
      <c r="AA823" s="74"/>
      <c r="AB823" s="74"/>
      <c r="AC823" s="74"/>
      <c r="AD823" s="98"/>
    </row>
    <row r="824" spans="1:30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 s="74"/>
      <c r="Z824" s="74"/>
      <c r="AA824" s="74"/>
      <c r="AB824" s="74"/>
      <c r="AC824" s="74"/>
      <c r="AD824" s="98"/>
    </row>
    <row r="825" spans="1:30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 s="74"/>
      <c r="Z825" s="74"/>
      <c r="AA825" s="74"/>
      <c r="AB825" s="74"/>
      <c r="AC825" s="74"/>
      <c r="AD825" s="98"/>
    </row>
    <row r="826" spans="1:30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 s="74"/>
      <c r="Z826" s="74"/>
      <c r="AA826" s="74"/>
      <c r="AB826" s="74"/>
      <c r="AC826" s="74"/>
      <c r="AD826" s="98"/>
    </row>
    <row r="827" spans="1:30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 s="74"/>
      <c r="Z827" s="74"/>
      <c r="AA827" s="74"/>
      <c r="AB827" s="74"/>
      <c r="AC827" s="74"/>
      <c r="AD827" s="98"/>
    </row>
    <row r="828" spans="1:30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 s="74"/>
      <c r="Z828" s="74"/>
      <c r="AA828" s="74"/>
      <c r="AB828" s="74"/>
      <c r="AC828" s="74"/>
      <c r="AD828" s="98"/>
    </row>
    <row r="829" spans="1:30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 s="74"/>
      <c r="Z829" s="74"/>
      <c r="AA829" s="74"/>
      <c r="AB829" s="74"/>
      <c r="AC829" s="74"/>
      <c r="AD829" s="98"/>
    </row>
    <row r="830" spans="1:30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 s="74"/>
      <c r="Z830" s="74"/>
      <c r="AA830" s="74"/>
      <c r="AB830" s="74"/>
      <c r="AC830" s="74"/>
      <c r="AD830" s="98"/>
    </row>
    <row r="831" spans="1:30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 s="74"/>
      <c r="Z831" s="74"/>
      <c r="AA831" s="74"/>
      <c r="AB831" s="74"/>
      <c r="AC831" s="74"/>
      <c r="AD831" s="98"/>
    </row>
    <row r="832" spans="1:30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 s="74"/>
      <c r="Z832" s="74"/>
      <c r="AA832" s="74"/>
      <c r="AB832" s="74"/>
      <c r="AC832" s="74"/>
      <c r="AD832" s="98"/>
    </row>
    <row r="833" spans="1:30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 s="74"/>
      <c r="Z833" s="74"/>
      <c r="AA833" s="74"/>
      <c r="AB833" s="74"/>
      <c r="AC833" s="74"/>
      <c r="AD833" s="98"/>
    </row>
    <row r="834" spans="1:30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 s="74"/>
      <c r="Z834" s="74"/>
      <c r="AA834" s="74"/>
      <c r="AB834" s="74"/>
      <c r="AC834" s="74"/>
      <c r="AD834" s="98"/>
    </row>
    <row r="835" spans="1:30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 s="74"/>
      <c r="Z835" s="74"/>
      <c r="AA835" s="74"/>
      <c r="AB835" s="74"/>
      <c r="AC835" s="74"/>
      <c r="AD835" s="98"/>
    </row>
    <row r="836" spans="1:30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 s="74"/>
      <c r="Z836" s="74"/>
      <c r="AA836" s="74"/>
      <c r="AB836" s="74"/>
      <c r="AC836" s="74"/>
      <c r="AD836" s="98"/>
    </row>
    <row r="837" spans="1:30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 s="74"/>
      <c r="Z837" s="74"/>
      <c r="AA837" s="74"/>
      <c r="AB837" s="74"/>
      <c r="AC837" s="74"/>
      <c r="AD837" s="98"/>
    </row>
    <row r="838" spans="1:30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 s="74"/>
      <c r="Z838" s="74"/>
      <c r="AA838" s="74"/>
      <c r="AB838" s="74"/>
      <c r="AC838" s="74"/>
      <c r="AD838" s="98"/>
    </row>
    <row r="839" spans="1:30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 s="74"/>
      <c r="Z839" s="74"/>
      <c r="AA839" s="74"/>
      <c r="AB839" s="74"/>
      <c r="AC839" s="74"/>
      <c r="AD839" s="98"/>
    </row>
    <row r="840" spans="1:30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 s="74"/>
      <c r="Z840" s="74"/>
      <c r="AA840" s="74"/>
      <c r="AB840" s="74"/>
      <c r="AC840" s="74"/>
      <c r="AD840" s="98"/>
    </row>
    <row r="841" spans="1:30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 s="74"/>
      <c r="Z841" s="74"/>
      <c r="AA841" s="74"/>
      <c r="AB841" s="74"/>
      <c r="AC841" s="74"/>
      <c r="AD841" s="98"/>
    </row>
    <row r="842" spans="1:30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 s="74"/>
      <c r="Z842" s="74"/>
      <c r="AA842" s="74"/>
      <c r="AB842" s="74"/>
      <c r="AC842" s="74"/>
      <c r="AD842" s="98"/>
    </row>
    <row r="843" spans="1:30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 s="74"/>
      <c r="Z843" s="74"/>
      <c r="AA843" s="74"/>
      <c r="AB843" s="74"/>
      <c r="AC843" s="74"/>
      <c r="AD843" s="98"/>
    </row>
    <row r="844" spans="1:30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 s="74"/>
      <c r="Z844" s="74"/>
      <c r="AA844" s="74"/>
      <c r="AB844" s="74"/>
      <c r="AC844" s="74"/>
      <c r="AD844" s="98"/>
    </row>
    <row r="845" spans="1:30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 s="74"/>
      <c r="Z845" s="74"/>
      <c r="AA845" s="74"/>
      <c r="AB845" s="74"/>
      <c r="AC845" s="74"/>
      <c r="AD845" s="98"/>
    </row>
    <row r="846" spans="1:30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 s="74"/>
      <c r="Z846" s="74"/>
      <c r="AA846" s="74"/>
      <c r="AB846" s="74"/>
      <c r="AC846" s="74"/>
      <c r="AD846" s="98"/>
    </row>
    <row r="847" spans="1:30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 s="74"/>
      <c r="Z847" s="74"/>
      <c r="AA847" s="74"/>
      <c r="AB847" s="74"/>
      <c r="AC847" s="74"/>
      <c r="AD847" s="98"/>
    </row>
    <row r="848" spans="1:30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 s="74"/>
      <c r="Z848" s="74"/>
      <c r="AA848" s="74"/>
      <c r="AB848" s="74"/>
      <c r="AC848" s="74"/>
      <c r="AD848" s="98"/>
    </row>
    <row r="849" spans="1:30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 s="74"/>
      <c r="Z849" s="74"/>
      <c r="AA849" s="74"/>
      <c r="AB849" s="74"/>
      <c r="AC849" s="74"/>
      <c r="AD849" s="98"/>
    </row>
    <row r="850" spans="1:30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 s="74"/>
      <c r="Z850" s="74"/>
      <c r="AA850" s="74"/>
      <c r="AB850" s="74"/>
      <c r="AC850" s="74"/>
      <c r="AD850" s="98"/>
    </row>
    <row r="851" spans="1:30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 s="74"/>
      <c r="Z851" s="74"/>
      <c r="AA851" s="74"/>
      <c r="AB851" s="74"/>
      <c r="AC851" s="74"/>
      <c r="AD851" s="98"/>
    </row>
    <row r="852" spans="1:30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 s="74"/>
      <c r="Z852" s="74"/>
      <c r="AA852" s="74"/>
      <c r="AB852" s="74"/>
      <c r="AC852" s="74"/>
      <c r="AD852" s="98"/>
    </row>
    <row r="853" spans="1:30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 s="74"/>
      <c r="Z853" s="74"/>
      <c r="AA853" s="74"/>
      <c r="AB853" s="74"/>
      <c r="AC853" s="74"/>
      <c r="AD853" s="98"/>
    </row>
    <row r="854" spans="1:30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 s="74"/>
      <c r="Z854" s="74"/>
      <c r="AA854" s="74"/>
      <c r="AB854" s="74"/>
      <c r="AC854" s="74"/>
      <c r="AD854" s="98"/>
    </row>
    <row r="855" spans="1:30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 s="74"/>
      <c r="Z855" s="74"/>
      <c r="AA855" s="74"/>
      <c r="AB855" s="74"/>
      <c r="AC855" s="74"/>
      <c r="AD855" s="98"/>
    </row>
    <row r="856" spans="1:30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 s="74"/>
      <c r="Z856" s="74"/>
      <c r="AA856" s="74"/>
      <c r="AB856" s="74"/>
      <c r="AC856" s="74"/>
      <c r="AD856" s="98"/>
    </row>
  </sheetData>
  <sheetProtection selectLockedCells="1"/>
  <mergeCells count="192">
    <mergeCell ref="X5:AC5"/>
    <mergeCell ref="X16:Z16"/>
    <mergeCell ref="X13:Z13"/>
    <mergeCell ref="X31:Z31"/>
    <mergeCell ref="AA15:AB15"/>
    <mergeCell ref="AA16:AB16"/>
    <mergeCell ref="X27:Z27"/>
    <mergeCell ref="Y29:Z29"/>
    <mergeCell ref="Y38:Z38"/>
    <mergeCell ref="AA28:AB28"/>
    <mergeCell ref="AA23:AB23"/>
    <mergeCell ref="AA22:AB22"/>
    <mergeCell ref="AA14:AB14"/>
    <mergeCell ref="X32:Z32"/>
    <mergeCell ref="X33:Z33"/>
    <mergeCell ref="Y30:Z30"/>
    <mergeCell ref="X19:Z19"/>
    <mergeCell ref="X20:Z20"/>
    <mergeCell ref="X23:Z23"/>
    <mergeCell ref="X21:Z21"/>
    <mergeCell ref="X14:Z14"/>
    <mergeCell ref="AA36:AB36"/>
    <mergeCell ref="X36:Z36"/>
    <mergeCell ref="X35:Z35"/>
    <mergeCell ref="Y75:Z75"/>
    <mergeCell ref="Y64:Z65"/>
    <mergeCell ref="Y66:Z67"/>
    <mergeCell ref="AA68:AB68"/>
    <mergeCell ref="AA70:AB70"/>
    <mergeCell ref="X12:Z12"/>
    <mergeCell ref="X15:Z15"/>
    <mergeCell ref="X73:X75"/>
    <mergeCell ref="X72:Z72"/>
    <mergeCell ref="X60:Z60"/>
    <mergeCell ref="X68:Z68"/>
    <mergeCell ref="X61:X67"/>
    <mergeCell ref="X51:Y57"/>
    <mergeCell ref="X34:Z34"/>
    <mergeCell ref="X28:Z28"/>
    <mergeCell ref="X25:Z25"/>
    <mergeCell ref="Z54:Z55"/>
    <mergeCell ref="Z56:Z57"/>
    <mergeCell ref="X37:X38"/>
    <mergeCell ref="Y37:Z37"/>
    <mergeCell ref="X69:X71"/>
    <mergeCell ref="AA69:AB69"/>
    <mergeCell ref="Y44:Z44"/>
    <mergeCell ref="X39:X41"/>
    <mergeCell ref="Y39:Z39"/>
    <mergeCell ref="Y40:Z40"/>
    <mergeCell ref="Y41:Z41"/>
    <mergeCell ref="X42:X44"/>
    <mergeCell ref="Y42:Z42"/>
    <mergeCell ref="Y43:Z43"/>
    <mergeCell ref="AB8:AC8"/>
    <mergeCell ref="AA32:AB32"/>
    <mergeCell ref="G2:T2"/>
    <mergeCell ref="G7:K7"/>
    <mergeCell ref="F21:G21"/>
    <mergeCell ref="F13:G13"/>
    <mergeCell ref="F20:G20"/>
    <mergeCell ref="G4:K4"/>
    <mergeCell ref="L7:P7"/>
    <mergeCell ref="J9:L9"/>
    <mergeCell ref="F12:G12"/>
    <mergeCell ref="J12:J14"/>
    <mergeCell ref="Q9:R9"/>
    <mergeCell ref="F18:G18"/>
    <mergeCell ref="Q18:Q20"/>
    <mergeCell ref="Q17:R17"/>
    <mergeCell ref="S17:T17"/>
    <mergeCell ref="S18:T18"/>
    <mergeCell ref="S20:T20"/>
    <mergeCell ref="K12:L12"/>
    <mergeCell ref="K13:L13"/>
    <mergeCell ref="R13:R14"/>
    <mergeCell ref="Q10:Q16"/>
    <mergeCell ref="C7:F7"/>
    <mergeCell ref="C21:E21"/>
    <mergeCell ref="C9:E9"/>
    <mergeCell ref="C29:C30"/>
    <mergeCell ref="D30:E30"/>
    <mergeCell ref="C23:E23"/>
    <mergeCell ref="C26:E26"/>
    <mergeCell ref="S19:T19"/>
    <mergeCell ref="J10:L10"/>
    <mergeCell ref="J11:L11"/>
    <mergeCell ref="K14:L14"/>
    <mergeCell ref="J15:J17"/>
    <mergeCell ref="K15:L15"/>
    <mergeCell ref="F15:G15"/>
    <mergeCell ref="F17:G17"/>
    <mergeCell ref="C10:E10"/>
    <mergeCell ref="C14:E14"/>
    <mergeCell ref="K16:L16"/>
    <mergeCell ref="K17:L17"/>
    <mergeCell ref="C28:E28"/>
    <mergeCell ref="C31:C32"/>
    <mergeCell ref="D31:E31"/>
    <mergeCell ref="D32:E32"/>
    <mergeCell ref="J18:K20"/>
    <mergeCell ref="J25:K26"/>
    <mergeCell ref="J29:K35"/>
    <mergeCell ref="Q26:R26"/>
    <mergeCell ref="J21:K23"/>
    <mergeCell ref="J24:L24"/>
    <mergeCell ref="C25:E25"/>
    <mergeCell ref="F25:G25"/>
    <mergeCell ref="F26:G26"/>
    <mergeCell ref="F34:G34"/>
    <mergeCell ref="D29:E29"/>
    <mergeCell ref="C34:E34"/>
    <mergeCell ref="R34:U34"/>
    <mergeCell ref="C27:E27"/>
    <mergeCell ref="Q23:Q25"/>
    <mergeCell ref="Q21:R22"/>
    <mergeCell ref="C24:E24"/>
    <mergeCell ref="C18:E18"/>
    <mergeCell ref="C19:E19"/>
    <mergeCell ref="C20:E20"/>
    <mergeCell ref="BF24:BH24"/>
    <mergeCell ref="BI15:BJ15"/>
    <mergeCell ref="AR11:AR23"/>
    <mergeCell ref="AM16:AQ36"/>
    <mergeCell ref="C11:E11"/>
    <mergeCell ref="C15:E15"/>
    <mergeCell ref="C12:E12"/>
    <mergeCell ref="C13:E13"/>
    <mergeCell ref="C16:E16"/>
    <mergeCell ref="F11:G11"/>
    <mergeCell ref="R15:R16"/>
    <mergeCell ref="J27:L27"/>
    <mergeCell ref="C35:E35"/>
    <mergeCell ref="BF26:BH26"/>
    <mergeCell ref="C33:E33"/>
    <mergeCell ref="R30:U30"/>
    <mergeCell ref="R32:U32"/>
    <mergeCell ref="R33:U33"/>
    <mergeCell ref="Q32:Q34"/>
    <mergeCell ref="R31:U31"/>
    <mergeCell ref="L34:L35"/>
    <mergeCell ref="L32:L33"/>
    <mergeCell ref="F27:G27"/>
    <mergeCell ref="Q27:U28"/>
    <mergeCell ref="X26:Z26"/>
    <mergeCell ref="C17:E17"/>
    <mergeCell ref="X77:AC78"/>
    <mergeCell ref="F28:G28"/>
    <mergeCell ref="C22:E22"/>
    <mergeCell ref="BF11:BH11"/>
    <mergeCell ref="BF12:BH12"/>
    <mergeCell ref="AM9:AS9"/>
    <mergeCell ref="BF16:BH16"/>
    <mergeCell ref="BF9:BJ10"/>
    <mergeCell ref="BF21:BH21"/>
    <mergeCell ref="BF22:BH22"/>
    <mergeCell ref="BF20:BH20"/>
    <mergeCell ref="BI26:BJ26"/>
    <mergeCell ref="BI25:BJ25"/>
    <mergeCell ref="BF13:BH13"/>
    <mergeCell ref="BF14:BH14"/>
    <mergeCell ref="BI17:BJ17"/>
    <mergeCell ref="BI14:BJ14"/>
    <mergeCell ref="BF19:BH19"/>
    <mergeCell ref="AR25:AR36"/>
    <mergeCell ref="BI18:BJ18"/>
    <mergeCell ref="BF15:BH15"/>
    <mergeCell ref="BF18:BH18"/>
    <mergeCell ref="X45:Y47"/>
    <mergeCell ref="BF25:BH25"/>
    <mergeCell ref="S21:T21"/>
    <mergeCell ref="BF17:BH17"/>
    <mergeCell ref="Y69:Z69"/>
    <mergeCell ref="AA58:AB58"/>
    <mergeCell ref="Y73:Z73"/>
    <mergeCell ref="Y74:Z74"/>
    <mergeCell ref="Y71:Z71"/>
    <mergeCell ref="Y70:Z70"/>
    <mergeCell ref="AA71:AB71"/>
    <mergeCell ref="BF23:BH23"/>
    <mergeCell ref="Y61:Z61"/>
    <mergeCell ref="Y62:Z62"/>
    <mergeCell ref="Y63:Z63"/>
    <mergeCell ref="X49:Y50"/>
    <mergeCell ref="AA17:AB17"/>
    <mergeCell ref="X18:Z18"/>
    <mergeCell ref="X17:Z17"/>
    <mergeCell ref="AA19:AB19"/>
    <mergeCell ref="AA20:AB20"/>
    <mergeCell ref="X24:Z24"/>
    <mergeCell ref="X22:Z22"/>
    <mergeCell ref="X29:X30"/>
  </mergeCells>
  <phoneticPr fontId="1" type="noConversion"/>
  <conditionalFormatting sqref="M11">
    <cfRule type="expression" dxfId="27" priority="60">
      <formula>$M$11&gt;$M$10</formula>
    </cfRule>
  </conditionalFormatting>
  <conditionalFormatting sqref="N11">
    <cfRule type="expression" dxfId="26" priority="59">
      <formula>$N$11&gt;$N$10</formula>
    </cfRule>
  </conditionalFormatting>
  <conditionalFormatting sqref="M28">
    <cfRule type="expression" dxfId="25" priority="56">
      <formula>$M$28&lt;$F$12*0.4</formula>
    </cfRule>
  </conditionalFormatting>
  <conditionalFormatting sqref="N28">
    <cfRule type="expression" dxfId="24" priority="55">
      <formula>$N$28&lt;$F$12*0.4</formula>
    </cfRule>
  </conditionalFormatting>
  <conditionalFormatting sqref="S20:T20">
    <cfRule type="expression" dxfId="23" priority="54">
      <formula>$S$20&lt;1</formula>
    </cfRule>
  </conditionalFormatting>
  <conditionalFormatting sqref="F29">
    <cfRule type="expression" dxfId="22" priority="44">
      <formula>$F$29="----"</formula>
    </cfRule>
  </conditionalFormatting>
  <conditionalFormatting sqref="G29">
    <cfRule type="expression" dxfId="21" priority="42">
      <formula>$G$29="----"</formula>
    </cfRule>
  </conditionalFormatting>
  <conditionalFormatting sqref="F30">
    <cfRule type="expression" dxfId="20" priority="41">
      <formula>$F$30="----"</formula>
    </cfRule>
  </conditionalFormatting>
  <conditionalFormatting sqref="G30">
    <cfRule type="expression" dxfId="19" priority="40">
      <formula>$G$30="----"</formula>
    </cfRule>
  </conditionalFormatting>
  <conditionalFormatting sqref="F32">
    <cfRule type="expression" dxfId="18" priority="23">
      <formula>$F$32="----"</formula>
    </cfRule>
  </conditionalFormatting>
  <conditionalFormatting sqref="F31">
    <cfRule type="expression" dxfId="17" priority="22">
      <formula>$F$31="----"</formula>
    </cfRule>
  </conditionalFormatting>
  <conditionalFormatting sqref="G31">
    <cfRule type="expression" dxfId="16" priority="21">
      <formula>$G$31="----"</formula>
    </cfRule>
  </conditionalFormatting>
  <conditionalFormatting sqref="G32">
    <cfRule type="expression" dxfId="15" priority="20">
      <formula>$G$32="----"</formula>
    </cfRule>
  </conditionalFormatting>
  <conditionalFormatting sqref="M12:N14">
    <cfRule type="expression" dxfId="14" priority="19">
      <formula>$M$12="----"</formula>
    </cfRule>
  </conditionalFormatting>
  <conditionalFormatting sqref="M27">
    <cfRule type="expression" dxfId="13" priority="138">
      <formula>$M$27&gt;$F$23</formula>
    </cfRule>
  </conditionalFormatting>
  <conditionalFormatting sqref="N27">
    <cfRule type="expression" dxfId="12" priority="140">
      <formula>$N$27&gt;$G$23</formula>
    </cfRule>
  </conditionalFormatting>
  <conditionalFormatting sqref="M29:M35">
    <cfRule type="expression" dxfId="11" priority="195">
      <formula>$M$11&gt;$M$10</formula>
    </cfRule>
  </conditionalFormatting>
  <conditionalFormatting sqref="N29:N35">
    <cfRule type="expression" dxfId="10" priority="196">
      <formula>$N$11&gt;$N$10</formula>
    </cfRule>
  </conditionalFormatting>
  <conditionalFormatting sqref="M15:N16">
    <cfRule type="expression" dxfId="9" priority="220">
      <formula>$F$35="outro"</formula>
    </cfRule>
    <cfRule type="expression" dxfId="8" priority="221">
      <formula>$F$35&gt;0</formula>
    </cfRule>
  </conditionalFormatting>
  <conditionalFormatting sqref="M17:N17">
    <cfRule type="expression" dxfId="7" priority="222">
      <formula>$F$35="outro"</formula>
    </cfRule>
    <cfRule type="expression" dxfId="6" priority="223">
      <formula>$F$35&gt;0</formula>
    </cfRule>
  </conditionalFormatting>
  <conditionalFormatting sqref="AB60 AC58:AC60">
    <cfRule type="expression" dxfId="5" priority="2">
      <formula>$N$28&lt;$F$12*0.4</formula>
    </cfRule>
  </conditionalFormatting>
  <conditionalFormatting sqref="AA60">
    <cfRule type="expression" dxfId="4" priority="3">
      <formula>$M$28&lt;$F$12*0.4</formula>
    </cfRule>
  </conditionalFormatting>
  <conditionalFormatting sqref="AA58:AA59">
    <cfRule type="expression" dxfId="3" priority="4">
      <formula>$M$27&gt;$F$23</formula>
    </cfRule>
  </conditionalFormatting>
  <conditionalFormatting sqref="AB59">
    <cfRule type="expression" dxfId="2" priority="5">
      <formula>$N$27&gt;$G$23</formula>
    </cfRule>
  </conditionalFormatting>
  <conditionalFormatting sqref="AA42:AB44">
    <cfRule type="expression" dxfId="1" priority="6">
      <formula>$F$35&lt;&gt;"outro"</formula>
    </cfRule>
  </conditionalFormatting>
  <conditionalFormatting sqref="S21:T21">
    <cfRule type="expression" dxfId="0" priority="1">
      <formula>$S$20&lt;1</formula>
    </cfRule>
  </conditionalFormatting>
  <dataValidations disablePrompts="1" count="3">
    <dataValidation type="list" allowBlank="1" showInputMessage="1" showErrorMessage="1" promptTitle="TSN" prompt="Tolerância para espessura do dente" sqref="F35" xr:uid="{00000000-0002-0000-0000-000000000000}">
      <formula1>$AT$10:$BD$10</formula1>
    </dataValidation>
    <dataValidation type="list" allowBlank="1" showInputMessage="1" showErrorMessage="1" promptTitle="ASNE" prompt="Afastamento superior da espessura do dente" sqref="G35" xr:uid="{00000000-0002-0000-0000-000001000000}">
      <formula1>$AT$9:$BD$9</formula1>
    </dataValidation>
    <dataValidation type="list" allowBlank="1" showInputMessage="1" showErrorMessage="1" sqref="F14" xr:uid="{AA878092-CA71-4BEF-8546-B5420F3EB4DB}">
      <formula1>$AF$2:$AF$5</formula1>
    </dataValidation>
  </dataValidations>
  <hyperlinks>
    <hyperlink ref="G4" r:id="rId1" xr:uid="{00000000-0004-0000-0000-000000000000}"/>
  </hyperlinks>
  <printOptions horizontalCentered="1"/>
  <pageMargins left="0.2" right="0.196850393700787" top="1.37" bottom="0.42" header="0.31496062992126" footer="0.15"/>
  <pageSetup paperSize="9" orientation="portrait" horizontalDpi="300" verticalDpi="300" r:id="rId2"/>
  <headerFooter alignWithMargins="0">
    <oddHeader>&amp;L&amp;G&amp;C&amp;12&amp;KFDBC03
&amp;"Arial,Negrito"&amp;14&amp;KFFC000www.eneng.com.br</oddHeader>
    <oddFooter>&amp;LEng.° Roberto Perracini&amp;R&amp;"Arial,Negrito"&amp;12&amp;P / &amp;N</oddFooter>
  </headerFooter>
  <ignoredErrors>
    <ignoredError sqref="S17 I29 P24 I14:U14 G11:I11 U11 I18 I17:Q17 T17:U17 I23 I21 H10:I10 I31 AN12:AN13 I32 I22 T10:U10 G12:I12 K12:U12 I16:U16 I15 K15:U15 I25 I28 BU10 BU22:BU23 H13:U13 P30 I20:U20 I19:U19 BI12:BL22 I24 I30 I27 I26 P10:R10 I33 P29 P23 P21 P31 P22 P25 P28 P27 P26 P32 P33 P11:R11 T18:U18 G14 K18:L18 N18:R18 BI25:BL27 BI23 BK23:BL23 BI24 BK24:BL24" unlockedFormula="1"/>
    <ignoredError sqref="BT27:CF27 BT11:BT21 BV11:BV21" numberStoredAsText="1"/>
    <ignoredError sqref="BU11:BU21" numberStoredAsText="1" unlockedFormula="1"/>
  </ignoredErrors>
  <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Geometria ECDRH</vt:lpstr>
      <vt:lpstr>'Geometria ECDRH'!Area_de_impressao</vt:lpstr>
      <vt:lpstr>Salvarcomo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2019-09-07T00:01:38Z</cp:lastPrinted>
  <dcterms:created xsi:type="dcterms:W3CDTF">2002-10-16T16:30:05Z</dcterms:created>
  <dcterms:modified xsi:type="dcterms:W3CDTF">2021-09-29T13:02:19Z</dcterms:modified>
</cp:coreProperties>
</file>