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showInkAnnotation="0"/>
  <mc:AlternateContent xmlns:mc="http://schemas.openxmlformats.org/markup-compatibility/2006">
    <mc:Choice Requires="x15">
      <x15ac:absPath xmlns:x15ac="http://schemas.microsoft.com/office/spreadsheetml/2010/11/ac" url="D:\Homepage\html\tec-science\mechanical-power-transmission\involute-gear\"/>
    </mc:Choice>
  </mc:AlternateContent>
  <xr:revisionPtr revIDLastSave="0" documentId="13_ncr:1_{1C9DD3F9-4DDA-4391-917F-B34EB0455B97}" xr6:coauthVersionLast="45" xr6:coauthVersionMax="45" xr10:uidLastSave="{00000000-0000-0000-0000-000000000000}"/>
  <bookViews>
    <workbookView xWindow="-120" yWindow="-120" windowWidth="29040" windowHeight="15840" xr2:uid="{00000000-000D-0000-FFFF-FFFF00000000}"/>
  </bookViews>
  <sheets>
    <sheet name="input" sheetId="1" r:id="rId1"/>
    <sheet name="Newton's method" sheetId="2" r:id="rId2"/>
  </sheets>
  <calcPr calcId="191029"/>
  <customWorkbookViews>
    <customWorkbookView name="HHH - Persönliche Ansicht" guid="{6517D423-1BF8-4160-845E-47FD774DFB56}" mergeInterval="0" personalView="1" maximized="1" xWindow="1912" yWindow="22" windowWidth="1696" windowHeight="106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 i="1" l="1"/>
  <c r="I18" i="1"/>
  <c r="H18" i="1"/>
  <c r="I20" i="1" l="1"/>
  <c r="H8" i="1"/>
  <c r="H21" i="1" s="1"/>
  <c r="I21" i="1" l="1"/>
  <c r="I12" i="1"/>
  <c r="H12" i="1"/>
  <c r="B1" i="2" l="1"/>
  <c r="I25" i="1"/>
  <c r="H25" i="1"/>
  <c r="H17" i="1"/>
  <c r="I22" i="1" l="1"/>
  <c r="I27" i="1" s="1"/>
  <c r="H22" i="1"/>
  <c r="H27" i="1" s="1"/>
  <c r="H24" i="1"/>
  <c r="C17" i="1" l="1"/>
  <c r="C12" i="1" l="1"/>
  <c r="C13" i="1" s="1"/>
  <c r="B38" i="1" s="1"/>
  <c r="C25" i="1"/>
  <c r="D18" i="1"/>
  <c r="D20" i="1" s="1"/>
  <c r="C18" i="1"/>
  <c r="C8" i="1"/>
  <c r="C22" i="1" l="1"/>
  <c r="C20" i="1"/>
  <c r="D22" i="1"/>
  <c r="C23" i="1"/>
  <c r="B31" i="1" s="1"/>
  <c r="C24" i="1"/>
  <c r="D25" i="1"/>
  <c r="D27" i="1"/>
  <c r="C19" i="1"/>
  <c r="C26" i="1" s="1"/>
  <c r="D19" i="1"/>
  <c r="C21" i="1"/>
  <c r="D21" i="1"/>
  <c r="C29" i="1" l="1"/>
  <c r="C28" i="1"/>
  <c r="C27" i="1"/>
  <c r="D26" i="1"/>
  <c r="D28" i="1"/>
  <c r="B35" i="1" l="1"/>
  <c r="B3" i="2"/>
  <c r="B4" i="2" l="1"/>
  <c r="B5" i="2" l="1"/>
  <c r="B6" i="2" l="1"/>
  <c r="B7" i="2" l="1"/>
  <c r="B8" i="2" l="1"/>
  <c r="B9" i="2" l="1"/>
  <c r="B10" i="2" l="1"/>
  <c r="B11" i="2" l="1"/>
  <c r="B12" i="2" l="1"/>
  <c r="B13" i="2" l="1"/>
  <c r="H15" i="1" s="1"/>
  <c r="H16" i="1" l="1"/>
  <c r="I19" i="1"/>
  <c r="I26" i="1" s="1"/>
  <c r="H19" i="1"/>
  <c r="H26" i="1" s="1"/>
  <c r="I28" i="1" l="1"/>
  <c r="H23" i="1" l="1"/>
  <c r="G31" i="1" s="1"/>
  <c r="H28" i="1"/>
  <c r="H29" i="1"/>
</calcChain>
</file>

<file path=xl/sharedStrings.xml><?xml version="1.0" encoding="utf-8"?>
<sst xmlns="http://schemas.openxmlformats.org/spreadsheetml/2006/main" count="97" uniqueCount="40">
  <si>
    <t>mm</t>
  </si>
  <si>
    <t>°</t>
  </si>
  <si>
    <t>n</t>
  </si>
  <si>
    <r>
      <t>inv(α</t>
    </r>
    <r>
      <rPr>
        <sz val="8"/>
        <color theme="1"/>
        <rFont val="Arial"/>
        <family val="2"/>
      </rPr>
      <t>b</t>
    </r>
    <r>
      <rPr>
        <sz val="11"/>
        <color theme="1"/>
        <rFont val="Arial"/>
        <family val="2"/>
      </rPr>
      <t>)</t>
    </r>
  </si>
  <si>
    <t>Bemerkungen</t>
  </si>
  <si>
    <t>www.tec-science.com</t>
  </si>
  <si>
    <t>Calculation of the sum of the profile shift coefficients for obtaining 
a certain centre distance</t>
  </si>
  <si>
    <t>pinion</t>
  </si>
  <si>
    <t>gear</t>
  </si>
  <si>
    <t>unit</t>
  </si>
  <si>
    <t>Calculation of the centre distance with given profile shift coefficients</t>
  </si>
  <si>
    <t>Module</t>
  </si>
  <si>
    <t>Number of teeth</t>
  </si>
  <si>
    <t>Standard pressure angle</t>
  </si>
  <si>
    <t>Manufacturing tip tooth clearance</t>
  </si>
  <si>
    <t>Center distance</t>
  </si>
  <si>
    <t>tip shortening</t>
  </si>
  <si>
    <t>Calculation of the sum of the profile shift coefficients</t>
  </si>
  <si>
    <t>Chosen profile shift coefficients</t>
  </si>
  <si>
    <t>Calculated parameters</t>
  </si>
  <si>
    <t>Operating pressure angle</t>
  </si>
  <si>
    <t>Sum of the profile shift coefficients</t>
  </si>
  <si>
    <t>Profile shift coefficients</t>
  </si>
  <si>
    <t>Transmission ratio</t>
  </si>
  <si>
    <t>Standard reference pitch circle diameter</t>
  </si>
  <si>
    <t>Operating pitch circle diameter</t>
  </si>
  <si>
    <t>Addendum circle diameter</t>
  </si>
  <si>
    <t>Dedendum circle diameter</t>
  </si>
  <si>
    <t>Base circle diameter</t>
  </si>
  <si>
    <t>Operating tip tooth clearance</t>
  </si>
  <si>
    <t>Circular pitch at the reference pitch circle</t>
  </si>
  <si>
    <t>Tooth thickness at the reference pitch circle</t>
  </si>
  <si>
    <t>Tooth thickness at the operating pitch circle</t>
  </si>
  <si>
    <t>Tooth thickness at the base circle</t>
  </si>
  <si>
    <t>Tip tooth thickness</t>
  </si>
  <si>
    <t>Contact ratio</t>
  </si>
  <si>
    <t>Remarks</t>
  </si>
  <si>
    <t>Profile shift coefficients to avoid an undercut</t>
  </si>
  <si>
    <t>All calculations without guarantee!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</si>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</sst>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quot; &quot;[$€-407];[Red]&quot;-&quot;#,##0.00&quot; &quot;[$€-407]"/>
    <numFmt numFmtId="166" formatCode="0.0000000000"/>
  </numFmts>
  <fonts count="8" x14ac:knownFonts="1">
    <font>
      <sz val="11"/>
      <color theme="1"/>
      <name val="Arial"/>
      <family val="2"/>
    </font>
    <font>
      <b/>
      <i/>
      <sz val="16"/>
      <color theme="1"/>
      <name val="Arial"/>
      <family val="2"/>
    </font>
    <font>
      <b/>
      <i/>
      <u/>
      <sz val="11"/>
      <color theme="1"/>
      <name val="Arial"/>
      <family val="2"/>
    </font>
    <font>
      <b/>
      <sz val="11"/>
      <color theme="1"/>
      <name val="Arial"/>
      <family val="2"/>
    </font>
    <font>
      <sz val="8"/>
      <color theme="1"/>
      <name val="Arial"/>
      <family val="2"/>
    </font>
    <font>
      <sz val="11"/>
      <color theme="1"/>
      <name val="Arial"/>
      <family val="2"/>
    </font>
    <font>
      <u/>
      <sz val="11"/>
      <color theme="10"/>
      <name val="Arial"/>
      <family val="2"/>
    </font>
    <font>
      <sz val="11"/>
      <color theme="0"/>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6">
    <xf numFmtId="0" fontId="0" fillId="0" borderId="0"/>
    <xf numFmtId="0" fontId="1" fillId="0" borderId="0">
      <alignment horizontal="center"/>
    </xf>
    <xf numFmtId="0" fontId="1" fillId="0" borderId="0">
      <alignment horizontal="center" textRotation="90"/>
    </xf>
    <xf numFmtId="0" fontId="2" fillId="0" borderId="0"/>
    <xf numFmtId="165" fontId="2" fillId="0" borderId="0"/>
    <xf numFmtId="0" fontId="6" fillId="0" borderId="0" applyNumberFormat="0" applyFill="0" applyBorder="0" applyAlignment="0" applyProtection="0"/>
  </cellStyleXfs>
  <cellXfs count="68">
    <xf numFmtId="0" fontId="0" fillId="0" borderId="0" xfId="0"/>
    <xf numFmtId="2" fontId="0" fillId="0" borderId="0" xfId="0" applyNumberFormat="1"/>
    <xf numFmtId="1" fontId="0" fillId="0" borderId="0" xfId="0" applyNumberFormat="1"/>
    <xf numFmtId="166" fontId="0" fillId="0" borderId="0" xfId="0" applyNumberFormat="1"/>
    <xf numFmtId="2" fontId="3" fillId="0" borderId="0" xfId="0" applyNumberFormat="1" applyFont="1"/>
    <xf numFmtId="0" fontId="3" fillId="0" borderId="0" xfId="0" applyFont="1"/>
    <xf numFmtId="2" fontId="0" fillId="0" borderId="0" xfId="0" applyNumberFormat="1" applyAlignment="1">
      <alignment horizontal="right"/>
    </xf>
    <xf numFmtId="2" fontId="0" fillId="0" borderId="0" xfId="0" applyNumberFormat="1" applyFill="1" applyAlignment="1">
      <alignment vertical="top" wrapText="1"/>
    </xf>
    <xf numFmtId="1" fontId="3" fillId="4" borderId="0" xfId="0" applyNumberFormat="1" applyFont="1" applyFill="1" applyBorder="1" applyAlignment="1">
      <alignment horizontal="center"/>
    </xf>
    <xf numFmtId="2" fontId="0" fillId="2" borderId="9" xfId="0" applyNumberFormat="1" applyFill="1" applyBorder="1"/>
    <xf numFmtId="0" fontId="0" fillId="2" borderId="9" xfId="0" applyFill="1" applyBorder="1"/>
    <xf numFmtId="2" fontId="0" fillId="5" borderId="9" xfId="0" applyNumberFormat="1" applyFill="1" applyBorder="1"/>
    <xf numFmtId="2" fontId="0" fillId="5" borderId="9" xfId="0" applyNumberFormat="1" applyFont="1" applyFill="1" applyBorder="1"/>
    <xf numFmtId="2" fontId="3" fillId="4" borderId="9" xfId="0" applyNumberFormat="1" applyFont="1" applyFill="1" applyBorder="1"/>
    <xf numFmtId="0" fontId="0" fillId="5" borderId="9" xfId="0" applyFill="1" applyBorder="1"/>
    <xf numFmtId="2" fontId="0" fillId="4" borderId="9" xfId="0" applyNumberFormat="1" applyFont="1" applyFill="1" applyBorder="1"/>
    <xf numFmtId="1" fontId="0" fillId="2" borderId="9" xfId="0" applyNumberFormat="1" applyFill="1" applyBorder="1" applyAlignment="1">
      <alignment horizontal="center"/>
    </xf>
    <xf numFmtId="1" fontId="3" fillId="4" borderId="4" xfId="0" applyNumberFormat="1" applyFont="1" applyFill="1" applyBorder="1" applyAlignment="1">
      <alignment horizontal="center"/>
    </xf>
    <xf numFmtId="164" fontId="0" fillId="5" borderId="4" xfId="0" applyNumberFormat="1" applyFont="1" applyFill="1" applyBorder="1" applyAlignment="1">
      <alignment horizontal="center"/>
    </xf>
    <xf numFmtId="164" fontId="0" fillId="5" borderId="4" xfId="0" applyNumberFormat="1" applyFill="1" applyBorder="1" applyAlignment="1">
      <alignment horizontal="center"/>
    </xf>
    <xf numFmtId="164" fontId="0" fillId="5" borderId="0" xfId="0" applyNumberFormat="1" applyFont="1" applyFill="1" applyBorder="1" applyAlignment="1">
      <alignment horizontal="center"/>
    </xf>
    <xf numFmtId="164" fontId="0" fillId="5" borderId="0" xfId="0" applyNumberFormat="1" applyFill="1" applyBorder="1" applyAlignment="1">
      <alignment horizontal="center"/>
    </xf>
    <xf numFmtId="2" fontId="7" fillId="3" borderId="0" xfId="0" applyNumberFormat="1" applyFont="1" applyFill="1" applyBorder="1" applyAlignment="1">
      <alignment horizontal="left"/>
    </xf>
    <xf numFmtId="2" fontId="7" fillId="3" borderId="5" xfId="0" applyNumberFormat="1" applyFont="1" applyFill="1" applyBorder="1" applyAlignment="1">
      <alignment horizontal="left"/>
    </xf>
    <xf numFmtId="164" fontId="0" fillId="5" borderId="9" xfId="0" applyNumberFormat="1" applyFill="1" applyBorder="1" applyAlignment="1">
      <alignment vertical="center"/>
    </xf>
    <xf numFmtId="2" fontId="0" fillId="5" borderId="9" xfId="0" applyNumberFormat="1" applyFill="1" applyBorder="1" applyAlignment="1">
      <alignment wrapText="1"/>
    </xf>
    <xf numFmtId="164" fontId="0" fillId="5" borderId="9" xfId="0" applyNumberFormat="1" applyFill="1" applyBorder="1" applyAlignment="1">
      <alignment horizontal="center"/>
    </xf>
    <xf numFmtId="2" fontId="0" fillId="5" borderId="4" xfId="0" applyNumberFormat="1" applyFill="1" applyBorder="1" applyAlignment="1">
      <alignment vertical="top" wrapText="1"/>
    </xf>
    <xf numFmtId="2" fontId="0" fillId="5" borderId="0" xfId="0" applyNumberFormat="1" applyFill="1" applyBorder="1" applyAlignment="1">
      <alignment vertical="top" wrapText="1"/>
    </xf>
    <xf numFmtId="2" fontId="0" fillId="5" borderId="5" xfId="0" applyNumberFormat="1" applyFill="1" applyBorder="1" applyAlignment="1">
      <alignment vertical="top" wrapText="1"/>
    </xf>
    <xf numFmtId="1" fontId="0" fillId="2" borderId="0" xfId="0" applyNumberFormat="1" applyFill="1" applyBorder="1" applyAlignment="1" applyProtection="1">
      <alignment horizontal="center"/>
      <protection locked="0"/>
    </xf>
    <xf numFmtId="1" fontId="0" fillId="2" borderId="4" xfId="0" applyNumberFormat="1" applyFill="1" applyBorder="1" applyAlignment="1" applyProtection="1">
      <alignment horizontal="center"/>
      <protection locked="0"/>
    </xf>
    <xf numFmtId="164" fontId="0" fillId="2" borderId="0" xfId="0" applyNumberFormat="1" applyFill="1" applyBorder="1" applyAlignment="1" applyProtection="1">
      <alignment horizontal="center" vertical="center"/>
      <protection locked="0"/>
    </xf>
    <xf numFmtId="164" fontId="0" fillId="2" borderId="4" xfId="0" applyNumberFormat="1" applyFill="1" applyBorder="1" applyAlignment="1" applyProtection="1">
      <alignment horizontal="left" vertical="center"/>
      <protection locked="0"/>
    </xf>
    <xf numFmtId="2" fontId="7" fillId="3" borderId="4" xfId="0" applyNumberFormat="1" applyFont="1" applyFill="1" applyBorder="1" applyAlignment="1">
      <alignment horizontal="left"/>
    </xf>
    <xf numFmtId="2" fontId="7" fillId="3" borderId="0" xfId="0" applyNumberFormat="1" applyFont="1" applyFill="1" applyBorder="1" applyAlignment="1">
      <alignment horizontal="left"/>
    </xf>
    <xf numFmtId="2" fontId="7" fillId="3" borderId="5" xfId="0" applyNumberFormat="1" applyFont="1" applyFill="1" applyBorder="1" applyAlignment="1">
      <alignment horizontal="left"/>
    </xf>
    <xf numFmtId="2" fontId="7" fillId="6" borderId="0" xfId="0" applyNumberFormat="1" applyFont="1" applyFill="1" applyAlignment="1">
      <alignment horizontal="center" vertical="center"/>
    </xf>
    <xf numFmtId="2" fontId="0" fillId="2" borderId="0" xfId="0" applyNumberFormat="1" applyFill="1" applyBorder="1" applyAlignment="1" applyProtection="1">
      <alignment horizontal="center"/>
      <protection locked="0"/>
    </xf>
    <xf numFmtId="2" fontId="7" fillId="3" borderId="4" xfId="0" applyNumberFormat="1" applyFont="1" applyFill="1" applyBorder="1" applyAlignment="1">
      <alignment horizontal="left"/>
    </xf>
    <xf numFmtId="2" fontId="7" fillId="3" borderId="0" xfId="0" applyNumberFormat="1" applyFont="1" applyFill="1" applyBorder="1" applyAlignment="1">
      <alignment horizontal="left"/>
    </xf>
    <xf numFmtId="2" fontId="7" fillId="3" borderId="5" xfId="0" applyNumberFormat="1" applyFont="1" applyFill="1" applyBorder="1" applyAlignment="1">
      <alignment horizontal="left"/>
    </xf>
    <xf numFmtId="2" fontId="0" fillId="5" borderId="0" xfId="0" applyNumberFormat="1" applyFill="1" applyBorder="1" applyAlignment="1">
      <alignment horizontal="center"/>
    </xf>
    <xf numFmtId="2" fontId="0" fillId="5" borderId="4" xfId="0" applyNumberFormat="1" applyFill="1" applyBorder="1" applyAlignment="1">
      <alignment horizontal="left" vertical="top" wrapText="1"/>
    </xf>
    <xf numFmtId="2" fontId="0" fillId="5" borderId="0" xfId="0" applyNumberFormat="1" applyFill="1" applyBorder="1" applyAlignment="1">
      <alignment horizontal="left" vertical="top" wrapText="1"/>
    </xf>
    <xf numFmtId="2" fontId="0" fillId="5" borderId="5" xfId="0" applyNumberFormat="1" applyFill="1" applyBorder="1" applyAlignment="1">
      <alignment horizontal="left" vertical="top" wrapText="1"/>
    </xf>
    <xf numFmtId="164" fontId="0" fillId="5" borderId="0" xfId="0" applyNumberFormat="1" applyFill="1" applyBorder="1" applyAlignment="1">
      <alignment horizontal="center"/>
    </xf>
    <xf numFmtId="164" fontId="0" fillId="5" borderId="0" xfId="0" applyNumberFormat="1" applyFont="1" applyFill="1" applyBorder="1" applyAlignment="1">
      <alignment horizontal="center"/>
    </xf>
    <xf numFmtId="2" fontId="0" fillId="5" borderId="9" xfId="0" applyNumberFormat="1" applyFill="1" applyBorder="1" applyAlignment="1">
      <alignment horizontal="left" vertical="top" wrapText="1"/>
    </xf>
    <xf numFmtId="2" fontId="5" fillId="7" borderId="1" xfId="5" applyNumberFormat="1" applyFont="1" applyFill="1" applyBorder="1" applyAlignment="1">
      <alignment horizontal="center"/>
    </xf>
    <xf numFmtId="2" fontId="0" fillId="7" borderId="2" xfId="0" applyNumberFormat="1" applyFont="1" applyFill="1" applyBorder="1" applyAlignment="1">
      <alignment horizontal="center"/>
    </xf>
    <xf numFmtId="2" fontId="0" fillId="7" borderId="3" xfId="0" applyNumberFormat="1" applyFont="1" applyFill="1" applyBorder="1" applyAlignment="1">
      <alignment horizontal="center"/>
    </xf>
    <xf numFmtId="2" fontId="7" fillId="3" borderId="4" xfId="0" applyNumberFormat="1" applyFont="1" applyFill="1" applyBorder="1" applyAlignment="1">
      <alignment horizontal="left" vertical="center" wrapText="1"/>
    </xf>
    <xf numFmtId="2" fontId="7" fillId="3" borderId="0" xfId="0" applyNumberFormat="1" applyFont="1" applyFill="1" applyBorder="1" applyAlignment="1">
      <alignment horizontal="left" vertical="center" wrapText="1"/>
    </xf>
    <xf numFmtId="2" fontId="7" fillId="3" borderId="5" xfId="0" applyNumberFormat="1" applyFont="1" applyFill="1" applyBorder="1" applyAlignment="1">
      <alignment horizontal="left" vertical="center" wrapText="1"/>
    </xf>
    <xf numFmtId="164" fontId="0" fillId="2" borderId="0" xfId="0" applyNumberFormat="1" applyFill="1" applyBorder="1" applyAlignment="1" applyProtection="1">
      <alignment horizontal="center" vertical="center"/>
      <protection locked="0"/>
    </xf>
    <xf numFmtId="164" fontId="0" fillId="2" borderId="0" xfId="0" applyNumberFormat="1" applyFill="1" applyBorder="1" applyAlignment="1" applyProtection="1">
      <alignment horizontal="center"/>
      <protection locked="0"/>
    </xf>
    <xf numFmtId="164" fontId="0" fillId="5" borderId="4" xfId="0" applyNumberFormat="1" applyFill="1" applyBorder="1" applyAlignment="1">
      <alignment horizontal="center"/>
    </xf>
    <xf numFmtId="164" fontId="0" fillId="5" borderId="5" xfId="0" applyNumberFormat="1" applyFill="1" applyBorder="1" applyAlignment="1">
      <alignment horizontal="center"/>
    </xf>
    <xf numFmtId="2" fontId="7" fillId="3" borderId="0" xfId="0" applyNumberFormat="1" applyFont="1" applyFill="1" applyBorder="1" applyAlignment="1">
      <alignment horizontal="left" vertical="center"/>
    </xf>
    <xf numFmtId="2" fontId="7" fillId="3" borderId="5" xfId="0" applyNumberFormat="1" applyFont="1" applyFill="1" applyBorder="1" applyAlignment="1">
      <alignment horizontal="left" vertical="center"/>
    </xf>
    <xf numFmtId="164" fontId="0" fillId="5" borderId="4" xfId="0" applyNumberFormat="1" applyFont="1" applyFill="1" applyBorder="1" applyAlignment="1">
      <alignment horizontal="center"/>
    </xf>
    <xf numFmtId="164" fontId="0" fillId="5" borderId="5" xfId="0" applyNumberFormat="1" applyFont="1" applyFill="1" applyBorder="1" applyAlignment="1">
      <alignment horizontal="center"/>
    </xf>
    <xf numFmtId="2" fontId="0" fillId="5" borderId="4" xfId="0" applyNumberFormat="1" applyFill="1" applyBorder="1" applyAlignment="1">
      <alignment horizontal="center"/>
    </xf>
    <xf numFmtId="2" fontId="0" fillId="5" borderId="5" xfId="0" applyNumberFormat="1" applyFill="1" applyBorder="1" applyAlignment="1">
      <alignment horizontal="center"/>
    </xf>
    <xf numFmtId="2" fontId="0" fillId="3" borderId="6" xfId="0" applyNumberFormat="1" applyFill="1" applyBorder="1" applyAlignment="1">
      <alignment horizontal="left"/>
    </xf>
    <xf numFmtId="2" fontId="0" fillId="3" borderId="7" xfId="0" applyNumberFormat="1" applyFill="1" applyBorder="1" applyAlignment="1">
      <alignment horizontal="left"/>
    </xf>
    <xf numFmtId="2" fontId="0" fillId="3" borderId="8" xfId="0" applyNumberFormat="1" applyFill="1" applyBorder="1" applyAlignment="1">
      <alignment horizontal="left"/>
    </xf>
  </cellXfs>
  <cellStyles count="6">
    <cellStyle name="Heading" xfId="1" xr:uid="{00000000-0005-0000-0000-000000000000}"/>
    <cellStyle name="Heading1" xfId="2" xr:uid="{00000000-0005-0000-0000-000001000000}"/>
    <cellStyle name="Link" xfId="5" builtinId="8"/>
    <cellStyle name="Result" xfId="3" xr:uid="{00000000-0005-0000-0000-000003000000}"/>
    <cellStyle name="Result2" xfId="4" xr:uid="{00000000-0005-0000-0000-000004000000}"/>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ec-science.com/" TargetMode="External"/><Relationship Id="rId2" Type="http://schemas.openxmlformats.org/officeDocument/2006/relationships/hyperlink" Target="http://www.tec-science.com/" TargetMode="External"/><Relationship Id="rId1" Type="http://schemas.openxmlformats.org/officeDocument/2006/relationships/printerSettings" Target="../printerSettings/printerSettings1.bin"/><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MF41"/>
  <sheetViews>
    <sheetView tabSelected="1" zoomScale="115" zoomScaleNormal="115" workbookViewId="0">
      <selection activeCell="G10" sqref="G10"/>
    </sheetView>
  </sheetViews>
  <sheetFormatPr baseColWidth="10" defaultRowHeight="14.25" x14ac:dyDescent="0.2"/>
  <cols>
    <col min="1" max="1" width="3.25" customWidth="1"/>
    <col min="2" max="2" width="39" style="1" customWidth="1"/>
    <col min="3" max="3" width="9.625" style="6" customWidth="1"/>
    <col min="4" max="4" width="9.75" style="6" bestFit="1" customWidth="1"/>
    <col min="5" max="5" width="6.375" style="1" bestFit="1" customWidth="1"/>
    <col min="6" max="6" width="2.625" style="1" customWidth="1"/>
    <col min="7" max="7" width="37.125" style="1" bestFit="1" customWidth="1"/>
    <col min="8" max="8" width="7.375" style="1" bestFit="1" customWidth="1"/>
    <col min="9" max="9" width="9.75" style="1" bestFit="1" customWidth="1"/>
    <col min="10" max="10" width="6.375" style="1" bestFit="1" customWidth="1"/>
    <col min="11" max="1020" width="10.625" style="1" customWidth="1"/>
  </cols>
  <sheetData>
    <row r="2" spans="2:1020" x14ac:dyDescent="0.2">
      <c r="B2" s="49" t="s">
        <v>5</v>
      </c>
      <c r="C2" s="50"/>
      <c r="D2" s="50"/>
      <c r="E2" s="51"/>
      <c r="G2" s="49" t="s">
        <v>5</v>
      </c>
      <c r="H2" s="50"/>
      <c r="I2" s="50"/>
      <c r="J2" s="51"/>
    </row>
    <row r="3" spans="2:1020" ht="33.75" customHeight="1" x14ac:dyDescent="0.2">
      <c r="B3" s="52" t="s">
        <v>6</v>
      </c>
      <c r="C3" s="59"/>
      <c r="D3" s="59"/>
      <c r="E3" s="60"/>
      <c r="G3" s="52" t="s">
        <v>10</v>
      </c>
      <c r="H3" s="53"/>
      <c r="I3" s="53"/>
      <c r="J3" s="54"/>
      <c r="L3" s="37" t="s">
        <v>38</v>
      </c>
      <c r="M3" s="37"/>
      <c r="N3" s="37"/>
    </row>
    <row r="4" spans="2:1020" s="5" customFormat="1" ht="15" x14ac:dyDescent="0.25">
      <c r="B4" s="13"/>
      <c r="C4" s="8" t="s">
        <v>7</v>
      </c>
      <c r="D4" s="17" t="s">
        <v>8</v>
      </c>
      <c r="E4" s="15" t="s">
        <v>9</v>
      </c>
      <c r="F4" s="4"/>
      <c r="G4" s="13"/>
      <c r="H4" s="8" t="s">
        <v>7</v>
      </c>
      <c r="I4" s="17" t="s">
        <v>8</v>
      </c>
      <c r="J4" s="15" t="s">
        <v>9</v>
      </c>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row>
    <row r="5" spans="2:1020" x14ac:dyDescent="0.2">
      <c r="B5" s="9" t="s">
        <v>12</v>
      </c>
      <c r="C5" s="30">
        <v>22</v>
      </c>
      <c r="D5" s="31">
        <v>87</v>
      </c>
      <c r="E5" s="16"/>
      <c r="G5" s="9" t="s">
        <v>12</v>
      </c>
      <c r="H5" s="30">
        <v>18</v>
      </c>
      <c r="I5" s="31">
        <v>30</v>
      </c>
      <c r="J5" s="16"/>
    </row>
    <row r="6" spans="2:1020" x14ac:dyDescent="0.2">
      <c r="B6" s="9" t="s">
        <v>11</v>
      </c>
      <c r="C6" s="55">
        <v>2.5</v>
      </c>
      <c r="D6" s="55"/>
      <c r="E6" s="9" t="s">
        <v>0</v>
      </c>
      <c r="G6" s="9" t="s">
        <v>11</v>
      </c>
      <c r="H6" s="55">
        <v>1</v>
      </c>
      <c r="I6" s="55"/>
      <c r="J6" s="9" t="s">
        <v>0</v>
      </c>
    </row>
    <row r="7" spans="2:1020" x14ac:dyDescent="0.2">
      <c r="B7" s="9" t="s">
        <v>13</v>
      </c>
      <c r="C7" s="55">
        <v>20</v>
      </c>
      <c r="D7" s="55"/>
      <c r="E7" s="9" t="s">
        <v>1</v>
      </c>
      <c r="G7" s="9" t="s">
        <v>13</v>
      </c>
      <c r="H7" s="55">
        <v>20</v>
      </c>
      <c r="I7" s="55"/>
      <c r="J7" s="9" t="s">
        <v>1</v>
      </c>
    </row>
    <row r="8" spans="2:1020" x14ac:dyDescent="0.2">
      <c r="B8" s="10" t="s">
        <v>14</v>
      </c>
      <c r="C8" s="56">
        <f>0.167*$C$6</f>
        <v>0.41750000000000004</v>
      </c>
      <c r="D8" s="56"/>
      <c r="E8" s="9" t="s">
        <v>0</v>
      </c>
      <c r="G8" s="10" t="s">
        <v>14</v>
      </c>
      <c r="H8" s="56">
        <f>0.167*$H$6</f>
        <v>0.16700000000000001</v>
      </c>
      <c r="I8" s="56"/>
      <c r="J8" s="9" t="s">
        <v>0</v>
      </c>
    </row>
    <row r="9" spans="2:1020" x14ac:dyDescent="0.2">
      <c r="B9" s="9" t="s">
        <v>15</v>
      </c>
      <c r="C9" s="56">
        <v>24.6</v>
      </c>
      <c r="D9" s="56"/>
      <c r="E9" s="9" t="s">
        <v>0</v>
      </c>
      <c r="G9" s="9" t="s">
        <v>22</v>
      </c>
      <c r="H9" s="32">
        <v>0.35199999999999998</v>
      </c>
      <c r="I9" s="33">
        <v>0.3</v>
      </c>
      <c r="J9" s="9"/>
    </row>
    <row r="10" spans="2:1020" x14ac:dyDescent="0.2">
      <c r="B10" s="9" t="s">
        <v>16</v>
      </c>
      <c r="C10" s="38" t="s">
        <v>39</v>
      </c>
      <c r="D10" s="38"/>
      <c r="E10" s="9"/>
      <c r="G10" s="9" t="s">
        <v>16</v>
      </c>
      <c r="H10" s="38" t="s">
        <v>39</v>
      </c>
      <c r="I10" s="38"/>
      <c r="J10" s="9"/>
    </row>
    <row r="11" spans="2:1020" x14ac:dyDescent="0.2">
      <c r="B11" s="34" t="s">
        <v>17</v>
      </c>
      <c r="C11" s="35"/>
      <c r="D11" s="35"/>
      <c r="E11" s="36"/>
      <c r="G11" s="39" t="s">
        <v>19</v>
      </c>
      <c r="H11" s="40"/>
      <c r="I11" s="40"/>
      <c r="J11" s="41"/>
    </row>
    <row r="12" spans="2:1020" ht="14.25" customHeight="1" x14ac:dyDescent="0.2">
      <c r="B12" s="11" t="s">
        <v>20</v>
      </c>
      <c r="C12" s="63" t="e">
        <f>DEGREES(ACOS(C6*(C5+D5)*COS(RADIANS(C7))/(2*C9)))</f>
        <v>#NUM!</v>
      </c>
      <c r="D12" s="64"/>
      <c r="E12" s="11" t="s">
        <v>1</v>
      </c>
      <c r="G12" s="48" t="s">
        <v>37</v>
      </c>
      <c r="H12" s="26">
        <f>1-H5/14</f>
        <v>-0.28571428571428581</v>
      </c>
      <c r="I12" s="26">
        <f>1-I5/14</f>
        <v>-1.1428571428571428</v>
      </c>
      <c r="J12" s="11"/>
    </row>
    <row r="13" spans="2:1020" ht="14.25" customHeight="1" x14ac:dyDescent="0.2">
      <c r="B13" s="11" t="s">
        <v>21</v>
      </c>
      <c r="C13" s="57" t="e">
        <f>((TAN(RADIANS(C12))-RADIANS(C12))-(TAN(RADIANS(C7))-RADIANS(C7)))/(2*TAN(RADIANS(C7)))*(C5+D5)</f>
        <v>#NUM!</v>
      </c>
      <c r="D13" s="58"/>
      <c r="E13" s="11"/>
      <c r="G13" s="48"/>
      <c r="H13" s="24"/>
      <c r="I13" s="24"/>
      <c r="J13" s="11"/>
    </row>
    <row r="14" spans="2:1020" x14ac:dyDescent="0.2">
      <c r="B14" s="34" t="s">
        <v>18</v>
      </c>
      <c r="C14" s="22"/>
      <c r="D14" s="22"/>
      <c r="E14" s="23"/>
      <c r="G14" s="25"/>
      <c r="H14" s="24"/>
      <c r="I14" s="24"/>
      <c r="J14" s="11"/>
    </row>
    <row r="15" spans="2:1020" x14ac:dyDescent="0.2">
      <c r="B15" s="9" t="s">
        <v>22</v>
      </c>
      <c r="C15" s="32">
        <v>0.35199999999999998</v>
      </c>
      <c r="D15" s="33">
        <v>0.3</v>
      </c>
      <c r="E15" s="9"/>
      <c r="G15" s="11" t="s">
        <v>20</v>
      </c>
      <c r="H15" s="42">
        <f>DEGREES('Newton''s method'!B13)</f>
        <v>23.539999673599134</v>
      </c>
      <c r="I15" s="42"/>
      <c r="J15" s="11" t="s">
        <v>1</v>
      </c>
    </row>
    <row r="16" spans="2:1020" x14ac:dyDescent="0.2">
      <c r="B16" s="34" t="s">
        <v>19</v>
      </c>
      <c r="C16" s="22"/>
      <c r="D16" s="22"/>
      <c r="E16" s="23"/>
      <c r="G16" s="11" t="s">
        <v>15</v>
      </c>
      <c r="H16" s="46">
        <f>H6*(H5+I5)*COS(RADIANS(H7))/(2*COS(RADIANS(H15)))</f>
        <v>24.599780364794988</v>
      </c>
      <c r="I16" s="46"/>
      <c r="J16" s="11" t="s">
        <v>0</v>
      </c>
    </row>
    <row r="17" spans="2:14" customFormat="1" x14ac:dyDescent="0.2">
      <c r="B17" s="12" t="s">
        <v>23</v>
      </c>
      <c r="C17" s="61">
        <f>D5/C5</f>
        <v>3.9545454545454546</v>
      </c>
      <c r="D17" s="62"/>
      <c r="E17" s="11"/>
      <c r="F17" s="1"/>
      <c r="G17" s="12" t="s">
        <v>23</v>
      </c>
      <c r="H17" s="47">
        <f>I5/H5</f>
        <v>1.6666666666666667</v>
      </c>
      <c r="I17" s="47"/>
      <c r="J17" s="11"/>
      <c r="K17" s="1"/>
      <c r="L17" s="1"/>
      <c r="M17" s="1"/>
      <c r="N17" s="1"/>
    </row>
    <row r="18" spans="2:14" customFormat="1" x14ac:dyDescent="0.2">
      <c r="B18" s="12" t="s">
        <v>24</v>
      </c>
      <c r="C18" s="20">
        <f>$C$6*C5</f>
        <v>55</v>
      </c>
      <c r="D18" s="18">
        <f>$C$6*D5</f>
        <v>217.5</v>
      </c>
      <c r="E18" s="11" t="s">
        <v>0</v>
      </c>
      <c r="F18" s="1"/>
      <c r="G18" s="12" t="s">
        <v>24</v>
      </c>
      <c r="H18" s="20">
        <f>$H$6*H5</f>
        <v>18</v>
      </c>
      <c r="I18" s="18">
        <f>$H$6*I5</f>
        <v>30</v>
      </c>
      <c r="J18" s="11" t="s">
        <v>0</v>
      </c>
      <c r="K18" s="1"/>
      <c r="L18" s="1"/>
      <c r="M18" s="1"/>
      <c r="N18" s="1"/>
    </row>
    <row r="19" spans="2:14" customFormat="1" x14ac:dyDescent="0.2">
      <c r="B19" s="11" t="s">
        <v>25</v>
      </c>
      <c r="C19" s="21" t="e">
        <f>C18*COS(RADIANS(C7))/COS(RADIANS(C12))</f>
        <v>#NUM!</v>
      </c>
      <c r="D19" s="19" t="e">
        <f>D18*COS(RADIANS(C7))/COS(RADIANS(C12))</f>
        <v>#NUM!</v>
      </c>
      <c r="E19" s="14" t="s">
        <v>0</v>
      </c>
      <c r="F19" s="1"/>
      <c r="G19" s="11" t="s">
        <v>25</v>
      </c>
      <c r="H19" s="21">
        <f>H18*COS(RADIANS(H7))/COS(RADIANS(H15))</f>
        <v>18.449835273596243</v>
      </c>
      <c r="I19" s="19">
        <f>I18*COS(RADIANS(H7))/COS(RADIANS(H15))</f>
        <v>30.749725455993737</v>
      </c>
      <c r="J19" s="14" t="s">
        <v>0</v>
      </c>
      <c r="K19" s="1"/>
      <c r="L19" s="1"/>
      <c r="M19" s="1"/>
      <c r="N19" s="1"/>
    </row>
    <row r="20" spans="2:14" customFormat="1" x14ac:dyDescent="0.2">
      <c r="B20" s="11" t="s">
        <v>26</v>
      </c>
      <c r="C20" s="21">
        <f>IF(C10="No",C18+2*$C$6+2*C15*C6,IF(C10="Yes",2*C9-2*C6*(D5/2+D15-1),""))</f>
        <v>61.76</v>
      </c>
      <c r="D20" s="19">
        <f>IF(C10="No",D18+2*$C$6+2*D15*C6,IF(C10="Yes",2*C9-2*C6*(C5/2+C15-1),""))</f>
        <v>224</v>
      </c>
      <c r="E20" s="11" t="s">
        <v>0</v>
      </c>
      <c r="F20" s="1"/>
      <c r="G20" s="11" t="s">
        <v>26</v>
      </c>
      <c r="H20" s="21">
        <f>IF(H10="No",H18+2*$H$6+2*H9*H6,IF(H10="Yes",2*H16-2*H6*(I5/2+I9-1),""))</f>
        <v>20.704000000000001</v>
      </c>
      <c r="I20" s="19">
        <f>IF(H10="No",I18+2*$H$6+2*I9*H6,IF(H10="Yes",2*H16-2*H6*(H5/2+H9-1),""))</f>
        <v>32.6</v>
      </c>
      <c r="J20" s="11" t="s">
        <v>0</v>
      </c>
      <c r="K20" s="1"/>
      <c r="L20" s="1"/>
      <c r="M20" s="1"/>
      <c r="N20" s="1"/>
    </row>
    <row r="21" spans="2:14" customFormat="1" x14ac:dyDescent="0.2">
      <c r="B21" s="11" t="s">
        <v>27</v>
      </c>
      <c r="C21" s="21">
        <f>C18-2*($C$6+C8)+2*C15*C6</f>
        <v>50.924999999999997</v>
      </c>
      <c r="D21" s="19">
        <f>D18-2*($C$6+C8)+2*D15*C6</f>
        <v>213.16499999999999</v>
      </c>
      <c r="E21" s="11" t="s">
        <v>0</v>
      </c>
      <c r="F21" s="1"/>
      <c r="G21" s="11" t="s">
        <v>27</v>
      </c>
      <c r="H21" s="21">
        <f>H18-2*($H$6+H8)+2*H9*H6</f>
        <v>16.37</v>
      </c>
      <c r="I21" s="19">
        <f>I18-2*($H$6+H8)+2*I9*H6</f>
        <v>28.266000000000002</v>
      </c>
      <c r="J21" s="11" t="s">
        <v>0</v>
      </c>
      <c r="K21" s="1"/>
      <c r="L21" s="1"/>
      <c r="M21" s="1"/>
      <c r="N21" s="1"/>
    </row>
    <row r="22" spans="2:14" customFormat="1" x14ac:dyDescent="0.2">
      <c r="B22" s="11" t="s">
        <v>28</v>
      </c>
      <c r="C22" s="21">
        <f>C18*COS(RADIANS(C7))</f>
        <v>51.683094143224963</v>
      </c>
      <c r="D22" s="19">
        <f>D18*COS(RADIANS(C7))</f>
        <v>204.38314502093507</v>
      </c>
      <c r="E22" s="11" t="s">
        <v>0</v>
      </c>
      <c r="F22" s="1"/>
      <c r="G22" s="11" t="s">
        <v>28</v>
      </c>
      <c r="H22" s="21">
        <f>H18*COS(RADIANS(H7))</f>
        <v>16.914467174146353</v>
      </c>
      <c r="I22" s="19">
        <f>I18*COS(RADIANS(H7))</f>
        <v>28.190778623577252</v>
      </c>
      <c r="J22" s="11" t="s">
        <v>0</v>
      </c>
      <c r="K22" s="1"/>
      <c r="L22" s="1"/>
      <c r="M22" s="1"/>
      <c r="N22" s="1"/>
    </row>
    <row r="23" spans="2:14" customFormat="1" x14ac:dyDescent="0.2">
      <c r="B23" s="11" t="s">
        <v>29</v>
      </c>
      <c r="C23" s="57">
        <f>C9-C18/2-D20/2+C6*(1-C15)+C8</f>
        <v>-112.8625</v>
      </c>
      <c r="D23" s="58"/>
      <c r="E23" s="11" t="s">
        <v>0</v>
      </c>
      <c r="F23" s="1"/>
      <c r="G23" s="11" t="s">
        <v>29</v>
      </c>
      <c r="H23" s="46">
        <f>H16-H18/2-I20/2+H6*(1-H9)+H8</f>
        <v>0.11478036479498729</v>
      </c>
      <c r="I23" s="46"/>
      <c r="J23" s="11" t="s">
        <v>0</v>
      </c>
      <c r="K23" s="1"/>
      <c r="L23" s="1"/>
      <c r="M23" s="1"/>
      <c r="N23" s="1"/>
    </row>
    <row r="24" spans="2:14" customFormat="1" x14ac:dyDescent="0.2">
      <c r="B24" s="11" t="s">
        <v>30</v>
      </c>
      <c r="C24" s="57">
        <f>PI()*C18/C5</f>
        <v>7.8539816339744837</v>
      </c>
      <c r="D24" s="58"/>
      <c r="E24" s="11" t="s">
        <v>0</v>
      </c>
      <c r="F24" s="1"/>
      <c r="G24" s="11" t="s">
        <v>30</v>
      </c>
      <c r="H24" s="46">
        <f>PI()*H18/H5</f>
        <v>3.1415926535897931</v>
      </c>
      <c r="I24" s="46"/>
      <c r="J24" s="11" t="s">
        <v>0</v>
      </c>
      <c r="K24" s="1"/>
      <c r="L24" s="1"/>
      <c r="M24" s="1"/>
      <c r="N24" s="1"/>
    </row>
    <row r="25" spans="2:14" customFormat="1" x14ac:dyDescent="0.2">
      <c r="B25" s="11" t="s">
        <v>31</v>
      </c>
      <c r="C25" s="21">
        <f>C6*(PI()/2+2*C15*TAN(RADIANS(C7)))</f>
        <v>4.5675784292957573</v>
      </c>
      <c r="D25" s="19">
        <f>C6*(PI()/2+2*D15*TAN(RADIANS(C7)))</f>
        <v>4.472946168386545</v>
      </c>
      <c r="E25" s="11" t="s">
        <v>0</v>
      </c>
      <c r="F25" s="1"/>
      <c r="G25" s="11" t="s">
        <v>31</v>
      </c>
      <c r="H25" s="21">
        <f>H6*(PI()/2+2*H9*TAN(RADIANS(H7)))</f>
        <v>1.8270313717183031</v>
      </c>
      <c r="I25" s="19">
        <f>H6*(PI()/2+2*I9*TAN(RADIANS(H7)))</f>
        <v>1.7891784673546181</v>
      </c>
      <c r="J25" s="11" t="s">
        <v>0</v>
      </c>
      <c r="K25" s="1"/>
      <c r="L25" s="1"/>
      <c r="M25" s="1"/>
      <c r="N25" s="1"/>
    </row>
    <row r="26" spans="2:14" customFormat="1" x14ac:dyDescent="0.2">
      <c r="B26" s="11" t="s">
        <v>32</v>
      </c>
      <c r="C26" s="21" t="e">
        <f>C19*((C6*(PI()/2+2*C15*TAN(RADIANS(C7))))/C18+(TAN(RADIANS(C7))-RADIANS(C7))-(TAN(ACOS(C18/C19*COS(RADIANS(C7))))-(ACOS(C18/C19*COS(RADIANS(C7))))))</f>
        <v>#NUM!</v>
      </c>
      <c r="D26" s="19" t="e">
        <f>D19*((C6*(PI()/2+2*D15*TAN(RADIANS(C7))))/D18+(TAN(RADIANS(C7))-RADIANS(C7))-(TAN(ACOS(D18/D19*COS(RADIANS(C7))))-(ACOS(D18/D19*COS(RADIANS(C7))))))</f>
        <v>#NUM!</v>
      </c>
      <c r="E26" s="11" t="s">
        <v>0</v>
      </c>
      <c r="F26" s="1"/>
      <c r="G26" s="11" t="s">
        <v>32</v>
      </c>
      <c r="H26" s="21">
        <f>H19*((H6*(PI()/2+2*H9*TAN(RADIANS(H7))))/H18+(TAN(RADIANS(H7))-RADIANS(H7))-(TAN(ACOS(H18/H19*COS(RADIANS(H7))))-(ACOS(H18/H19*COS(RADIANS(H7))))))</f>
        <v>1.6902610841154004</v>
      </c>
      <c r="I26" s="19">
        <f>I19*((H6*(PI()/2+2*I9*TAN(RADIANS(H7))))/I18+(TAN(RADIANS(H7))-RADIANS(H7))-(TAN(ACOS(I18/I19*COS(RADIANS(H7))))-(ACOS(I18/I19*COS(RADIANS(H7))))))</f>
        <v>1.5298426356330361</v>
      </c>
      <c r="J26" s="11" t="s">
        <v>0</v>
      </c>
      <c r="K26" s="1"/>
      <c r="L26" s="1"/>
      <c r="M26" s="1"/>
      <c r="N26" s="1"/>
    </row>
    <row r="27" spans="2:14" customFormat="1" x14ac:dyDescent="0.2">
      <c r="B27" s="11" t="s">
        <v>33</v>
      </c>
      <c r="C27" s="21">
        <f>C22*((C6*(PI()/2+2*C15*TAN(RADIANS(C7))))/C18+(TAN(RADIANS(C7))-RADIANS(C7))-(TAN(ACOS(C18/C22*COS(RADIANS(C7))))-(ACOS(C18/C22*COS(RADIANS(C7))))))</f>
        <v>5.0624244194324266</v>
      </c>
      <c r="D27" s="19">
        <f>D22*((C6*(PI()/2+2*D15*TAN(RADIANS(C7))))/D18+(TAN(RADIANS(C7))-RADIANS(C7))-(TAN(ACOS(D18/D22*COS(RADIANS(C7))))-(ACOS(D18/D22*COS(RADIANS(C7))))))</f>
        <v>7.2493993570109492</v>
      </c>
      <c r="E27" s="11" t="s">
        <v>0</v>
      </c>
      <c r="F27" s="1"/>
      <c r="G27" s="11" t="s">
        <v>33</v>
      </c>
      <c r="H27" s="21">
        <f>H22*((H6*(PI()/2+2*H9*TAN(RADIANS(H7))))/H18+(TAN(RADIANS(H7))-RADIANS(H7))-(TAN(ACOS(H18/H22*COS(RADIANS(H7))))-(ACOS(H18/H22*COS(RADIANS(H7))))))</f>
        <v>1.9689476096229843</v>
      </c>
      <c r="I27" s="19">
        <f>I22*((H6*(PI()/2+2*I9*TAN(RADIANS(H7))))/I18+(TAN(RADIANS(H7))-RADIANS(H7))-(TAN(ACOS(I18/I22*COS(RADIANS(H7))))-(ACOS(I18/I22*COS(RADIANS(H7))))))</f>
        <v>2.1014439891670742</v>
      </c>
      <c r="J27" s="11" t="s">
        <v>0</v>
      </c>
      <c r="K27" s="1"/>
      <c r="L27" s="1"/>
      <c r="M27" s="1"/>
      <c r="N27" s="1"/>
    </row>
    <row r="28" spans="2:14" customFormat="1" x14ac:dyDescent="0.2">
      <c r="B28" s="11" t="s">
        <v>34</v>
      </c>
      <c r="C28" s="21">
        <f>C20*((C6*(PI()/2+2*C15*TAN(RADIANS(C7))))/C18+(TAN(RADIANS(C7))-RADIANS(C7))-(TAN(ACOS(C18/C20*COS(RADIANS(C7))))-(ACOS(C18/C20*COS(RADIANS(C7))))))</f>
        <v>1.4251901054606442</v>
      </c>
      <c r="D28" s="19">
        <f>D20*((C6*(PI()/2+2*D15*TAN(RADIANS(C7))))/D18+(TAN(RADIANS(C7))-RADIANS(C7))-(TAN(ACOS(D18/D20*COS(RADIANS(C7))))-(ACOS(D18/D20*COS(RADIANS(C7))))))</f>
        <v>1.9200024434446621</v>
      </c>
      <c r="E28" s="14" t="s">
        <v>0</v>
      </c>
      <c r="F28" s="1"/>
      <c r="G28" s="11" t="s">
        <v>34</v>
      </c>
      <c r="H28" s="21">
        <f>H20*((H6*(PI()/2+2*H9*TAN(RADIANS(H7))))/H18+(TAN(RADIANS(H7))-RADIANS(H7))-(TAN(ACOS(H18/H20*COS(RADIANS(H7))))-(ACOS(H18/H20*COS(RADIANS(H7))))))</f>
        <v>0.52143532485968103</v>
      </c>
      <c r="I28" s="19">
        <f>I20*((H6*(PI()/2+2*I9*TAN(RADIANS(H7))))/I18+(TAN(RADIANS(H7))-RADIANS(H7))-(TAN(ACOS(I18/I20*COS(RADIANS(H7))))-(ACOS(I18/I20*COS(RADIANS(H7))))))</f>
        <v>0.64995599852938801</v>
      </c>
      <c r="J28" s="14" t="s">
        <v>0</v>
      </c>
      <c r="K28" s="1"/>
      <c r="L28" s="1"/>
      <c r="M28" s="1"/>
      <c r="N28" s="1"/>
    </row>
    <row r="29" spans="2:14" customFormat="1" x14ac:dyDescent="0.2">
      <c r="B29" s="11" t="s">
        <v>35</v>
      </c>
      <c r="C29" s="46" t="e">
        <f>(1/2*((C20^2-C22^2)^0.5+(D20^2-D22^2)^0.5-(4*C9^2-(C22+D22)^2)^0.5))/(PI()*C6*COS(RADIANS(C7)))</f>
        <v>#NUM!</v>
      </c>
      <c r="D29" s="46"/>
      <c r="E29" s="11"/>
      <c r="F29" s="1"/>
      <c r="G29" s="11" t="s">
        <v>35</v>
      </c>
      <c r="H29" s="46">
        <f>(1/2*((H20^2-H22^2)^0.5+(I20^2-I22^2)^0.5-(4*H16^2-(H22+I22)^2)^0.5))/(PI()*H6*COS(RADIANS(H7)))</f>
        <v>1.4670507747572676</v>
      </c>
      <c r="I29" s="46"/>
      <c r="J29" s="11"/>
      <c r="K29" s="1"/>
      <c r="L29" s="1"/>
      <c r="M29" s="1"/>
      <c r="N29" s="1"/>
    </row>
    <row r="30" spans="2:14" customFormat="1" x14ac:dyDescent="0.2">
      <c r="B30" s="39" t="s">
        <v>36</v>
      </c>
      <c r="C30" s="40"/>
      <c r="D30" s="40"/>
      <c r="E30" s="41"/>
      <c r="F30" s="1"/>
      <c r="G30" s="39" t="s">
        <v>4</v>
      </c>
      <c r="H30" s="40"/>
      <c r="I30" s="40"/>
      <c r="J30" s="41"/>
      <c r="K30" s="1"/>
      <c r="L30" s="1"/>
      <c r="M30" s="1"/>
      <c r="N30" s="1"/>
    </row>
    <row r="31" spans="2:14" customFormat="1" ht="14.25" customHeight="1" x14ac:dyDescent="0.2">
      <c r="B31" s="43" t="str">
        <f>IF(C10="No","The tip diameter is currently not shortened, so that the tip tooth clearance in operation is only " &amp; ROUND(C23,3) &amp; " mm. If the manufacturing tip tooth clearance of " &amp; ROUND(C8,3) &amp; " mm is to be maintained during operation, a tip shortening must be carried out.",IF(C10="Yes","The tip diameter is currently shortened so that the manufacturing tip tooth clearance of " &amp; ROUND(C8,3) &amp; " mm " &amp; "is maintained during operation.",""))</f>
        <v>The tip diameter is currently not shortened, so that the tip tooth clearance in operation is only -112,863 mm. If the manufacturing tip tooth clearance of 0,418 mm is to be maintained during operation, a tip shortening must be carried out.</v>
      </c>
      <c r="C31" s="44"/>
      <c r="D31" s="44"/>
      <c r="E31" s="45"/>
      <c r="F31" s="1"/>
      <c r="G31" s="43" t="str">
        <f>IF(H10="No","The tip diameter is currently not shortened, so that the tip tooth clearance in operation is only " &amp; ROUND(H23,3) &amp; " mm. If the manufacturing tip tooth clearance of " &amp; ROUND(H8,3) &amp; " mm  is to be maintained during operation, a tip shortening must be carried out.",IF(H10="Yes","The tip diameter is currently shortened so that the manufacturing tip tooth clearance of " &amp; ROUND(H8,3) &amp; " mm  is maintained during operation.",""))</f>
        <v>The tip diameter is currently not shortened, so that the tip tooth clearance in operation is only 0,115 mm. If the manufacturing tip tooth clearance of 0,167 mm  is to be maintained during operation, a tip shortening must be carried out.</v>
      </c>
      <c r="H31" s="44"/>
      <c r="I31" s="44"/>
      <c r="J31" s="45"/>
      <c r="K31" s="1"/>
      <c r="L31" s="1"/>
      <c r="M31" s="1"/>
      <c r="N31" s="1"/>
    </row>
    <row r="32" spans="2:14" customFormat="1" x14ac:dyDescent="0.2">
      <c r="B32" s="43"/>
      <c r="C32" s="44"/>
      <c r="D32" s="44"/>
      <c r="E32" s="45"/>
      <c r="F32" s="1"/>
      <c r="G32" s="43"/>
      <c r="H32" s="44"/>
      <c r="I32" s="44"/>
      <c r="J32" s="45"/>
      <c r="K32" s="1"/>
      <c r="L32" s="1"/>
      <c r="M32" s="1"/>
      <c r="N32" s="1"/>
    </row>
    <row r="33" spans="2:1020" x14ac:dyDescent="0.2">
      <c r="B33" s="43"/>
      <c r="C33" s="44"/>
      <c r="D33" s="44"/>
      <c r="E33" s="45"/>
      <c r="G33" s="43"/>
      <c r="H33" s="44"/>
      <c r="I33" s="44"/>
      <c r="J33" s="45"/>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row>
    <row r="34" spans="2:1020" x14ac:dyDescent="0.2">
      <c r="B34" s="43"/>
      <c r="C34" s="44"/>
      <c r="D34" s="44"/>
      <c r="E34" s="45"/>
      <c r="G34" s="43"/>
      <c r="H34" s="44"/>
      <c r="I34" s="44"/>
      <c r="J34" s="45"/>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row>
    <row r="35" spans="2:1020" x14ac:dyDescent="0.2">
      <c r="B35" s="43" t="str">
        <f>IF(C28&lt;0.2*C6,"Die Zahnkopfdicke des Ritzels ist geringer als 20 % des Moduls. Eine Kopfkreiskürzung ist nötig!",IF(D28&lt;0.2*C6,"Die Zahnkopfdicke des Gegenrades ist geringer als 20 % des Moduls. Eine Kopfkreiskürzung ist nötig!"," "))</f>
        <v xml:space="preserve"> </v>
      </c>
      <c r="C35" s="44"/>
      <c r="D35" s="44"/>
      <c r="E35" s="45"/>
      <c r="G35" s="27"/>
      <c r="H35" s="28"/>
      <c r="I35" s="28"/>
      <c r="J35" s="29"/>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row>
    <row r="36" spans="2:1020" x14ac:dyDescent="0.2">
      <c r="B36" s="43"/>
      <c r="C36" s="44"/>
      <c r="D36" s="44"/>
      <c r="E36" s="45"/>
      <c r="G36" s="27"/>
      <c r="H36" s="28"/>
      <c r="I36" s="28"/>
      <c r="J36" s="29"/>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row>
    <row r="37" spans="2:1020" x14ac:dyDescent="0.2">
      <c r="B37" s="43"/>
      <c r="C37" s="44"/>
      <c r="D37" s="44"/>
      <c r="E37" s="45"/>
      <c r="G37" s="27"/>
      <c r="H37" s="28"/>
      <c r="I37" s="28"/>
      <c r="J37" s="29"/>
      <c r="K37" s="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row>
    <row r="38" spans="2:1020" x14ac:dyDescent="0.2">
      <c r="B38" s="43" t="e">
        <f>IF(C13&gt;1.5,"Die Summe der Profilverschiebungsfaktoren übersteigt den 1,5-fachen Wert des Moduls. Um den geforderten Achsabstand dennoch ohne Einschränkungen einzuhalten sollten andere Zähnezahlen gewählt werden!","")</f>
        <v>#NUM!</v>
      </c>
      <c r="C38" s="44"/>
      <c r="D38" s="44"/>
      <c r="E38" s="45"/>
      <c r="G38" s="27"/>
      <c r="H38" s="28"/>
      <c r="I38" s="28"/>
      <c r="J38" s="29"/>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row>
    <row r="39" spans="2:1020" x14ac:dyDescent="0.2">
      <c r="B39" s="43"/>
      <c r="C39" s="44"/>
      <c r="D39" s="44"/>
      <c r="E39" s="45"/>
      <c r="G39" s="27"/>
      <c r="H39" s="28"/>
      <c r="I39" s="28"/>
      <c r="J39" s="2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row>
    <row r="40" spans="2:1020" x14ac:dyDescent="0.2">
      <c r="B40" s="43"/>
      <c r="C40" s="44"/>
      <c r="D40" s="44"/>
      <c r="E40" s="45"/>
      <c r="G40" s="27"/>
      <c r="H40" s="28"/>
      <c r="I40" s="28"/>
      <c r="J40" s="29"/>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row>
    <row r="41" spans="2:1020" x14ac:dyDescent="0.2">
      <c r="B41" s="65"/>
      <c r="C41" s="66"/>
      <c r="D41" s="66"/>
      <c r="E41" s="67"/>
      <c r="G41" s="65"/>
      <c r="H41" s="66"/>
      <c r="I41" s="66"/>
      <c r="J41" s="67"/>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row>
  </sheetData>
  <customSheetViews>
    <customSheetView guid="{6517D423-1BF8-4160-845E-47FD774DFB56}" scale="85">
      <selection activeCell="L11" sqref="L11"/>
      <pageMargins left="0" right="0" top="0.39370078740157477" bottom="0.39370078740157477" header="0" footer="0"/>
      <pageSetup paperSize="9" orientation="portrait" horizontalDpi="0" verticalDpi="0" r:id="rId1"/>
      <headerFooter>
        <oddHeader>&amp;C&amp;A</oddHeader>
        <oddFooter>&amp;CSeite &amp;P</oddFooter>
      </headerFooter>
    </customSheetView>
  </customSheetViews>
  <mergeCells count="36">
    <mergeCell ref="G41:J41"/>
    <mergeCell ref="B41:E41"/>
    <mergeCell ref="B38:E40"/>
    <mergeCell ref="H16:I16"/>
    <mergeCell ref="B2:E2"/>
    <mergeCell ref="C6:D6"/>
    <mergeCell ref="C7:D7"/>
    <mergeCell ref="C8:D8"/>
    <mergeCell ref="B3:E3"/>
    <mergeCell ref="C10:D10"/>
    <mergeCell ref="B35:E37"/>
    <mergeCell ref="B31:E34"/>
    <mergeCell ref="C9:D9"/>
    <mergeCell ref="B30:E30"/>
    <mergeCell ref="C29:D29"/>
    <mergeCell ref="C24:D24"/>
    <mergeCell ref="C23:D23"/>
    <mergeCell ref="C17:D17"/>
    <mergeCell ref="C12:D12"/>
    <mergeCell ref="C13:D13"/>
    <mergeCell ref="G2:J2"/>
    <mergeCell ref="G3:J3"/>
    <mergeCell ref="H6:I6"/>
    <mergeCell ref="H7:I7"/>
    <mergeCell ref="H8:I8"/>
    <mergeCell ref="L3:N3"/>
    <mergeCell ref="H10:I10"/>
    <mergeCell ref="G11:J11"/>
    <mergeCell ref="H15:I15"/>
    <mergeCell ref="G31:J34"/>
    <mergeCell ref="H23:I23"/>
    <mergeCell ref="H24:I24"/>
    <mergeCell ref="H29:I29"/>
    <mergeCell ref="G30:J30"/>
    <mergeCell ref="H17:I17"/>
    <mergeCell ref="G12:G13"/>
  </mergeCells>
  <dataValidations disablePrompts="1" count="1">
    <dataValidation type="list" showInputMessage="1" showErrorMessage="1" sqref="H10:I10 C10:D10" xr:uid="{00000000-0002-0000-0000-000000000000}">
      <formula1>"Yes,No"</formula1>
    </dataValidation>
  </dataValidations>
  <hyperlinks>
    <hyperlink ref="B2" r:id="rId2" xr:uid="{00000000-0004-0000-0000-000000000000}"/>
    <hyperlink ref="G2" r:id="rId3" xr:uid="{00000000-0004-0000-0000-000001000000}"/>
  </hyperlinks>
  <pageMargins left="0" right="0" top="0.39370078740157477" bottom="0.39370078740157477" header="0" footer="0"/>
  <pageSetup paperSize="9" orientation="portrait" horizontalDpi="0" verticalDpi="0" r:id="rId4"/>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175" zoomScaleNormal="175" workbookViewId="0">
      <selection activeCell="B13" sqref="A1:B13"/>
    </sheetView>
  </sheetViews>
  <sheetFormatPr baseColWidth="10" defaultRowHeight="14.25" x14ac:dyDescent="0.2"/>
  <cols>
    <col min="1" max="1" width="8.25" style="2" customWidth="1"/>
    <col min="2" max="2" width="14" style="3" customWidth="1"/>
  </cols>
  <sheetData>
    <row r="1" spans="1:2" x14ac:dyDescent="0.2">
      <c r="A1" s="2" t="s">
        <v>3</v>
      </c>
      <c r="B1" s="3">
        <f>2*(input!H9+input!I9)/(input!H5+input!I5)*TAN(RADIANS(input!H7))+TAN(RADIANS(input!H7))-RADIANS(input!H7)</f>
        <v>2.4792241898234924E-2</v>
      </c>
    </row>
    <row r="2" spans="1:2" x14ac:dyDescent="0.2">
      <c r="A2" s="2" t="s">
        <v>2</v>
      </c>
    </row>
    <row r="3" spans="1:2" x14ac:dyDescent="0.2">
      <c r="A3" s="2">
        <v>0</v>
      </c>
      <c r="B3" s="3">
        <f>(3*B1)^(1/3)-2/5*B1</f>
        <v>0.41062798503163989</v>
      </c>
    </row>
    <row r="4" spans="1:2" x14ac:dyDescent="0.2">
      <c r="A4" s="2">
        <v>1</v>
      </c>
      <c r="B4" s="3">
        <f>B3+($B$1-TAN(B3)+B3)/TAN(B3)^2</f>
        <v>0.4108506355399138</v>
      </c>
    </row>
    <row r="5" spans="1:2" x14ac:dyDescent="0.2">
      <c r="A5" s="2">
        <v>2</v>
      </c>
      <c r="B5" s="3">
        <f t="shared" ref="B5:B12" si="0">B4+($B$1-TAN(B4)+B4)/TAN(B4)^2</f>
        <v>0.41085050022274539</v>
      </c>
    </row>
    <row r="6" spans="1:2" x14ac:dyDescent="0.2">
      <c r="A6" s="2">
        <v>3</v>
      </c>
      <c r="B6" s="3">
        <f t="shared" si="0"/>
        <v>0.41085050022269537</v>
      </c>
    </row>
    <row r="7" spans="1:2" x14ac:dyDescent="0.2">
      <c r="A7" s="2">
        <v>4</v>
      </c>
      <c r="B7" s="3">
        <f t="shared" si="0"/>
        <v>0.41085050022269537</v>
      </c>
    </row>
    <row r="8" spans="1:2" x14ac:dyDescent="0.2">
      <c r="A8" s="2">
        <v>5</v>
      </c>
      <c r="B8" s="3">
        <f t="shared" si="0"/>
        <v>0.41085050022269537</v>
      </c>
    </row>
    <row r="9" spans="1:2" x14ac:dyDescent="0.2">
      <c r="A9" s="2">
        <v>6</v>
      </c>
      <c r="B9" s="3">
        <f t="shared" si="0"/>
        <v>0.41085050022269537</v>
      </c>
    </row>
    <row r="10" spans="1:2" x14ac:dyDescent="0.2">
      <c r="A10" s="2">
        <v>7</v>
      </c>
      <c r="B10" s="3">
        <f t="shared" si="0"/>
        <v>0.41085050022269537</v>
      </c>
    </row>
    <row r="11" spans="1:2" x14ac:dyDescent="0.2">
      <c r="A11" s="2">
        <v>8</v>
      </c>
      <c r="B11" s="3">
        <f t="shared" si="0"/>
        <v>0.41085050022269537</v>
      </c>
    </row>
    <row r="12" spans="1:2" x14ac:dyDescent="0.2">
      <c r="A12" s="2">
        <v>9</v>
      </c>
      <c r="B12" s="3">
        <f t="shared" si="0"/>
        <v>0.41085050022269537</v>
      </c>
    </row>
    <row r="13" spans="1:2" x14ac:dyDescent="0.2">
      <c r="A13" s="2">
        <v>10</v>
      </c>
      <c r="B13" s="3">
        <f>B12+($B$1-TAN(B12)+B12)/TAN(B12)^2</f>
        <v>0.41085050022269537</v>
      </c>
    </row>
  </sheetData>
  <customSheetViews>
    <customSheetView guid="{6517D423-1BF8-4160-845E-47FD774DFB56}" scale="175">
      <selection activeCell="B1" sqref="B1"/>
      <pageMargins left="0" right="0" top="0.39370078740157477" bottom="0.39370078740157477" header="0" footer="0"/>
      <pageSetup paperSize="9" orientation="portrait" horizontalDpi="0" verticalDpi="0" r:id="rId1"/>
      <headerFooter>
        <oddHeader>&amp;C&amp;A</oddHeader>
        <oddFooter>&amp;CSeite &amp;P</oddFooter>
      </headerFooter>
    </customSheetView>
  </customSheetViews>
  <pageMargins left="0" right="0" top="0.39370078740157477" bottom="0.39370078740157477" header="0" footer="0"/>
  <pageSetup paperSize="9" orientation="portrait" horizontalDpi="0" verticalDpi="0" r:id="rId2"/>
  <headerFooter>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input</vt:lpstr>
      <vt:lpstr>Newton's 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AAA</cp:lastModifiedBy>
  <cp:revision>293</cp:revision>
  <dcterms:created xsi:type="dcterms:W3CDTF">2014-07-08T14:04:57Z</dcterms:created>
  <dcterms:modified xsi:type="dcterms:W3CDTF">2020-04-13T08:43:44Z</dcterms:modified>
</cp:coreProperties>
</file>