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8_{699BA171-CFA2-4103-97CB-612B5F6DF9C8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</sheets>
  <functionGroups builtInGroupCount="19"/>
  <definedNames>
    <definedName name="_xlnm.Print_Area" localSheetId="0">Principal!$AC$10:$AI$64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5" i="1" l="1"/>
  <c r="AG75" i="1"/>
  <c r="AH75" i="1"/>
  <c r="AF76" i="1"/>
  <c r="AG76" i="1"/>
  <c r="AH76" i="1"/>
  <c r="AG74" i="1"/>
  <c r="AH74" i="1"/>
  <c r="AF74" i="1"/>
  <c r="AD75" i="1"/>
  <c r="AD76" i="1"/>
  <c r="AD74" i="1"/>
  <c r="AC74" i="1"/>
  <c r="AC37" i="1"/>
  <c r="AD36" i="1"/>
  <c r="AI66" i="1"/>
  <c r="AG65" i="1"/>
  <c r="AE66" i="1"/>
  <c r="AE67" i="1"/>
  <c r="AE65" i="1"/>
  <c r="AC65" i="1"/>
  <c r="AD62" i="1"/>
  <c r="AD59" i="1"/>
  <c r="AE59" i="1"/>
  <c r="AE60" i="1"/>
  <c r="AE61" i="1"/>
  <c r="AE62" i="1"/>
  <c r="AE63" i="1"/>
  <c r="AE64" i="1"/>
  <c r="AE57" i="1"/>
  <c r="AE58" i="1"/>
  <c r="AE55" i="1"/>
  <c r="AE56" i="1"/>
  <c r="AE54" i="1"/>
  <c r="AG47" i="1"/>
  <c r="AI48" i="1"/>
  <c r="AI54" i="1"/>
  <c r="AI59" i="1"/>
  <c r="AI62" i="1"/>
  <c r="AF48" i="1"/>
  <c r="AF49" i="1"/>
  <c r="AF50" i="1"/>
  <c r="AF51" i="1"/>
  <c r="AF52" i="1"/>
  <c r="AF53" i="1"/>
  <c r="AF54" i="1"/>
  <c r="AF55" i="1"/>
  <c r="AF56" i="1"/>
  <c r="AF57" i="1"/>
  <c r="AF59" i="1"/>
  <c r="AF60" i="1"/>
  <c r="AF61" i="1"/>
  <c r="AF62" i="1"/>
  <c r="AF63" i="1"/>
  <c r="AF64" i="1"/>
  <c r="AC57" i="1"/>
  <c r="AC59" i="1"/>
  <c r="AC54" i="1"/>
  <c r="AC51" i="1"/>
  <c r="AC47" i="1"/>
  <c r="F57" i="1" a="1"/>
  <c r="AG53" i="1" l="1"/>
  <c r="AH53" i="1"/>
  <c r="AH52" i="1"/>
  <c r="AG51" i="1"/>
  <c r="AH51" i="1"/>
  <c r="AG52" i="1"/>
  <c r="F57" i="1"/>
  <c r="AG60" i="1" s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AF44" i="1"/>
  <c r="AF45" i="1"/>
  <c r="AC44" i="1"/>
  <c r="AC45" i="1"/>
  <c r="AF35" i="1"/>
  <c r="AF39" i="1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AG54" i="1" l="1"/>
  <c r="Z9" i="2"/>
  <c r="Z8" i="2"/>
  <c r="AE72" i="1" l="1"/>
  <c r="AE73" i="1"/>
  <c r="AD72" i="1"/>
  <c r="AE71" i="1"/>
  <c r="AE70" i="1"/>
  <c r="AD70" i="1"/>
  <c r="AF46" i="1"/>
  <c r="AC46" i="1"/>
  <c r="AG45" i="1"/>
  <c r="AD69" i="1"/>
  <c r="AD68" i="1"/>
  <c r="AD35" i="1" l="1"/>
  <c r="AD34" i="1"/>
  <c r="AD32" i="1"/>
  <c r="AD30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40" i="1"/>
  <c r="AF41" i="1"/>
  <c r="AF42" i="1"/>
  <c r="AF43" i="1"/>
  <c r="AF68" i="1"/>
  <c r="AF70" i="1"/>
  <c r="AF71" i="1"/>
  <c r="AF72" i="1"/>
  <c r="AF73" i="1"/>
  <c r="AF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5" i="1"/>
  <c r="AC38" i="1"/>
  <c r="AC39" i="1"/>
  <c r="AC40" i="1"/>
  <c r="AC41" i="1"/>
  <c r="AC42" i="1"/>
  <c r="AC43" i="1"/>
  <c r="AC68" i="1"/>
  <c r="AG13" i="1"/>
  <c r="AI13" i="1"/>
  <c r="AG14" i="1"/>
  <c r="AH14" i="1"/>
  <c r="AI14" i="1"/>
  <c r="AG15" i="1"/>
  <c r="AH15" i="1"/>
  <c r="AI15" i="1"/>
  <c r="AG16" i="1"/>
  <c r="AG17" i="1"/>
  <c r="AI17" i="1"/>
  <c r="AG18" i="1"/>
  <c r="AI19" i="1"/>
  <c r="AI20" i="1"/>
  <c r="AI21" i="1"/>
  <c r="AI22" i="1"/>
  <c r="AI23" i="1"/>
  <c r="AI24" i="1"/>
  <c r="AI25" i="1"/>
  <c r="AH26" i="1"/>
  <c r="AI26" i="1"/>
  <c r="AH27" i="1"/>
  <c r="AI27" i="1"/>
  <c r="AH29" i="1"/>
  <c r="AG38" i="1"/>
  <c r="AI39" i="1"/>
  <c r="AI42" i="1"/>
  <c r="AG43" i="1"/>
  <c r="AI46" i="1"/>
  <c r="AH11" i="1"/>
  <c r="AG11" i="1"/>
  <c r="AC11" i="1"/>
  <c r="AI10" i="1"/>
  <c r="AH10" i="1"/>
  <c r="AG10" i="1"/>
  <c r="AC10" i="1"/>
  <c r="H71" i="2" l="1"/>
  <c r="F65" i="2"/>
  <c r="H65" i="2" s="1"/>
  <c r="F37" i="1" l="1"/>
  <c r="AG40" i="1" s="1"/>
  <c r="F43" i="1"/>
  <c r="AG46" i="1" s="1"/>
  <c r="F41" i="1"/>
  <c r="AG44" i="1" s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9" i="1" a="1"/>
  <c r="F19" i="1" a="1"/>
  <c r="G13" i="1" a="1"/>
  <c r="F21" i="1" a="1"/>
  <c r="F22" i="1" a="1"/>
  <c r="G21" i="1" a="1"/>
  <c r="H36" i="2" l="1"/>
  <c r="F16" i="1" s="1"/>
  <c r="H37" i="2"/>
  <c r="G16" i="1" s="1"/>
  <c r="F22" i="1"/>
  <c r="F21" i="1"/>
  <c r="AG24" i="1" s="1"/>
  <c r="F19" i="1"/>
  <c r="AG22" i="1" s="1"/>
  <c r="G21" i="1"/>
  <c r="AH24" i="1" s="1"/>
  <c r="G13" i="1"/>
  <c r="AH16" i="1" s="1"/>
  <c r="F9" i="1"/>
  <c r="AG12" i="1" s="1"/>
  <c r="F34" i="1" a="1"/>
  <c r="F18" i="1" a="1"/>
  <c r="G20" i="1" a="1"/>
  <c r="F24" i="1" a="1"/>
  <c r="G34" i="1" a="1"/>
  <c r="F20" i="1" a="1"/>
  <c r="F34" i="1" l="1"/>
  <c r="AG37" i="1" s="1"/>
  <c r="G34" i="1"/>
  <c r="AH37" i="1" s="1"/>
  <c r="AG25" i="1"/>
  <c r="G17" i="1"/>
  <c r="AH20" i="1" s="1"/>
  <c r="AH19" i="1"/>
  <c r="F17" i="1"/>
  <c r="AG20" i="1" s="1"/>
  <c r="AG19" i="1"/>
  <c r="F24" i="1"/>
  <c r="G20" i="1"/>
  <c r="F18" i="1"/>
  <c r="AG21" i="1" s="1"/>
  <c r="F20" i="1"/>
  <c r="G25" i="1" a="1"/>
  <c r="F25" i="1" a="1"/>
  <c r="F23" i="1" a="1"/>
  <c r="U9" i="2" l="1"/>
  <c r="AA9" i="2" s="1"/>
  <c r="G45" i="1" s="1"/>
  <c r="AH48" i="1" s="1"/>
  <c r="U8" i="2"/>
  <c r="AD8" i="2" s="1"/>
  <c r="F46" i="1" s="1"/>
  <c r="AG49" i="1" s="1"/>
  <c r="AH23" i="1"/>
  <c r="AG23" i="1"/>
  <c r="G25" i="1"/>
  <c r="F25" i="1"/>
  <c r="AG27" i="1"/>
  <c r="F23" i="1"/>
  <c r="AG26" i="1" s="1"/>
  <c r="F33" i="1" a="1"/>
  <c r="F32" i="1" a="1"/>
  <c r="G33" i="1" a="1"/>
  <c r="G32" i="1" a="1"/>
  <c r="F26" i="1" a="1"/>
  <c r="AA8" i="2" l="1"/>
  <c r="F45" i="1" s="1"/>
  <c r="AG48" i="1" s="1"/>
  <c r="AD9" i="2"/>
  <c r="G46" i="1" s="1"/>
  <c r="AH49" i="1" s="1"/>
  <c r="G32" i="1"/>
  <c r="AH35" i="1" s="1"/>
  <c r="F32" i="1"/>
  <c r="AG35" i="1" s="1"/>
  <c r="F33" i="1"/>
  <c r="AG36" i="1" s="1"/>
  <c r="G33" i="1"/>
  <c r="AH36" i="1" s="1"/>
  <c r="AG28" i="1"/>
  <c r="AH28" i="1"/>
  <c r="F26" i="1"/>
  <c r="F27" i="1" a="1"/>
  <c r="F29" i="1" a="1"/>
  <c r="F31" i="1" a="1"/>
  <c r="F38" i="1" a="1"/>
  <c r="F52" i="1" a="1"/>
  <c r="F52" i="1" l="1"/>
  <c r="F47" i="1"/>
  <c r="AG50" i="1"/>
  <c r="G47" i="1"/>
  <c r="AH50" i="1" s="1"/>
  <c r="AG29" i="1"/>
  <c r="G35" i="1"/>
  <c r="F31" i="1"/>
  <c r="AG34" i="1" s="1"/>
  <c r="F29" i="1"/>
  <c r="AG32" i="1" s="1"/>
  <c r="F27" i="1"/>
  <c r="AG30" i="1" s="1"/>
  <c r="F38" i="1"/>
  <c r="F54" i="1" a="1"/>
  <c r="F56" i="1" a="1"/>
  <c r="F53" i="1" a="1"/>
  <c r="G57" i="1" a="1"/>
  <c r="G51" i="1" a="1"/>
  <c r="G56" i="1" a="1"/>
  <c r="F53" i="1" l="1"/>
  <c r="F54" i="1"/>
  <c r="AG55" i="1"/>
  <c r="G51" i="1"/>
  <c r="AH54" i="1" s="1"/>
  <c r="G57" i="1"/>
  <c r="AH60" i="1" s="1"/>
  <c r="G56" i="1"/>
  <c r="AH59" i="1" s="1"/>
  <c r="F56" i="1"/>
  <c r="AG59" i="1" s="1"/>
  <c r="G37" i="1"/>
  <c r="AH40" i="1" s="1"/>
  <c r="AH38" i="1"/>
  <c r="F39" i="1"/>
  <c r="AG41" i="1"/>
  <c r="G52" i="1" a="1"/>
  <c r="F59" i="1" a="1"/>
  <c r="G53" i="1" a="1"/>
  <c r="F60" i="1" a="1"/>
  <c r="P12" i="1" a="1"/>
  <c r="O12" i="1" a="1"/>
  <c r="F55" i="1" a="1"/>
  <c r="P12" i="1" l="1"/>
  <c r="O12" i="1"/>
  <c r="F59" i="1"/>
  <c r="F60" i="1"/>
  <c r="AG63" i="1" s="1"/>
  <c r="F55" i="1"/>
  <c r="AG57" i="1"/>
  <c r="AG56" i="1"/>
  <c r="AG58" i="1"/>
  <c r="G53" i="1"/>
  <c r="AH56" i="1" s="1"/>
  <c r="G52" i="1"/>
  <c r="AH55" i="1" s="1"/>
  <c r="AG69" i="1"/>
  <c r="G58" i="1"/>
  <c r="F58" i="1"/>
  <c r="AG42" i="1"/>
  <c r="G54" i="1" a="1"/>
  <c r="O11" i="1" a="1"/>
  <c r="G55" i="1" a="1"/>
  <c r="F61" i="1" l="1"/>
  <c r="AG64" i="1" s="1"/>
  <c r="AG62" i="1"/>
  <c r="O11" i="1"/>
  <c r="AG68" i="1" s="1"/>
  <c r="AH61" i="1"/>
  <c r="AG61" i="1"/>
  <c r="G54" i="1"/>
  <c r="AH57" i="1" s="1"/>
  <c r="G55" i="1"/>
  <c r="F66" i="2"/>
  <c r="F36" i="1" a="1"/>
  <c r="P11" i="1" a="1"/>
  <c r="G59" i="1" a="1"/>
  <c r="G60" i="1" a="1"/>
  <c r="F36" i="1" l="1"/>
  <c r="AG39" i="1" s="1"/>
  <c r="P11" i="1"/>
  <c r="AH58" i="1"/>
  <c r="AH69" i="1"/>
  <c r="G59" i="1"/>
  <c r="AH62" i="1" s="1"/>
  <c r="G60" i="1"/>
  <c r="AH63" i="1" s="1"/>
  <c r="H67" i="2"/>
  <c r="O10" i="1" s="1"/>
  <c r="AG67" i="1" s="1"/>
  <c r="H66" i="2"/>
  <c r="O9" i="1" s="1"/>
  <c r="AG66" i="1" s="1"/>
  <c r="G36" i="1" a="1"/>
  <c r="G36" i="1" l="1"/>
  <c r="AH39" i="1" s="1"/>
  <c r="F72" i="2"/>
  <c r="AH68" i="1"/>
  <c r="G61" i="1"/>
  <c r="AH64" i="1" s="1"/>
  <c r="O16" i="1"/>
  <c r="AG73" i="1" s="1"/>
  <c r="O15" i="1"/>
  <c r="AG72" i="1" s="1"/>
  <c r="O13" i="1"/>
  <c r="AG70" i="1" s="1"/>
  <c r="O14" i="1"/>
  <c r="AG71" i="1" s="1"/>
  <c r="H72" i="2" l="1"/>
  <c r="P9" i="1" s="1"/>
  <c r="AH66" i="1" s="1"/>
  <c r="H73" i="2"/>
  <c r="P10" i="1" s="1"/>
  <c r="AH67" i="1" s="1"/>
  <c r="P16" i="1" l="1"/>
  <c r="AH73" i="1" s="1"/>
  <c r="P14" i="1"/>
  <c r="AH71" i="1" s="1"/>
  <c r="P13" i="1"/>
  <c r="AH70" i="1" s="1"/>
  <c r="P15" i="1"/>
  <c r="AH7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<sst xmlns="http://schemas.openxmlformats.org/spreadsheetml/2006/main" count="376" uniqueCount="196">
  <si>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</si>
  <si>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</si>
  <si>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</si>
  <si>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</si>
  <si>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</si>
  <si>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</si>
  <si>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</si>
  <si>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</si>
  <si>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</si>
  <si>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</si>
  <si>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</si>
  <si>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</si>
  <si>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</si>
  <si>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</si>
  <si>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</si>
  <si>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</si>
  <si>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</si>
  <si>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</si>
  <si>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</si>
  <si>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</si>
  <si>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</si>
  <si>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</si>
  <si>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</si>
  <si>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</si>
  <si>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</si>
  <si>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</si>
  <si>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</si>
  <si>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</si>
  <si>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</si>
  <si>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</si>
  <si>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</si>
  <si>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</si>
  <si>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</si>
  <si>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</si>
  <si>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</si>
  <si>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</si>
  <si>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</si>
  <si>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</si>
  <si>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</si>
  <si>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</si>
  <si>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</si>
  <si>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</si>
  <si>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</si>
  <si>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</si>
  <si>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</si>
  <si>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</si>
  <si>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</si>
  <si>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</si>
  <si>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</si>
  <si>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</si>
  <si>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</si>
  <si>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</si>
  <si>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</si>
  <si>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</si>
  <si>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</si>
  <si>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</si>
  <si>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</si>
  <si>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</si>
  <si>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</si>
  <si>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</si>
  <si>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</si>
  <si>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</si>
  <si>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</si>
  <si>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</si>
  <si>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</si>
  <si>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</si>
  <si>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</si>
  <si>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</si>
  <si>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</si>
  <si>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</si>
  <si>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</si>
  <si>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</si>
  <si>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</si>
  <si>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</si>
  <si>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</si>
  <si>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</si>
  <si>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</si>
  <si>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</si>
  <si>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</si>
  <si>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</si>
  <si>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</si>
  <si>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</si>
  <si>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</si>
  <si>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</si>
  <si>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</si>
  <si>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</si>
  <si>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</si>
  <si>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</si>
  <si>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</si>
  <si>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</si>
  <si>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</si>
  <si>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</si>
  <si>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</si>
  <si>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</si>
  <si>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</si>
  <si>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</si>
  <si>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</si>
  <si>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</si>
  <si>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</si>
  <si>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</si>
  <si>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</si>
  <si>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</si>
  <si>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</si>
  <si>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</si>
  <si>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</si>
  <si>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</si>
  <si>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</si>
  <si>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</si>
  <si>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</si>
  <si>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</si>
  <si>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</si>
  <si>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</si>
  <si>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</si>
  <si>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</si>
  <si>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</si>
  <si>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</si>
  <si>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</si>
  <si>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</si>
  <si>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</si>
  <si>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</si>
  <si>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</si>
  <si>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</si>
  <si>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</si>
  <si>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</si>
  <si>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</si>
  <si>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</si>
  <si>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</si>
  <si>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</si>
  <si>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</si>
  <si>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</si>
  <si>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</si>
  <si>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</si>
  <si>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</si>
  <si>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Campo e qualid.</t>
  </si>
  <si>
    <t>Afast. Superior</t>
  </si>
  <si>
    <t>Afast. Inferior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</si>
  <si>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</si>
  <si>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</si>
  <si>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</si>
  <si>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</si>
  <si>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</si>
  <si>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</si>
  <si>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</si>
  <si>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</si>
  <si>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</si>
  <si>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</si>
  <si>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</si>
  <si>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</si>
  <si>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</si>
  <si>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</si>
  <si>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</si>
  <si>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</si>
  <si>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</si>
  <si>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</si>
  <si>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</si>
  <si>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</si>
  <si>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</si>
  <si>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</si>
  <si>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</si>
  <si>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</si>
  <si>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</si>
  <si>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</si>
  <si>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</si>
  <si>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</si>
  <si>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</si>
  <si>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</si>
  <si>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</si>
  <si>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</si>
  <si>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</si>
  <si>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</si>
  <si>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</si>
  <si>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</si>
  <si>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</si>
  <si>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</si>
  <si>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</si>
  <si>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</si>
  <si>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</si>
  <si>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</si>
  <si>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</si>
  <si>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</si>
  <si>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</si>
  <si>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</si>
  <si>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</si>
  <si>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</si>
  <si>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</si>
  <si>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</si>
  <si>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</si>
  <si>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</si>
  <si>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</si>
  <si>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</si>
  <si>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</si>
  <si>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</si>
  <si>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</si>
  <si>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</si>
  <si>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</si>
  <si>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30cd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</si>
</sst>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0000"/>
    <numFmt numFmtId="167" formatCode="0.00000000000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B8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3" fillId="5" borderId="1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0" fontId="15" fillId="0" borderId="0" xfId="0" applyFont="1" applyAlignment="1">
      <alignment horizontal="right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20" fillId="0" borderId="3" xfId="0" applyFont="1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7" borderId="0" xfId="0" applyFont="1" applyFill="1"/>
    <xf numFmtId="164" fontId="21" fillId="0" borderId="0" xfId="0" applyNumberFormat="1" applyFont="1" applyBorder="1"/>
    <xf numFmtId="166" fontId="22" fillId="7" borderId="0" xfId="0" applyNumberFormat="1" applyFont="1" applyFill="1"/>
    <xf numFmtId="3" fontId="22" fillId="7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" fillId="2" borderId="43" xfId="0" applyFont="1" applyFill="1" applyBorder="1" applyAlignment="1">
      <alignment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0" fontId="1" fillId="2" borderId="49" xfId="0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1" fillId="2" borderId="50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vertical="center" wrapText="1"/>
    </xf>
    <xf numFmtId="0" fontId="1" fillId="2" borderId="51" xfId="0" applyFont="1" applyFill="1" applyBorder="1" applyAlignment="1">
      <alignment vertical="center"/>
    </xf>
    <xf numFmtId="0" fontId="1" fillId="2" borderId="4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 wrapText="1"/>
    </xf>
    <xf numFmtId="0" fontId="1" fillId="2" borderId="52" xfId="0" applyFont="1" applyFill="1" applyBorder="1" applyAlignment="1">
      <alignment vertical="center"/>
    </xf>
    <xf numFmtId="0" fontId="12" fillId="2" borderId="0" xfId="3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0" fillId="2" borderId="52" xfId="0" applyFill="1" applyBorder="1"/>
    <xf numFmtId="0" fontId="1" fillId="2" borderId="48" xfId="0" applyFont="1" applyFill="1" applyBorder="1" applyAlignment="1">
      <alignment vertical="center"/>
    </xf>
    <xf numFmtId="0" fontId="0" fillId="2" borderId="53" xfId="0" applyFill="1" applyBorder="1"/>
    <xf numFmtId="0" fontId="1" fillId="2" borderId="53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vertical="center"/>
    </xf>
    <xf numFmtId="0" fontId="0" fillId="2" borderId="54" xfId="0" applyFill="1" applyBorder="1"/>
    <xf numFmtId="0" fontId="1" fillId="2" borderId="5" xfId="0" applyFont="1" applyFill="1" applyBorder="1" applyAlignment="1">
      <alignment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38" xfId="0" applyFont="1" applyFill="1" applyBorder="1" applyAlignment="1">
      <alignment horizontal="center" vertical="center"/>
    </xf>
    <xf numFmtId="164" fontId="13" fillId="5" borderId="5" xfId="0" applyNumberFormat="1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164" fontId="20" fillId="8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1" fillId="8" borderId="17" xfId="0" applyFont="1" applyFill="1" applyBorder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0" fontId="4" fillId="8" borderId="8" xfId="0" applyFont="1" applyFill="1" applyBorder="1" applyAlignment="1">
      <alignment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vertical="center"/>
    </xf>
    <xf numFmtId="0" fontId="4" fillId="8" borderId="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19" fillId="0" borderId="39" xfId="0" applyFont="1" applyBorder="1" applyAlignment="1">
      <alignment horizontal="left" vertical="center" wrapText="1"/>
    </xf>
    <xf numFmtId="0" fontId="19" fillId="0" borderId="40" xfId="0" applyFont="1" applyBorder="1" applyAlignment="1">
      <alignment horizontal="left" vertical="center" wrapText="1"/>
    </xf>
    <xf numFmtId="0" fontId="19" fillId="0" borderId="41" xfId="0" applyFont="1" applyBorder="1" applyAlignment="1">
      <alignment horizontal="left" vertical="center" wrapText="1"/>
    </xf>
    <xf numFmtId="0" fontId="19" fillId="0" borderId="13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4" fillId="8" borderId="57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165" fontId="19" fillId="6" borderId="3" xfId="0" applyNumberFormat="1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19" fillId="0" borderId="39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12" xfId="0" applyFont="1" applyBorder="1" applyAlignment="1">
      <alignment horizontal="left" vertical="center"/>
    </xf>
    <xf numFmtId="0" fontId="19" fillId="7" borderId="13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left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4" fillId="5" borderId="20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0" fontId="4" fillId="5" borderId="4" xfId="0" applyFont="1" applyFill="1" applyBorder="1" applyAlignment="1">
      <alignment horizontal="left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left" vertical="center"/>
    </xf>
    <xf numFmtId="0" fontId="4" fillId="5" borderId="15" xfId="0" applyFont="1" applyFill="1" applyBorder="1" applyAlignment="1">
      <alignment horizontal="left" vertical="center"/>
    </xf>
    <xf numFmtId="0" fontId="4" fillId="5" borderId="16" xfId="0" applyFont="1" applyFill="1" applyBorder="1" applyAlignment="1">
      <alignment horizontal="left" vertic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165" fontId="13" fillId="5" borderId="2" xfId="0" applyNumberFormat="1" applyFont="1" applyFill="1" applyBorder="1" applyAlignment="1">
      <alignment horizontal="center" vertical="center"/>
    </xf>
    <xf numFmtId="165" fontId="13" fillId="5" borderId="3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1" fillId="8" borderId="6" xfId="0" applyFont="1" applyFill="1" applyBorder="1" applyAlignment="1">
      <alignment horizontal="center" vertical="center"/>
    </xf>
    <xf numFmtId="0" fontId="4" fillId="5" borderId="33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/>
    </xf>
    <xf numFmtId="0" fontId="3" fillId="2" borderId="5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13" fillId="3" borderId="5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2" borderId="53" xfId="0" applyFont="1" applyFill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20" fillId="8" borderId="1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/>
    </xf>
    <xf numFmtId="164" fontId="19" fillId="0" borderId="13" xfId="0" applyNumberFormat="1" applyFont="1" applyFill="1" applyBorder="1" applyAlignment="1">
      <alignment horizontal="center" vertical="center"/>
    </xf>
    <xf numFmtId="164" fontId="19" fillId="0" borderId="12" xfId="0" applyNumberFormat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left" vertical="center"/>
    </xf>
    <xf numFmtId="0" fontId="4" fillId="8" borderId="33" xfId="0" applyFont="1" applyFill="1" applyBorder="1" applyAlignment="1">
      <alignment horizontal="left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left" vertical="center" wrapText="1"/>
    </xf>
    <xf numFmtId="0" fontId="13" fillId="5" borderId="33" xfId="0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2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</font>
      <fill>
        <patternFill>
          <bgColor rgb="FFFFFF99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5" Type="http://schemas.microsoft.com/office/2007/relationships/hdphoto" Target="../media/hdphoto2.wdp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171450</xdr:rowOff>
    </xdr:from>
    <xdr:to>
      <xdr:col>2</xdr:col>
      <xdr:colOff>760795</xdr:colOff>
      <xdr:row>5</xdr:row>
      <xdr:rowOff>3802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</xdr:row>
      <xdr:rowOff>28575</xdr:rowOff>
    </xdr:from>
    <xdr:to>
      <xdr:col>19</xdr:col>
      <xdr:colOff>28575</xdr:colOff>
      <xdr:row>5</xdr:row>
      <xdr:rowOff>85725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91800" y="628650"/>
          <a:ext cx="771525" cy="457200"/>
        </a:xfrm>
        <a:prstGeom prst="flowChartDocumen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28</xdr:col>
      <xdr:colOff>0</xdr:colOff>
      <xdr:row>0</xdr:row>
      <xdr:rowOff>0</xdr:rowOff>
    </xdr:from>
    <xdr:to>
      <xdr:col>29</xdr:col>
      <xdr:colOff>732220</xdr:colOff>
      <xdr:row>4</xdr:row>
      <xdr:rowOff>32377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5925" y="0"/>
          <a:ext cx="1960945" cy="832477"/>
        </a:xfrm>
        <a:prstGeom prst="rect">
          <a:avLst/>
        </a:prstGeom>
      </xdr:spPr>
    </xdr:pic>
    <xdr:clientData/>
  </xdr:twoCellAnchor>
  <xdr:twoCellAnchor>
    <xdr:from>
      <xdr:col>28</xdr:col>
      <xdr:colOff>9525</xdr:colOff>
      <xdr:row>4</xdr:row>
      <xdr:rowOff>171450</xdr:rowOff>
    </xdr:from>
    <xdr:to>
      <xdr:col>29</xdr:col>
      <xdr:colOff>723900</xdr:colOff>
      <xdr:row>7</xdr:row>
      <xdr:rowOff>180975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7592675" y="971550"/>
          <a:ext cx="1943100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819150</xdr:colOff>
      <xdr:row>0</xdr:row>
      <xdr:rowOff>38100</xdr:rowOff>
    </xdr:from>
    <xdr:to>
      <xdr:col>35</xdr:col>
      <xdr:colOff>0</xdr:colOff>
      <xdr:row>3</xdr:row>
      <xdr:rowOff>161925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9592925" y="38100"/>
          <a:ext cx="4124325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95250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95250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123825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47</xdr:row>
          <xdr:rowOff>28575</xdr:rowOff>
        </xdr:from>
        <xdr:to>
          <xdr:col>3</xdr:col>
          <xdr:colOff>866775</xdr:colOff>
          <xdr:row>49</xdr:row>
          <xdr:rowOff>209550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523875</xdr:colOff>
      <xdr:row>4</xdr:row>
      <xdr:rowOff>19050</xdr:rowOff>
    </xdr:from>
    <xdr:to>
      <xdr:col>4</xdr:col>
      <xdr:colOff>0</xdr:colOff>
      <xdr:row>5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38450" y="819150"/>
          <a:ext cx="390525" cy="180975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</xdr:row>
      <xdr:rowOff>28575</xdr:rowOff>
    </xdr:from>
    <xdr:to>
      <xdr:col>6</xdr:col>
      <xdr:colOff>28575</xdr:colOff>
      <xdr:row>4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62400" y="628650"/>
          <a:ext cx="390525" cy="180975"/>
        </a:xfrm>
        <a:prstGeom prst="rect">
          <a:avLst/>
        </a:prstGeom>
        <a:solidFill>
          <a:srgbClr val="FFFF9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5</xdr:row>
      <xdr:rowOff>180976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workbookViewId="0">
      <selection activeCell="I5" sqref="I5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3.140625" style="27" customWidth="1"/>
    <col min="13" max="13" width="13.85546875" style="27" customWidth="1"/>
    <col min="14" max="14" width="7.140625" style="2" bestFit="1" customWidth="1"/>
    <col min="15" max="16" width="9.28515625" style="2" customWidth="1"/>
    <col min="17" max="17" width="5.85546875" style="2" customWidth="1"/>
    <col min="18" max="18" width="9.140625" style="27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2" customWidth="1"/>
    <col min="30" max="30" width="19.28515625" style="32" customWidth="1"/>
    <col min="31" max="31" width="21.28515625" style="32" customWidth="1"/>
    <col min="32" max="32" width="9.140625" style="33" customWidth="1"/>
    <col min="33" max="34" width="10.7109375" style="33" customWidth="1"/>
    <col min="35" max="35" width="5.85546875" style="33" customWidth="1"/>
    <col min="36" max="16384" width="9.140625" style="27"/>
  </cols>
  <sheetData>
    <row r="1" spans="1:39" ht="15.75" customHeight="1" x14ac:dyDescent="0.2">
      <c r="A1" s="97"/>
      <c r="B1" s="98"/>
      <c r="C1" s="98"/>
      <c r="D1" s="98"/>
      <c r="E1" s="99"/>
      <c r="F1" s="99"/>
      <c r="G1" s="297" t="s">
        <v>84</v>
      </c>
      <c r="H1" s="297"/>
      <c r="I1" s="297"/>
      <c r="J1" s="297"/>
      <c r="K1" s="297"/>
      <c r="L1" s="297"/>
      <c r="M1" s="297"/>
      <c r="N1" s="297"/>
      <c r="O1" s="297"/>
      <c r="P1" s="297"/>
      <c r="Q1" s="100"/>
      <c r="R1" s="100"/>
      <c r="S1" s="98"/>
      <c r="T1" s="98"/>
      <c r="U1" s="98"/>
      <c r="V1" s="98"/>
      <c r="W1" s="98"/>
      <c r="X1" s="98"/>
      <c r="Y1" s="98"/>
      <c r="Z1" s="100"/>
      <c r="AA1" s="100"/>
      <c r="AB1" s="101"/>
      <c r="AC1" s="30"/>
      <c r="AD1" s="36"/>
      <c r="AE1" s="37"/>
      <c r="AF1" s="37"/>
      <c r="AG1" s="37"/>
      <c r="AH1" s="37"/>
      <c r="AI1" s="37"/>
      <c r="AJ1" s="37"/>
      <c r="AK1" s="37"/>
      <c r="AL1" s="37"/>
      <c r="AM1" s="37"/>
    </row>
    <row r="2" spans="1:39" x14ac:dyDescent="0.2">
      <c r="A2" s="102"/>
      <c r="B2" s="103"/>
      <c r="C2" s="103"/>
      <c r="D2" s="103" t="s">
        <v>80</v>
      </c>
      <c r="E2" s="104"/>
      <c r="F2" s="104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105"/>
      <c r="R2" s="105"/>
      <c r="S2" s="103"/>
      <c r="T2" s="103"/>
      <c r="U2" s="103"/>
      <c r="V2" s="103"/>
      <c r="W2" s="103"/>
      <c r="X2" s="103"/>
      <c r="Y2" s="103"/>
      <c r="Z2" s="105"/>
      <c r="AA2" s="105"/>
      <c r="AB2" s="106"/>
      <c r="AC2" s="30"/>
      <c r="AD2" s="37"/>
      <c r="AE2" s="37"/>
      <c r="AF2" s="37"/>
      <c r="AG2" s="37"/>
      <c r="AH2" s="37"/>
      <c r="AI2" s="37"/>
      <c r="AJ2" s="37"/>
      <c r="AK2" s="37"/>
      <c r="AL2" s="37"/>
      <c r="AM2" s="37"/>
    </row>
    <row r="3" spans="1:39" x14ac:dyDescent="0.2">
      <c r="A3" s="102"/>
      <c r="B3" s="103"/>
      <c r="C3" s="103"/>
      <c r="D3" s="107" t="s">
        <v>81</v>
      </c>
      <c r="E3" s="104"/>
      <c r="F3" s="104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105"/>
      <c r="R3" s="105"/>
      <c r="S3" s="103"/>
      <c r="T3" s="103"/>
      <c r="U3" s="107"/>
      <c r="V3" s="103"/>
      <c r="W3" s="103"/>
      <c r="X3" s="103"/>
      <c r="Y3" s="103"/>
      <c r="Z3" s="105"/>
      <c r="AA3" s="105"/>
      <c r="AB3" s="106"/>
      <c r="AC3" s="30"/>
      <c r="AD3" s="37"/>
      <c r="AE3" s="37"/>
      <c r="AF3" s="37"/>
      <c r="AG3" s="37"/>
      <c r="AH3" s="37"/>
      <c r="AI3" s="37"/>
      <c r="AJ3" s="37"/>
      <c r="AK3" s="37"/>
      <c r="AL3" s="37"/>
      <c r="AM3" s="37"/>
    </row>
    <row r="4" spans="1:39" x14ac:dyDescent="0.2">
      <c r="A4" s="102"/>
      <c r="B4" s="103"/>
      <c r="C4" s="103"/>
      <c r="D4" s="103" t="s">
        <v>82</v>
      </c>
      <c r="E4" s="104"/>
      <c r="F4" s="104"/>
      <c r="G4" s="103"/>
      <c r="H4" s="103"/>
      <c r="I4" s="103"/>
      <c r="J4" s="103"/>
      <c r="K4" s="103"/>
      <c r="L4" s="39" t="s">
        <v>111</v>
      </c>
      <c r="M4" s="316"/>
      <c r="N4" s="317"/>
      <c r="O4" s="317"/>
      <c r="P4" s="318"/>
      <c r="Q4" s="103"/>
      <c r="R4" s="103"/>
      <c r="S4" s="103"/>
      <c r="T4" s="103"/>
      <c r="U4" s="103"/>
      <c r="V4" s="104"/>
      <c r="W4" s="104"/>
      <c r="X4" s="104"/>
      <c r="Y4" s="104"/>
      <c r="Z4" s="103"/>
      <c r="AA4" s="103"/>
      <c r="AB4" s="106"/>
      <c r="AC4" s="30"/>
      <c r="AD4" s="37"/>
      <c r="AE4" s="37"/>
      <c r="AF4" s="37"/>
      <c r="AG4" s="37"/>
      <c r="AH4" s="37"/>
      <c r="AI4" s="37"/>
      <c r="AJ4" s="37"/>
      <c r="AK4" s="37"/>
      <c r="AL4" s="37"/>
      <c r="AM4" s="37"/>
    </row>
    <row r="5" spans="1:39" ht="15.75" customHeight="1" x14ac:dyDescent="0.25">
      <c r="A5" s="102"/>
      <c r="B5" s="103"/>
      <c r="C5" s="103"/>
      <c r="D5" s="108" t="s">
        <v>83</v>
      </c>
      <c r="E5" s="299" t="s">
        <v>99</v>
      </c>
      <c r="F5" s="299"/>
      <c r="G5" s="103"/>
      <c r="H5" s="109"/>
      <c r="I5" s="103"/>
      <c r="J5" s="103"/>
      <c r="K5" s="103"/>
      <c r="L5" s="39" t="s">
        <v>106</v>
      </c>
      <c r="M5" s="39"/>
      <c r="N5" s="316"/>
      <c r="O5" s="317"/>
      <c r="P5" s="318"/>
      <c r="Q5" s="103"/>
      <c r="R5" s="103"/>
      <c r="S5" s="103"/>
      <c r="T5" s="103"/>
      <c r="U5" s="103"/>
      <c r="V5" s="103"/>
      <c r="W5" s="104"/>
      <c r="X5" s="103"/>
      <c r="Y5" s="103"/>
      <c r="Z5" s="103"/>
      <c r="AA5" s="103"/>
      <c r="AB5" s="106"/>
      <c r="AC5" s="30"/>
      <c r="AD5" s="30"/>
      <c r="AE5" s="38" t="s">
        <v>110</v>
      </c>
      <c r="AF5" s="31"/>
      <c r="AG5" s="30"/>
      <c r="AH5" s="30"/>
      <c r="AI5" s="30"/>
      <c r="AJ5"/>
      <c r="AK5"/>
      <c r="AL5"/>
    </row>
    <row r="6" spans="1:39" ht="16.5" thickBot="1" x14ac:dyDescent="0.3">
      <c r="A6" s="102"/>
      <c r="B6" s="103"/>
      <c r="C6" s="103"/>
      <c r="D6" s="110"/>
      <c r="E6" s="110"/>
      <c r="F6" s="110"/>
      <c r="G6" s="110"/>
      <c r="H6" s="110"/>
      <c r="I6" s="103"/>
      <c r="J6" s="103"/>
      <c r="K6" s="103"/>
      <c r="L6" s="120" t="s">
        <v>107</v>
      </c>
      <c r="M6" s="120"/>
      <c r="N6" s="319"/>
      <c r="O6" s="320"/>
      <c r="P6" s="321"/>
      <c r="Q6" s="110"/>
      <c r="R6" s="103"/>
      <c r="S6" s="103"/>
      <c r="T6" s="103"/>
      <c r="U6" s="103"/>
      <c r="V6" s="103"/>
      <c r="W6" s="104"/>
      <c r="X6" s="104"/>
      <c r="Y6" s="104"/>
      <c r="Z6" s="110"/>
      <c r="AA6" s="103"/>
      <c r="AB6" s="106"/>
      <c r="AD6" s="314" t="s">
        <v>108</v>
      </c>
      <c r="AE6" s="314"/>
      <c r="AJ6"/>
      <c r="AK6"/>
      <c r="AL6"/>
    </row>
    <row r="7" spans="1:39" ht="18" customHeight="1" thickBot="1" x14ac:dyDescent="0.3">
      <c r="A7" s="102"/>
      <c r="B7" s="263" t="s">
        <v>0</v>
      </c>
      <c r="C7" s="264"/>
      <c r="D7" s="264"/>
      <c r="E7" s="264"/>
      <c r="F7" s="79" t="s">
        <v>19</v>
      </c>
      <c r="G7" s="80" t="s">
        <v>20</v>
      </c>
      <c r="H7" s="79" t="s">
        <v>30</v>
      </c>
      <c r="I7" s="81" t="s">
        <v>85</v>
      </c>
      <c r="J7" s="111"/>
      <c r="K7" s="303" t="s">
        <v>0</v>
      </c>
      <c r="L7" s="304"/>
      <c r="M7" s="304"/>
      <c r="N7" s="304"/>
      <c r="O7" s="121" t="s">
        <v>19</v>
      </c>
      <c r="P7" s="122" t="s">
        <v>20</v>
      </c>
      <c r="Q7" s="121" t="s">
        <v>30</v>
      </c>
      <c r="R7" s="123" t="s">
        <v>85</v>
      </c>
      <c r="S7" s="111"/>
      <c r="T7" s="263" t="s">
        <v>0</v>
      </c>
      <c r="U7" s="264"/>
      <c r="V7" s="264"/>
      <c r="W7" s="264"/>
      <c r="X7" s="79" t="s">
        <v>19</v>
      </c>
      <c r="Y7" s="80" t="s">
        <v>20</v>
      </c>
      <c r="Z7" s="79" t="s">
        <v>30</v>
      </c>
      <c r="AA7" s="81" t="s">
        <v>85</v>
      </c>
      <c r="AB7" s="106"/>
      <c r="AD7" s="314" t="s">
        <v>109</v>
      </c>
      <c r="AE7" s="314"/>
    </row>
    <row r="8" spans="1:39" ht="18.75" customHeight="1" x14ac:dyDescent="0.25">
      <c r="A8" s="102"/>
      <c r="B8" s="260" t="s">
        <v>1</v>
      </c>
      <c r="C8" s="261"/>
      <c r="D8" s="262"/>
      <c r="E8" s="133" t="s">
        <v>3</v>
      </c>
      <c r="F8" s="74">
        <v>23</v>
      </c>
      <c r="G8" s="75">
        <v>65</v>
      </c>
      <c r="H8" s="189"/>
      <c r="I8" s="137"/>
      <c r="J8" s="103"/>
      <c r="K8" s="178" t="s">
        <v>188</v>
      </c>
      <c r="L8" s="179"/>
      <c r="M8" s="151" t="s">
        <v>133</v>
      </c>
      <c r="N8" s="269"/>
      <c r="O8" s="274" t="s">
        <v>87</v>
      </c>
      <c r="P8" s="275"/>
      <c r="Q8" s="136"/>
      <c r="R8" s="157"/>
      <c r="S8" s="103"/>
      <c r="T8" s="300"/>
      <c r="U8" s="301"/>
      <c r="V8" s="302"/>
      <c r="W8" s="76"/>
      <c r="X8" s="73"/>
      <c r="Y8" s="77"/>
      <c r="Z8" s="65"/>
      <c r="AA8" s="65"/>
      <c r="AB8" s="106"/>
    </row>
    <row r="9" spans="1:39" ht="18.75" customHeight="1" x14ac:dyDescent="0.2">
      <c r="A9" s="102"/>
      <c r="B9" s="242" t="s">
        <v>2</v>
      </c>
      <c r="C9" s="243"/>
      <c r="D9" s="244"/>
      <c r="E9" s="127" t="s">
        <v>4</v>
      </c>
      <c r="F9" s="254" cm="1">
        <f t="array" ref="F9">u(F8,G8)</f>
        <v>2.8260869565217392</v>
      </c>
      <c r="G9" s="255"/>
      <c r="H9" s="210"/>
      <c r="I9" s="138"/>
      <c r="J9" s="103"/>
      <c r="K9" s="180"/>
      <c r="L9" s="181"/>
      <c r="M9" s="148" t="s">
        <v>134</v>
      </c>
      <c r="N9" s="270"/>
      <c r="O9" s="129">
        <f>Tabelas!H66</f>
        <v>0</v>
      </c>
      <c r="P9" s="129">
        <f>Tabelas!H72</f>
        <v>0</v>
      </c>
      <c r="Q9" s="187" t="s">
        <v>28</v>
      </c>
      <c r="R9" s="158"/>
      <c r="S9" s="103"/>
      <c r="T9" s="292"/>
      <c r="U9" s="293"/>
      <c r="V9" s="294"/>
      <c r="W9" s="24"/>
      <c r="X9" s="4"/>
      <c r="Y9" s="70"/>
      <c r="Z9" s="5"/>
      <c r="AA9" s="5"/>
      <c r="AB9" s="106"/>
      <c r="AC9" s="42"/>
      <c r="AD9" s="42"/>
      <c r="AE9" s="42"/>
      <c r="AF9" s="43"/>
      <c r="AG9" s="315" t="s">
        <v>105</v>
      </c>
      <c r="AH9" s="315"/>
      <c r="AI9" s="43"/>
    </row>
    <row r="10" spans="1:39" ht="18.75" customHeight="1" thickBot="1" x14ac:dyDescent="0.3">
      <c r="A10" s="102"/>
      <c r="B10" s="245" t="s">
        <v>5</v>
      </c>
      <c r="C10" s="246"/>
      <c r="D10" s="247"/>
      <c r="E10" s="127" t="s">
        <v>51</v>
      </c>
      <c r="F10" s="256">
        <v>5</v>
      </c>
      <c r="G10" s="257"/>
      <c r="H10" s="128" t="s">
        <v>28</v>
      </c>
      <c r="I10" s="138"/>
      <c r="J10" s="103"/>
      <c r="K10" s="182"/>
      <c r="L10" s="183"/>
      <c r="M10" s="152" t="s">
        <v>135</v>
      </c>
      <c r="N10" s="212"/>
      <c r="O10" s="156">
        <f>Tabelas!H67</f>
        <v>-1.2500000000000001E-2</v>
      </c>
      <c r="P10" s="156">
        <f>Tabelas!H73</f>
        <v>-1.7999999999999999E-2</v>
      </c>
      <c r="Q10" s="295"/>
      <c r="R10" s="164"/>
      <c r="S10" s="103"/>
      <c r="T10" s="292"/>
      <c r="U10" s="293"/>
      <c r="V10" s="294"/>
      <c r="W10" s="24"/>
      <c r="X10" s="4"/>
      <c r="Y10" s="70"/>
      <c r="Z10" s="5"/>
      <c r="AA10" s="5"/>
      <c r="AB10" s="106"/>
      <c r="AC10" s="325" t="str">
        <f>T7</f>
        <v>Descrição</v>
      </c>
      <c r="AD10" s="325"/>
      <c r="AE10" s="325"/>
      <c r="AF10" s="325"/>
      <c r="AG10" s="44" t="str">
        <f>X7</f>
        <v>Eng. 1</v>
      </c>
      <c r="AH10" s="44" t="str">
        <f>Y7</f>
        <v>Eng. 2</v>
      </c>
      <c r="AI10" s="44" t="str">
        <f>Z7</f>
        <v>Unid.</v>
      </c>
    </row>
    <row r="11" spans="1:39" ht="18.75" customHeight="1" x14ac:dyDescent="0.25">
      <c r="A11" s="102"/>
      <c r="B11" s="245" t="s">
        <v>23</v>
      </c>
      <c r="C11" s="246"/>
      <c r="D11" s="247"/>
      <c r="E11" s="127" t="s">
        <v>52</v>
      </c>
      <c r="F11" s="256">
        <v>20</v>
      </c>
      <c r="G11" s="257"/>
      <c r="H11" s="128" t="s">
        <v>29</v>
      </c>
      <c r="I11" s="138"/>
      <c r="J11" s="103"/>
      <c r="K11" s="184" t="s">
        <v>185</v>
      </c>
      <c r="L11" s="241" t="s">
        <v>139</v>
      </c>
      <c r="M11" s="271"/>
      <c r="N11" s="269" t="s">
        <v>67</v>
      </c>
      <c r="O11" s="140" cm="1">
        <f t="array" ref="O11">deub(F20,F54,F55,$F$10,$F$41,$F$39)</f>
        <v>132.30207143953268</v>
      </c>
      <c r="P11" s="140" cm="1">
        <f t="array" ref="P11">deub(G20,G54,G55,$F$10,$F$41,$F$39)</f>
        <v>345.24361231339452</v>
      </c>
      <c r="Q11" s="186" t="s">
        <v>28</v>
      </c>
      <c r="R11" s="157"/>
      <c r="S11" s="103"/>
      <c r="T11" s="292"/>
      <c r="U11" s="293"/>
      <c r="V11" s="294"/>
      <c r="W11" s="24"/>
      <c r="X11" s="4"/>
      <c r="Y11" s="70"/>
      <c r="Z11" s="5"/>
      <c r="AA11" s="5"/>
      <c r="AB11" s="106"/>
      <c r="AC11" s="177" t="str">
        <f t="shared" ref="AC11:AC30" si="0">B8</f>
        <v>Número de dentes</v>
      </c>
      <c r="AD11" s="177"/>
      <c r="AE11" s="177"/>
      <c r="AF11" s="45" t="str">
        <f>E8</f>
        <v>Z</v>
      </c>
      <c r="AG11" s="125">
        <f>F8</f>
        <v>23</v>
      </c>
      <c r="AH11" s="125">
        <f>G8</f>
        <v>65</v>
      </c>
      <c r="AI11" s="46"/>
    </row>
    <row r="12" spans="1:39" ht="18.75" customHeight="1" x14ac:dyDescent="0.25">
      <c r="A12" s="102"/>
      <c r="B12" s="245" t="s">
        <v>6</v>
      </c>
      <c r="C12" s="246"/>
      <c r="D12" s="247"/>
      <c r="E12" s="134" t="s">
        <v>7</v>
      </c>
      <c r="F12" s="256">
        <v>13</v>
      </c>
      <c r="G12" s="257"/>
      <c r="H12" s="128" t="s">
        <v>29</v>
      </c>
      <c r="I12" s="213"/>
      <c r="J12" s="103"/>
      <c r="K12" s="185"/>
      <c r="L12" s="244" t="s">
        <v>140</v>
      </c>
      <c r="M12" s="272"/>
      <c r="N12" s="273"/>
      <c r="O12" s="129" cm="1">
        <f t="array" ref="O12">dmaud(F20,F8,F54,F53,$F$10,$F$41,$F$39)</f>
        <v>127.1966726576003</v>
      </c>
      <c r="P12" s="129" cm="1">
        <f t="array" ref="P12">dmaud(G20,G8,G54,G53,$F$10,$F$41,$F$39)</f>
        <v>342.91759662528386</v>
      </c>
      <c r="Q12" s="187"/>
      <c r="R12" s="158"/>
      <c r="S12" s="103"/>
      <c r="T12" s="292"/>
      <c r="U12" s="293"/>
      <c r="V12" s="294"/>
      <c r="W12" s="24"/>
      <c r="X12" s="4"/>
      <c r="Y12" s="70"/>
      <c r="Z12" s="5"/>
      <c r="AA12" s="5"/>
      <c r="AB12" s="106"/>
      <c r="AC12" s="177" t="str">
        <f t="shared" si="0"/>
        <v>Redução</v>
      </c>
      <c r="AD12" s="177"/>
      <c r="AE12" s="177"/>
      <c r="AF12" s="45" t="str">
        <f t="shared" ref="AF12:AF30" si="1">E9</f>
        <v>u</v>
      </c>
      <c r="AG12" s="228">
        <f t="shared" ref="AG12:AG30" si="2">F9</f>
        <v>2.8260869565217392</v>
      </c>
      <c r="AH12" s="228"/>
      <c r="AI12" s="46"/>
    </row>
    <row r="13" spans="1:39" ht="18.75" customHeight="1" x14ac:dyDescent="0.25">
      <c r="A13" s="102"/>
      <c r="B13" s="245" t="s">
        <v>8</v>
      </c>
      <c r="C13" s="246"/>
      <c r="D13" s="247"/>
      <c r="E13" s="127"/>
      <c r="F13" s="28" t="s">
        <v>11</v>
      </c>
      <c r="G13" s="139" t="str" cm="1">
        <f t="array" ref="G13">daheZ2(F13)</f>
        <v>Esquerda</v>
      </c>
      <c r="H13" s="128"/>
      <c r="I13" s="215"/>
      <c r="J13" s="103"/>
      <c r="K13" s="185"/>
      <c r="L13" s="181" t="s">
        <v>123</v>
      </c>
      <c r="M13" s="148" t="s">
        <v>137</v>
      </c>
      <c r="N13" s="159" t="s">
        <v>124</v>
      </c>
      <c r="O13" s="129">
        <f>O11+O9</f>
        <v>132.30207143953268</v>
      </c>
      <c r="P13" s="129">
        <f>P11+P9</f>
        <v>345.24361231339452</v>
      </c>
      <c r="Q13" s="187"/>
      <c r="R13" s="158"/>
      <c r="S13" s="103"/>
      <c r="T13" s="292"/>
      <c r="U13" s="293"/>
      <c r="V13" s="294"/>
      <c r="W13" s="24"/>
      <c r="X13" s="4"/>
      <c r="Y13" s="70"/>
      <c r="Z13" s="5"/>
      <c r="AA13" s="5"/>
      <c r="AB13" s="106"/>
      <c r="AC13" s="177" t="str">
        <f t="shared" si="0"/>
        <v>Módulo normal</v>
      </c>
      <c r="AD13" s="177"/>
      <c r="AE13" s="177"/>
      <c r="AF13" s="45" t="str">
        <f t="shared" si="1"/>
        <v>mn</v>
      </c>
      <c r="AG13" s="199">
        <f t="shared" si="2"/>
        <v>5</v>
      </c>
      <c r="AH13" s="199"/>
      <c r="AI13" s="46" t="str">
        <f>H10</f>
        <v>mm</v>
      </c>
    </row>
    <row r="14" spans="1:39" ht="18.75" customHeight="1" x14ac:dyDescent="0.25">
      <c r="A14" s="102"/>
      <c r="B14" s="245" t="s">
        <v>18</v>
      </c>
      <c r="C14" s="246"/>
      <c r="D14" s="247"/>
      <c r="E14" s="127" t="s">
        <v>53</v>
      </c>
      <c r="F14" s="265">
        <v>230</v>
      </c>
      <c r="G14" s="266"/>
      <c r="H14" s="128" t="s">
        <v>28</v>
      </c>
      <c r="I14" s="138"/>
      <c r="J14" s="103"/>
      <c r="K14" s="185"/>
      <c r="L14" s="181"/>
      <c r="M14" s="148" t="s">
        <v>138</v>
      </c>
      <c r="N14" s="159" t="s">
        <v>125</v>
      </c>
      <c r="O14" s="129">
        <f>O11+O10</f>
        <v>132.28957143953269</v>
      </c>
      <c r="P14" s="129">
        <f>P11+P10</f>
        <v>345.22561231339455</v>
      </c>
      <c r="Q14" s="187"/>
      <c r="R14" s="158"/>
      <c r="S14" s="103"/>
      <c r="T14" s="292"/>
      <c r="U14" s="293"/>
      <c r="V14" s="294"/>
      <c r="W14" s="24"/>
      <c r="X14" s="4"/>
      <c r="Y14" s="70"/>
      <c r="Z14" s="5"/>
      <c r="AA14" s="5"/>
      <c r="AB14" s="106"/>
      <c r="AC14" s="177" t="str">
        <f t="shared" si="0"/>
        <v>Ângulo de pressão normal</v>
      </c>
      <c r="AD14" s="177"/>
      <c r="AE14" s="177"/>
      <c r="AF14" s="45" t="str">
        <f t="shared" si="1"/>
        <v>αn</v>
      </c>
      <c r="AG14" s="199">
        <f t="shared" si="2"/>
        <v>20</v>
      </c>
      <c r="AH14" s="199">
        <f>G11</f>
        <v>0</v>
      </c>
      <c r="AI14" s="46" t="str">
        <f>H11</f>
        <v>gd</v>
      </c>
    </row>
    <row r="15" spans="1:39" ht="18.75" customHeight="1" x14ac:dyDescent="0.25">
      <c r="A15" s="102"/>
      <c r="B15" s="242" t="s">
        <v>42</v>
      </c>
      <c r="C15" s="243"/>
      <c r="D15" s="244"/>
      <c r="E15" s="127" t="s">
        <v>40</v>
      </c>
      <c r="F15" s="267" t="s">
        <v>33</v>
      </c>
      <c r="G15" s="268"/>
      <c r="H15" s="128"/>
      <c r="I15" s="213"/>
      <c r="J15" s="103"/>
      <c r="K15" s="185"/>
      <c r="L15" s="181" t="s">
        <v>136</v>
      </c>
      <c r="M15" s="148" t="s">
        <v>137</v>
      </c>
      <c r="N15" s="159" t="s">
        <v>126</v>
      </c>
      <c r="O15" s="129">
        <f>O12+O9</f>
        <v>127.1966726576003</v>
      </c>
      <c r="P15" s="129">
        <f>P12+P9</f>
        <v>342.91759662528386</v>
      </c>
      <c r="Q15" s="187"/>
      <c r="R15" s="158"/>
      <c r="S15" s="103"/>
      <c r="T15" s="292"/>
      <c r="U15" s="293"/>
      <c r="V15" s="294"/>
      <c r="W15" s="24"/>
      <c r="X15" s="4"/>
      <c r="Y15" s="70"/>
      <c r="Z15" s="5"/>
      <c r="AA15" s="5"/>
      <c r="AB15" s="106"/>
      <c r="AC15" s="177" t="str">
        <f t="shared" si="0"/>
        <v>Ângulo de hélice</v>
      </c>
      <c r="AD15" s="177"/>
      <c r="AE15" s="177"/>
      <c r="AF15" s="45" t="str">
        <f t="shared" si="1"/>
        <v>β</v>
      </c>
      <c r="AG15" s="199">
        <f t="shared" si="2"/>
        <v>13</v>
      </c>
      <c r="AH15" s="199">
        <f>G12</f>
        <v>0</v>
      </c>
      <c r="AI15" s="46" t="str">
        <f>H12</f>
        <v>gd</v>
      </c>
    </row>
    <row r="16" spans="1:39" ht="18" customHeight="1" thickBot="1" x14ac:dyDescent="0.3">
      <c r="A16" s="102"/>
      <c r="B16" s="242" t="s">
        <v>41</v>
      </c>
      <c r="C16" s="243"/>
      <c r="D16" s="244"/>
      <c r="E16" s="127" t="s">
        <v>88</v>
      </c>
      <c r="F16" s="129">
        <f>Tabelas!H36</f>
        <v>2.3E-2</v>
      </c>
      <c r="G16" s="130">
        <f>Tabelas!H37</f>
        <v>-2.3E-2</v>
      </c>
      <c r="H16" s="128" t="s">
        <v>28</v>
      </c>
      <c r="I16" s="215"/>
      <c r="J16" s="103"/>
      <c r="K16" s="185"/>
      <c r="L16" s="223"/>
      <c r="M16" s="160" t="s">
        <v>138</v>
      </c>
      <c r="N16" s="159" t="s">
        <v>127</v>
      </c>
      <c r="O16" s="161">
        <f>O12+O10</f>
        <v>127.1841726576003</v>
      </c>
      <c r="P16" s="161">
        <f>P12+P10</f>
        <v>342.89959662528389</v>
      </c>
      <c r="Q16" s="188"/>
      <c r="R16" s="158"/>
      <c r="S16" s="103"/>
      <c r="T16" s="292"/>
      <c r="U16" s="293"/>
      <c r="V16" s="294"/>
      <c r="W16" s="24"/>
      <c r="X16" s="4"/>
      <c r="Y16" s="70"/>
      <c r="Z16" s="5"/>
      <c r="AA16" s="5"/>
      <c r="AB16" s="106"/>
      <c r="AC16" s="177" t="str">
        <f t="shared" si="0"/>
        <v>Direção do ângulo de hélice</v>
      </c>
      <c r="AD16" s="177"/>
      <c r="AE16" s="177"/>
      <c r="AF16" s="45">
        <f t="shared" si="1"/>
        <v>0</v>
      </c>
      <c r="AG16" s="125" t="str">
        <f t="shared" si="2"/>
        <v>Direita</v>
      </c>
      <c r="AH16" s="46" t="str">
        <f>G13</f>
        <v>Esquerda</v>
      </c>
      <c r="AI16" s="46"/>
    </row>
    <row r="17" spans="1:35" ht="18" customHeight="1" x14ac:dyDescent="0.25">
      <c r="A17" s="102"/>
      <c r="B17" s="242" t="s">
        <v>47</v>
      </c>
      <c r="C17" s="243"/>
      <c r="D17" s="244"/>
      <c r="E17" s="127" t="s">
        <v>89</v>
      </c>
      <c r="F17" s="129">
        <f>F14+F16</f>
        <v>230.023</v>
      </c>
      <c r="G17" s="130">
        <f>F14+G16</f>
        <v>229.977</v>
      </c>
      <c r="H17" s="128" t="s">
        <v>28</v>
      </c>
      <c r="I17" s="213"/>
      <c r="J17" s="103"/>
      <c r="K17" s="286" t="s">
        <v>189</v>
      </c>
      <c r="L17" s="271" t="s">
        <v>190</v>
      </c>
      <c r="M17" s="271"/>
      <c r="N17" s="136" t="s">
        <v>141</v>
      </c>
      <c r="O17" s="136"/>
      <c r="P17" s="136"/>
      <c r="Q17" s="189" t="s">
        <v>28</v>
      </c>
      <c r="R17" s="192"/>
      <c r="S17" s="103"/>
      <c r="T17" s="292"/>
      <c r="U17" s="293"/>
      <c r="V17" s="294"/>
      <c r="W17" s="24"/>
      <c r="X17" s="4"/>
      <c r="Y17" s="70"/>
      <c r="Z17" s="5"/>
      <c r="AA17" s="5"/>
      <c r="AB17" s="106"/>
      <c r="AC17" s="177" t="str">
        <f t="shared" si="0"/>
        <v>Entre centros de trabalho</v>
      </c>
      <c r="AD17" s="177"/>
      <c r="AE17" s="177"/>
      <c r="AF17" s="45" t="str">
        <f t="shared" si="1"/>
        <v>aw</v>
      </c>
      <c r="AG17" s="199">
        <f t="shared" si="2"/>
        <v>230</v>
      </c>
      <c r="AH17" s="199"/>
      <c r="AI17" s="46" t="str">
        <f>H14</f>
        <v>mm</v>
      </c>
    </row>
    <row r="18" spans="1:35" ht="18" customHeight="1" x14ac:dyDescent="0.25">
      <c r="A18" s="102"/>
      <c r="B18" s="242" t="s">
        <v>16</v>
      </c>
      <c r="C18" s="243"/>
      <c r="D18" s="244"/>
      <c r="E18" s="127" t="s">
        <v>17</v>
      </c>
      <c r="F18" s="258" cm="1">
        <f t="array" ref="F18">a(F19,F8,G8)</f>
        <v>225.78690371454616</v>
      </c>
      <c r="G18" s="259"/>
      <c r="H18" s="128" t="s">
        <v>28</v>
      </c>
      <c r="I18" s="214"/>
      <c r="J18" s="103"/>
      <c r="K18" s="288"/>
      <c r="L18" s="272" t="s">
        <v>191</v>
      </c>
      <c r="M18" s="272"/>
      <c r="N18" s="162" t="s">
        <v>186</v>
      </c>
      <c r="O18" s="162"/>
      <c r="P18" s="162"/>
      <c r="Q18" s="190"/>
      <c r="R18" s="193"/>
      <c r="S18" s="103"/>
      <c r="T18" s="292"/>
      <c r="U18" s="293"/>
      <c r="V18" s="294"/>
      <c r="W18" s="24"/>
      <c r="X18" s="4"/>
      <c r="Y18" s="70"/>
      <c r="Z18" s="5"/>
      <c r="AA18" s="5"/>
      <c r="AB18" s="106"/>
      <c r="AC18" s="177" t="str">
        <f t="shared" si="0"/>
        <v>Tolerância do entre centros (ISO 286-1)</v>
      </c>
      <c r="AD18" s="177"/>
      <c r="AE18" s="177"/>
      <c r="AF18" s="45" t="str">
        <f t="shared" si="1"/>
        <v>Ai</v>
      </c>
      <c r="AG18" s="199" t="str">
        <f t="shared" si="2"/>
        <v>js7</v>
      </c>
      <c r="AH18" s="199"/>
      <c r="AI18" s="46"/>
    </row>
    <row r="19" spans="1:35" ht="18" customHeight="1" thickBot="1" x14ac:dyDescent="0.3">
      <c r="A19" s="102"/>
      <c r="B19" s="242" t="s">
        <v>13</v>
      </c>
      <c r="C19" s="243"/>
      <c r="D19" s="244"/>
      <c r="E19" s="127" t="s">
        <v>54</v>
      </c>
      <c r="F19" s="254" cm="1">
        <f t="array" ref="F19">mt(F10,F12)</f>
        <v>5.1315205389669583</v>
      </c>
      <c r="G19" s="255"/>
      <c r="H19" s="128" t="s">
        <v>28</v>
      </c>
      <c r="I19" s="215"/>
      <c r="J19" s="103"/>
      <c r="K19" s="219"/>
      <c r="L19" s="296" t="s">
        <v>192</v>
      </c>
      <c r="M19" s="296"/>
      <c r="N19" s="163" t="s">
        <v>187</v>
      </c>
      <c r="O19" s="163"/>
      <c r="P19" s="163"/>
      <c r="Q19" s="191"/>
      <c r="R19" s="194"/>
      <c r="S19" s="103"/>
      <c r="T19" s="292"/>
      <c r="U19" s="293"/>
      <c r="V19" s="294"/>
      <c r="W19" s="24"/>
      <c r="X19" s="4"/>
      <c r="Y19" s="70"/>
      <c r="Z19" s="5"/>
      <c r="AA19" s="5"/>
      <c r="AB19" s="106"/>
      <c r="AC19" s="177" t="str">
        <f t="shared" si="0"/>
        <v>Desvios limites devido a tolerância do entre centros</v>
      </c>
      <c r="AD19" s="177"/>
      <c r="AE19" s="177"/>
      <c r="AF19" s="45" t="str">
        <f t="shared" si="1"/>
        <v>Aa.e/i</v>
      </c>
      <c r="AG19" s="46">
        <f t="shared" si="2"/>
        <v>2.3E-2</v>
      </c>
      <c r="AH19" s="46">
        <f>G16</f>
        <v>-2.3E-2</v>
      </c>
      <c r="AI19" s="46" t="str">
        <f>H16</f>
        <v>mm</v>
      </c>
    </row>
    <row r="20" spans="1:35" ht="18" customHeight="1" x14ac:dyDescent="0.25">
      <c r="A20" s="102"/>
      <c r="B20" s="242" t="s">
        <v>14</v>
      </c>
      <c r="C20" s="243"/>
      <c r="D20" s="244"/>
      <c r="E20" s="127" t="s">
        <v>15</v>
      </c>
      <c r="F20" s="129" cm="1">
        <f t="array" ref="F20">d(F8,F19)</f>
        <v>118.02497239624005</v>
      </c>
      <c r="G20" s="130" cm="1">
        <f t="array" ref="G20">d(G8,F19)</f>
        <v>333.54883503285231</v>
      </c>
      <c r="H20" s="128" t="s">
        <v>28</v>
      </c>
      <c r="I20" s="213"/>
      <c r="J20" s="103"/>
      <c r="K20" s="165"/>
      <c r="L20" s="166"/>
      <c r="M20" s="167"/>
      <c r="N20" s="139"/>
      <c r="O20" s="129"/>
      <c r="P20" s="130"/>
      <c r="Q20" s="128"/>
      <c r="R20" s="128"/>
      <c r="S20" s="103"/>
      <c r="T20" s="292"/>
      <c r="U20" s="293"/>
      <c r="V20" s="294"/>
      <c r="W20" s="24"/>
      <c r="X20" s="4"/>
      <c r="Y20" s="70"/>
      <c r="Z20" s="5"/>
      <c r="AA20" s="5"/>
      <c r="AB20" s="106"/>
      <c r="AC20" s="177" t="str">
        <f t="shared" si="0"/>
        <v>Entre centros + desvios</v>
      </c>
      <c r="AD20" s="177"/>
      <c r="AE20" s="177"/>
      <c r="AF20" s="45" t="str">
        <f t="shared" si="1"/>
        <v>aw.e/i</v>
      </c>
      <c r="AG20" s="46">
        <f t="shared" si="2"/>
        <v>230.023</v>
      </c>
      <c r="AH20" s="46">
        <f>G17</f>
        <v>229.977</v>
      </c>
      <c r="AI20" s="46" t="str">
        <f>H17</f>
        <v>mm</v>
      </c>
    </row>
    <row r="21" spans="1:35" ht="18" customHeight="1" x14ac:dyDescent="0.25">
      <c r="A21" s="102"/>
      <c r="B21" s="242" t="s">
        <v>21</v>
      </c>
      <c r="C21" s="243"/>
      <c r="D21" s="244"/>
      <c r="E21" s="127" t="s">
        <v>55</v>
      </c>
      <c r="F21" s="129" cm="1">
        <f t="array" ref="F21">dwum(F14,F8,G8)</f>
        <v>120.22727272727272</v>
      </c>
      <c r="G21" s="130" cm="1">
        <f t="array" ref="G21">dwdois(F14,F8,G8)</f>
        <v>339.77272727272725</v>
      </c>
      <c r="H21" s="128" t="s">
        <v>28</v>
      </c>
      <c r="I21" s="215"/>
      <c r="J21" s="103"/>
      <c r="K21" s="165"/>
      <c r="L21" s="166"/>
      <c r="M21" s="167"/>
      <c r="N21" s="139"/>
      <c r="O21" s="129"/>
      <c r="P21" s="130"/>
      <c r="Q21" s="128"/>
      <c r="R21" s="128"/>
      <c r="S21" s="103"/>
      <c r="T21" s="292"/>
      <c r="U21" s="293"/>
      <c r="V21" s="294"/>
      <c r="W21" s="24"/>
      <c r="X21" s="4"/>
      <c r="Y21" s="70"/>
      <c r="Z21" s="5"/>
      <c r="AA21" s="5"/>
      <c r="AB21" s="106"/>
      <c r="AC21" s="177" t="str">
        <f t="shared" si="0"/>
        <v>Entre centros sem deslocamento do perfil</v>
      </c>
      <c r="AD21" s="177"/>
      <c r="AE21" s="177"/>
      <c r="AF21" s="45" t="str">
        <f t="shared" si="1"/>
        <v>a</v>
      </c>
      <c r="AG21" s="228">
        <f t="shared" si="2"/>
        <v>225.78690371454616</v>
      </c>
      <c r="AH21" s="228"/>
      <c r="AI21" s="46" t="str">
        <f t="shared" ref="AI21:AI27" si="3">H18</f>
        <v>mm</v>
      </c>
    </row>
    <row r="22" spans="1:35" ht="18" customHeight="1" x14ac:dyDescent="0.25">
      <c r="A22" s="102"/>
      <c r="B22" s="242" t="s">
        <v>24</v>
      </c>
      <c r="C22" s="243"/>
      <c r="D22" s="244"/>
      <c r="E22" s="127" t="s">
        <v>56</v>
      </c>
      <c r="F22" s="258" cm="1">
        <f t="array" ref="F22">alfapt(F11,F12)</f>
        <v>20.482879930707686</v>
      </c>
      <c r="G22" s="259"/>
      <c r="H22" s="128" t="s">
        <v>29</v>
      </c>
      <c r="I22" s="213"/>
      <c r="J22" s="103"/>
      <c r="K22" s="165"/>
      <c r="L22" s="166"/>
      <c r="M22" s="167"/>
      <c r="N22" s="139"/>
      <c r="O22" s="129"/>
      <c r="P22" s="130"/>
      <c r="Q22" s="128"/>
      <c r="R22" s="128"/>
      <c r="S22" s="103"/>
      <c r="T22" s="292"/>
      <c r="U22" s="293"/>
      <c r="V22" s="294"/>
      <c r="W22" s="24"/>
      <c r="X22" s="4"/>
      <c r="Y22" s="70"/>
      <c r="Z22" s="5"/>
      <c r="AA22" s="5"/>
      <c r="AB22" s="106"/>
      <c r="AC22" s="177" t="str">
        <f t="shared" si="0"/>
        <v>Módulo transversal</v>
      </c>
      <c r="AD22" s="177"/>
      <c r="AE22" s="177"/>
      <c r="AF22" s="45" t="str">
        <f t="shared" si="1"/>
        <v>mt</v>
      </c>
      <c r="AG22" s="228">
        <f t="shared" si="2"/>
        <v>5.1315205389669583</v>
      </c>
      <c r="AH22" s="228"/>
      <c r="AI22" s="46" t="str">
        <f t="shared" si="3"/>
        <v>mm</v>
      </c>
    </row>
    <row r="23" spans="1:35" ht="18" customHeight="1" x14ac:dyDescent="0.25">
      <c r="A23" s="102"/>
      <c r="B23" s="242" t="s">
        <v>25</v>
      </c>
      <c r="C23" s="243"/>
      <c r="D23" s="244"/>
      <c r="E23" s="127" t="s">
        <v>57</v>
      </c>
      <c r="F23" s="258" cm="1">
        <f t="array" ref="F23">alfaptw(F18,F14,F22)</f>
        <v>23.129832736818017</v>
      </c>
      <c r="G23" s="259"/>
      <c r="H23" s="128" t="s">
        <v>29</v>
      </c>
      <c r="I23" s="214"/>
      <c r="J23" s="103"/>
      <c r="K23" s="165"/>
      <c r="L23" s="166"/>
      <c r="M23" s="167"/>
      <c r="N23" s="139"/>
      <c r="O23" s="129"/>
      <c r="P23" s="130"/>
      <c r="Q23" s="128"/>
      <c r="R23" s="128"/>
      <c r="S23" s="103"/>
      <c r="T23" s="292"/>
      <c r="U23" s="293"/>
      <c r="V23" s="294"/>
      <c r="W23" s="24"/>
      <c r="X23" s="4"/>
      <c r="Y23" s="70"/>
      <c r="Z23" s="5"/>
      <c r="AA23" s="5"/>
      <c r="AB23" s="106"/>
      <c r="AC23" s="177" t="str">
        <f t="shared" si="0"/>
        <v>Diâmetro primitivo</v>
      </c>
      <c r="AD23" s="177"/>
      <c r="AE23" s="177"/>
      <c r="AF23" s="45" t="str">
        <f t="shared" si="1"/>
        <v>d</v>
      </c>
      <c r="AG23" s="47">
        <f t="shared" si="2"/>
        <v>118.02497239624005</v>
      </c>
      <c r="AH23" s="47">
        <f>G20</f>
        <v>333.54883503285231</v>
      </c>
      <c r="AI23" s="46" t="str">
        <f t="shared" si="3"/>
        <v>mm</v>
      </c>
    </row>
    <row r="24" spans="1:35" ht="18" customHeight="1" thickBot="1" x14ac:dyDescent="0.3">
      <c r="A24" s="102"/>
      <c r="B24" s="248" t="s">
        <v>26</v>
      </c>
      <c r="C24" s="249"/>
      <c r="D24" s="250"/>
      <c r="E24" s="131" t="s">
        <v>58</v>
      </c>
      <c r="F24" s="230" cm="1">
        <f t="array" ref="F24">betabase(F12,F22)</f>
        <v>12.203520095350552</v>
      </c>
      <c r="G24" s="231"/>
      <c r="H24" s="132" t="s">
        <v>29</v>
      </c>
      <c r="I24" s="216"/>
      <c r="J24" s="103"/>
      <c r="K24" s="165"/>
      <c r="L24" s="166"/>
      <c r="M24" s="167"/>
      <c r="N24" s="139"/>
      <c r="O24" s="129"/>
      <c r="P24" s="130"/>
      <c r="Q24" s="128"/>
      <c r="R24" s="128"/>
      <c r="S24" s="103"/>
      <c r="T24" s="292"/>
      <c r="U24" s="293"/>
      <c r="V24" s="294"/>
      <c r="W24" s="24"/>
      <c r="X24" s="4"/>
      <c r="Y24" s="70"/>
      <c r="Z24" s="5"/>
      <c r="AA24" s="5"/>
      <c r="AB24" s="106"/>
      <c r="AC24" s="177" t="str">
        <f t="shared" si="0"/>
        <v>Diâmetro de trabalho</v>
      </c>
      <c r="AD24" s="177"/>
      <c r="AE24" s="177"/>
      <c r="AF24" s="45" t="str">
        <f t="shared" si="1"/>
        <v>dw</v>
      </c>
      <c r="AG24" s="47">
        <f t="shared" si="2"/>
        <v>120.22727272727272</v>
      </c>
      <c r="AH24" s="47">
        <f>G21</f>
        <v>339.77272727272725</v>
      </c>
      <c r="AI24" s="46" t="str">
        <f t="shared" si="3"/>
        <v>mm</v>
      </c>
    </row>
    <row r="25" spans="1:35" ht="18" customHeight="1" x14ac:dyDescent="0.25">
      <c r="A25" s="102"/>
      <c r="B25" s="239" t="s">
        <v>112</v>
      </c>
      <c r="C25" s="240"/>
      <c r="D25" s="241"/>
      <c r="E25" s="136" t="s">
        <v>113</v>
      </c>
      <c r="F25" s="140" cm="1">
        <f t="array" ref="F25">Znx($F$8,$F$12,$F$24)</f>
        <v>23.87630343339087</v>
      </c>
      <c r="G25" s="140" cm="1">
        <f t="array" ref="G25">Znx($G$8,$F$12,$F$24)</f>
        <v>67.476509703061154</v>
      </c>
      <c r="H25" s="189"/>
      <c r="I25" s="137"/>
      <c r="J25" s="103"/>
      <c r="K25" s="165"/>
      <c r="L25" s="166"/>
      <c r="M25" s="167"/>
      <c r="N25" s="139"/>
      <c r="O25" s="129"/>
      <c r="P25" s="130"/>
      <c r="Q25" s="128"/>
      <c r="R25" s="128"/>
      <c r="S25" s="103"/>
      <c r="T25" s="292"/>
      <c r="U25" s="293"/>
      <c r="V25" s="294"/>
      <c r="W25" s="24"/>
      <c r="X25" s="4"/>
      <c r="Y25" s="70"/>
      <c r="Z25" s="5"/>
      <c r="AA25" s="5"/>
      <c r="AB25" s="106"/>
      <c r="AC25" s="177" t="str">
        <f t="shared" si="0"/>
        <v>Ângulo de pressão transversal</v>
      </c>
      <c r="AD25" s="177"/>
      <c r="AE25" s="177"/>
      <c r="AF25" s="45" t="str">
        <f t="shared" si="1"/>
        <v>αt</v>
      </c>
      <c r="AG25" s="313">
        <f t="shared" si="2"/>
        <v>20.482879930707686</v>
      </c>
      <c r="AH25" s="313"/>
      <c r="AI25" s="46" t="str">
        <f t="shared" si="3"/>
        <v>gd</v>
      </c>
    </row>
    <row r="26" spans="1:35" ht="18" customHeight="1" x14ac:dyDescent="0.25">
      <c r="A26" s="102"/>
      <c r="B26" s="242" t="s">
        <v>22</v>
      </c>
      <c r="C26" s="243"/>
      <c r="D26" s="244"/>
      <c r="E26" s="127" t="s">
        <v>59</v>
      </c>
      <c r="F26" s="254" cm="1">
        <f t="array" ref="F26">SX(F8,G8,F23,F22,F11)</f>
        <v>0.89572746243623147</v>
      </c>
      <c r="G26" s="281"/>
      <c r="H26" s="190"/>
      <c r="I26" s="213"/>
      <c r="J26" s="103"/>
      <c r="K26" s="165"/>
      <c r="L26" s="166"/>
      <c r="M26" s="167"/>
      <c r="N26" s="139"/>
      <c r="O26" s="129"/>
      <c r="P26" s="130"/>
      <c r="Q26" s="128"/>
      <c r="R26" s="128"/>
      <c r="S26" s="103"/>
      <c r="T26" s="292"/>
      <c r="U26" s="293"/>
      <c r="V26" s="294"/>
      <c r="W26" s="24"/>
      <c r="X26" s="4"/>
      <c r="Y26" s="70"/>
      <c r="Z26" s="5"/>
      <c r="AA26" s="5"/>
      <c r="AB26" s="106"/>
      <c r="AC26" s="177" t="str">
        <f t="shared" si="0"/>
        <v>Ângulo de pressão transversal de trabalho</v>
      </c>
      <c r="AD26" s="177"/>
      <c r="AE26" s="177"/>
      <c r="AF26" s="45" t="str">
        <f t="shared" si="1"/>
        <v>αtw</v>
      </c>
      <c r="AG26" s="313">
        <f t="shared" si="2"/>
        <v>23.129832736818017</v>
      </c>
      <c r="AH26" s="313">
        <f>G23</f>
        <v>0</v>
      </c>
      <c r="AI26" s="46" t="str">
        <f t="shared" si="3"/>
        <v>gd</v>
      </c>
    </row>
    <row r="27" spans="1:35" ht="18" customHeight="1" x14ac:dyDescent="0.25">
      <c r="A27" s="102"/>
      <c r="B27" s="282" t="s">
        <v>72</v>
      </c>
      <c r="C27" s="181" t="s">
        <v>73</v>
      </c>
      <c r="D27" s="181"/>
      <c r="E27" s="221" t="s">
        <v>78</v>
      </c>
      <c r="F27" s="277" cm="1">
        <f t="array" ref="F27">xuma(F26,F8,G8)</f>
        <v>0.44949520215772132</v>
      </c>
      <c r="G27" s="278"/>
      <c r="H27" s="190"/>
      <c r="I27" s="214"/>
      <c r="J27" s="103"/>
      <c r="K27" s="165"/>
      <c r="L27" s="166"/>
      <c r="M27" s="167"/>
      <c r="N27" s="139"/>
      <c r="O27" s="129"/>
      <c r="P27" s="130"/>
      <c r="Q27" s="128"/>
      <c r="R27" s="128"/>
      <c r="S27" s="103"/>
      <c r="T27" s="292"/>
      <c r="U27" s="293"/>
      <c r="V27" s="294"/>
      <c r="W27" s="24"/>
      <c r="X27" s="4"/>
      <c r="Y27" s="70"/>
      <c r="Z27" s="5"/>
      <c r="AA27" s="5"/>
      <c r="AB27" s="106"/>
      <c r="AC27" s="177" t="str">
        <f t="shared" si="0"/>
        <v>Ângulo de hélice no diâmetro de base</v>
      </c>
      <c r="AD27" s="177"/>
      <c r="AE27" s="177"/>
      <c r="AF27" s="45" t="str">
        <f t="shared" si="1"/>
        <v>βb</v>
      </c>
      <c r="AG27" s="313">
        <f t="shared" si="2"/>
        <v>12.203520095350552</v>
      </c>
      <c r="AH27" s="313">
        <f>G24</f>
        <v>0</v>
      </c>
      <c r="AI27" s="46" t="str">
        <f t="shared" si="3"/>
        <v>gd</v>
      </c>
    </row>
    <row r="28" spans="1:35" ht="18" customHeight="1" x14ac:dyDescent="0.25">
      <c r="A28" s="102"/>
      <c r="B28" s="185"/>
      <c r="C28" s="181"/>
      <c r="D28" s="181"/>
      <c r="E28" s="221"/>
      <c r="F28" s="279"/>
      <c r="G28" s="280"/>
      <c r="H28" s="190"/>
      <c r="I28" s="214"/>
      <c r="J28" s="103"/>
      <c r="K28" s="165"/>
      <c r="L28" s="166"/>
      <c r="M28" s="167"/>
      <c r="N28" s="139"/>
      <c r="O28" s="129"/>
      <c r="P28" s="130"/>
      <c r="Q28" s="128"/>
      <c r="R28" s="128"/>
      <c r="S28" s="103"/>
      <c r="T28" s="292"/>
      <c r="U28" s="293"/>
      <c r="V28" s="294"/>
      <c r="W28" s="24"/>
      <c r="X28" s="4"/>
      <c r="Y28" s="70"/>
      <c r="Z28" s="5"/>
      <c r="AA28" s="5"/>
      <c r="AB28" s="106"/>
      <c r="AC28" s="177" t="str">
        <f t="shared" si="0"/>
        <v>Número de dentes virtuais para cálculo do desl. do perfil</v>
      </c>
      <c r="AD28" s="177"/>
      <c r="AE28" s="177"/>
      <c r="AF28" s="45" t="str">
        <f t="shared" si="1"/>
        <v>Znx</v>
      </c>
      <c r="AG28" s="47">
        <f t="shared" si="2"/>
        <v>23.87630343339087</v>
      </c>
      <c r="AH28" s="47">
        <f>G25</f>
        <v>67.476509703061154</v>
      </c>
      <c r="AI28" s="46"/>
    </row>
    <row r="29" spans="1:35" ht="18" customHeight="1" x14ac:dyDescent="0.25">
      <c r="A29" s="102"/>
      <c r="B29" s="185"/>
      <c r="C29" s="235" t="s">
        <v>74</v>
      </c>
      <c r="D29" s="236"/>
      <c r="E29" s="221"/>
      <c r="F29" s="277" cm="1">
        <f t="array" ref="F29">xumb(F26,F8,G8,F25)</f>
        <v>0.36634740437439761</v>
      </c>
      <c r="G29" s="278"/>
      <c r="H29" s="190"/>
      <c r="I29" s="214"/>
      <c r="J29" s="103"/>
      <c r="K29" s="165"/>
      <c r="L29" s="166"/>
      <c r="M29" s="167"/>
      <c r="N29" s="139"/>
      <c r="O29" s="129"/>
      <c r="P29" s="130"/>
      <c r="Q29" s="128"/>
      <c r="R29" s="128"/>
      <c r="S29" s="103"/>
      <c r="T29" s="292"/>
      <c r="U29" s="293"/>
      <c r="V29" s="294"/>
      <c r="W29" s="24"/>
      <c r="X29" s="4"/>
      <c r="Y29" s="70"/>
      <c r="Z29" s="5"/>
      <c r="AA29" s="5"/>
      <c r="AB29" s="106"/>
      <c r="AC29" s="177" t="str">
        <f t="shared" si="0"/>
        <v>Somatória dos deslocamentos de perfil</v>
      </c>
      <c r="AD29" s="177"/>
      <c r="AE29" s="177"/>
      <c r="AF29" s="45" t="str">
        <f t="shared" si="1"/>
        <v>Σx</v>
      </c>
      <c r="AG29" s="313">
        <f t="shared" si="2"/>
        <v>0.89572746243623147</v>
      </c>
      <c r="AH29" s="313">
        <f>G26</f>
        <v>0</v>
      </c>
      <c r="AI29" s="46"/>
    </row>
    <row r="30" spans="1:35" ht="18" customHeight="1" x14ac:dyDescent="0.25">
      <c r="A30" s="102"/>
      <c r="B30" s="185"/>
      <c r="C30" s="237"/>
      <c r="D30" s="238"/>
      <c r="E30" s="221"/>
      <c r="F30" s="279"/>
      <c r="G30" s="280"/>
      <c r="H30" s="190"/>
      <c r="I30" s="214"/>
      <c r="J30" s="103"/>
      <c r="K30" s="165"/>
      <c r="L30" s="166"/>
      <c r="M30" s="167"/>
      <c r="N30" s="139"/>
      <c r="O30" s="129"/>
      <c r="P30" s="130"/>
      <c r="Q30" s="128"/>
      <c r="R30" s="128"/>
      <c r="S30" s="103"/>
      <c r="T30" s="292"/>
      <c r="U30" s="293"/>
      <c r="V30" s="294"/>
      <c r="W30" s="24"/>
      <c r="X30" s="4"/>
      <c r="Y30" s="70"/>
      <c r="Z30" s="5"/>
      <c r="AA30" s="5"/>
      <c r="AB30" s="106"/>
      <c r="AC30" s="195" t="str">
        <f t="shared" si="0"/>
        <v>Deslocamento do perfil sugerido conforme BSI BS PD 6457</v>
      </c>
      <c r="AD30" s="195" t="str">
        <f>C27</f>
        <v>Para equalizar os fatores das tensões de ruptura</v>
      </c>
      <c r="AE30" s="195"/>
      <c r="AF30" s="206" t="str">
        <f t="shared" si="1"/>
        <v>x1</v>
      </c>
      <c r="AG30" s="323">
        <f t="shared" si="2"/>
        <v>0.44949520215772132</v>
      </c>
      <c r="AH30" s="323"/>
      <c r="AI30" s="171"/>
    </row>
    <row r="31" spans="1:35" ht="18" customHeight="1" x14ac:dyDescent="0.25">
      <c r="A31" s="102"/>
      <c r="B31" s="283"/>
      <c r="C31" s="284" t="s">
        <v>70</v>
      </c>
      <c r="D31" s="244"/>
      <c r="E31" s="221"/>
      <c r="F31" s="254" cm="1">
        <f t="array" ref="F31">xumc(F26,F8,G8)</f>
        <v>0.55718750985002907</v>
      </c>
      <c r="G31" s="281"/>
      <c r="H31" s="190"/>
      <c r="I31" s="214"/>
      <c r="J31" s="103"/>
      <c r="K31" s="165"/>
      <c r="L31" s="166"/>
      <c r="M31" s="167"/>
      <c r="N31" s="139"/>
      <c r="O31" s="129"/>
      <c r="P31" s="130"/>
      <c r="Q31" s="128"/>
      <c r="R31" s="128"/>
      <c r="S31" s="103"/>
      <c r="T31" s="292"/>
      <c r="U31" s="293"/>
      <c r="V31" s="294"/>
      <c r="W31" s="24"/>
      <c r="X31" s="4"/>
      <c r="Y31" s="70"/>
      <c r="Z31" s="5"/>
      <c r="AA31" s="5"/>
      <c r="AB31" s="106"/>
      <c r="AC31" s="196"/>
      <c r="AD31" s="197"/>
      <c r="AE31" s="197"/>
      <c r="AF31" s="322"/>
      <c r="AG31" s="324"/>
      <c r="AH31" s="324"/>
      <c r="AI31" s="173"/>
    </row>
    <row r="32" spans="1:35" ht="18" customHeight="1" x14ac:dyDescent="0.25">
      <c r="A32" s="102"/>
      <c r="B32" s="180" t="s">
        <v>75</v>
      </c>
      <c r="C32" s="284" t="s">
        <v>76</v>
      </c>
      <c r="D32" s="244"/>
      <c r="E32" s="211" t="s">
        <v>71</v>
      </c>
      <c r="F32" s="141" cm="1">
        <f t="array" ref="F32">xminrec(F25)</f>
        <v>-6.4605057223181162E-2</v>
      </c>
      <c r="G32" s="141" cm="1">
        <f t="array" ref="G32">xminrec(G25)</f>
        <v>-0.5</v>
      </c>
      <c r="H32" s="190"/>
      <c r="I32" s="214"/>
      <c r="J32" s="103"/>
      <c r="K32" s="165"/>
      <c r="L32" s="166"/>
      <c r="M32" s="167"/>
      <c r="N32" s="139"/>
      <c r="O32" s="129"/>
      <c r="P32" s="130"/>
      <c r="Q32" s="128"/>
      <c r="R32" s="128"/>
      <c r="S32" s="103"/>
      <c r="T32" s="292"/>
      <c r="U32" s="293"/>
      <c r="V32" s="294"/>
      <c r="W32" s="24"/>
      <c r="X32" s="4"/>
      <c r="Y32" s="70"/>
      <c r="Z32" s="5"/>
      <c r="AA32" s="5"/>
      <c r="AB32" s="106"/>
      <c r="AC32" s="196"/>
      <c r="AD32" s="195" t="str">
        <f>C29</f>
        <v>Para equalizar as velocidades de deslizamento</v>
      </c>
      <c r="AE32" s="195"/>
      <c r="AF32" s="322"/>
      <c r="AG32" s="323">
        <f>F29</f>
        <v>0.36634740437439761</v>
      </c>
      <c r="AH32" s="323"/>
      <c r="AI32" s="171"/>
    </row>
    <row r="33" spans="1:37" ht="18" customHeight="1" x14ac:dyDescent="0.25">
      <c r="A33" s="102"/>
      <c r="B33" s="180"/>
      <c r="C33" s="284" t="s">
        <v>77</v>
      </c>
      <c r="D33" s="244"/>
      <c r="E33" s="270"/>
      <c r="F33" s="141" cm="1">
        <f t="array" ref="F33">xmaxrec(F25)</f>
        <v>0.73876303433390866</v>
      </c>
      <c r="G33" s="141" cm="1">
        <f t="array" ref="G33">xmaxrec(G25)</f>
        <v>1</v>
      </c>
      <c r="H33" s="190"/>
      <c r="I33" s="214"/>
      <c r="J33" s="103"/>
      <c r="K33" s="165"/>
      <c r="L33" s="166"/>
      <c r="M33" s="167"/>
      <c r="N33" s="139"/>
      <c r="O33" s="129"/>
      <c r="P33" s="130"/>
      <c r="Q33" s="128"/>
      <c r="R33" s="128"/>
      <c r="S33" s="103"/>
      <c r="T33" s="292"/>
      <c r="U33" s="293"/>
      <c r="V33" s="294"/>
      <c r="W33" s="24"/>
      <c r="X33" s="4"/>
      <c r="Y33" s="70"/>
      <c r="Z33" s="5"/>
      <c r="AA33" s="5"/>
      <c r="AB33" s="106"/>
      <c r="AC33" s="196"/>
      <c r="AD33" s="197"/>
      <c r="AE33" s="197"/>
      <c r="AF33" s="322"/>
      <c r="AG33" s="324"/>
      <c r="AH33" s="324"/>
      <c r="AI33" s="173"/>
    </row>
    <row r="34" spans="1:37" ht="18" customHeight="1" x14ac:dyDescent="0.25">
      <c r="A34" s="102"/>
      <c r="B34" s="242" t="s">
        <v>194</v>
      </c>
      <c r="C34" s="243"/>
      <c r="D34" s="244"/>
      <c r="E34" s="270"/>
      <c r="F34" s="141" cm="1">
        <f t="array" ref="F34">xEmin(F8,F22,F12,F40)</f>
        <v>-0.44520688566505129</v>
      </c>
      <c r="G34" s="141" cm="1">
        <f t="array" ref="G34">xEmin(G8,F22,F12,F40)</f>
        <v>-3.0842803290534055</v>
      </c>
      <c r="H34" s="190"/>
      <c r="I34" s="214"/>
      <c r="J34" s="103"/>
      <c r="K34" s="165"/>
      <c r="L34" s="166"/>
      <c r="M34" s="167"/>
      <c r="N34" s="139"/>
      <c r="O34" s="129"/>
      <c r="P34" s="130"/>
      <c r="Q34" s="128"/>
      <c r="R34" s="128"/>
      <c r="S34" s="103"/>
      <c r="T34" s="292"/>
      <c r="U34" s="293"/>
      <c r="V34" s="294"/>
      <c r="W34" s="24"/>
      <c r="X34" s="4"/>
      <c r="Y34" s="70"/>
      <c r="Z34" s="5"/>
      <c r="AA34" s="5"/>
      <c r="AB34" s="106"/>
      <c r="AC34" s="197"/>
      <c r="AD34" s="177" t="str">
        <f>C31</f>
        <v>Engrenagens em geral</v>
      </c>
      <c r="AE34" s="177"/>
      <c r="AF34" s="207"/>
      <c r="AG34" s="313">
        <f t="shared" ref="AG34:AG39" si="4">F31</f>
        <v>0.55718750985002907</v>
      </c>
      <c r="AH34" s="313"/>
      <c r="AI34" s="46"/>
    </row>
    <row r="35" spans="1:37" ht="18" customHeight="1" thickBot="1" x14ac:dyDescent="0.3">
      <c r="A35" s="102"/>
      <c r="B35" s="232" t="s">
        <v>48</v>
      </c>
      <c r="C35" s="233"/>
      <c r="D35" s="234"/>
      <c r="E35" s="270"/>
      <c r="F35" s="124">
        <v>0.55500000000000005</v>
      </c>
      <c r="G35" s="142">
        <f>F26-F35</f>
        <v>0.34072746243623142</v>
      </c>
      <c r="H35" s="190"/>
      <c r="I35" s="214"/>
      <c r="J35" s="103"/>
      <c r="K35" s="165"/>
      <c r="L35" s="166"/>
      <c r="M35" s="167"/>
      <c r="N35" s="139"/>
      <c r="O35" s="129"/>
      <c r="P35" s="130"/>
      <c r="Q35" s="128"/>
      <c r="R35" s="128"/>
      <c r="S35" s="103"/>
      <c r="T35" s="292"/>
      <c r="U35" s="293"/>
      <c r="V35" s="294"/>
      <c r="W35" s="24"/>
      <c r="X35" s="4"/>
      <c r="Y35" s="70"/>
      <c r="Z35" s="5"/>
      <c r="AA35" s="5"/>
      <c r="AB35" s="106"/>
      <c r="AC35" s="195" t="str">
        <f>B32</f>
        <v>Valores recomendados ISO/TR 4467-1982</v>
      </c>
      <c r="AD35" s="177" t="str">
        <f>C32</f>
        <v>Mínimo convencional</v>
      </c>
      <c r="AE35" s="177"/>
      <c r="AF35" s="206" t="str">
        <f>E32</f>
        <v>x1,2</v>
      </c>
      <c r="AG35" s="48">
        <f t="shared" si="4"/>
        <v>-6.4605057223181162E-2</v>
      </c>
      <c r="AH35" s="48">
        <f t="shared" ref="AH35:AH39" si="5">G32</f>
        <v>-0.5</v>
      </c>
      <c r="AI35" s="46"/>
    </row>
    <row r="36" spans="1:37" ht="18.75" customHeight="1" x14ac:dyDescent="0.25">
      <c r="A36" s="102"/>
      <c r="B36" s="239" t="s">
        <v>179</v>
      </c>
      <c r="C36" s="240"/>
      <c r="D36" s="241"/>
      <c r="E36" s="136" t="s">
        <v>176</v>
      </c>
      <c r="F36" s="140" cm="1">
        <f t="array" ref="F36">san(O11,F20,$F$22,$F$11,F54,F8,$F$12)</f>
        <v>3.269325091582759</v>
      </c>
      <c r="G36" s="140" cm="1">
        <f t="array" ref="G36">san(P11,G20,$F$22,$F$11,G54,G8,$F$12)</f>
        <v>4.3666162877737236</v>
      </c>
      <c r="H36" s="186" t="s">
        <v>28</v>
      </c>
      <c r="I36" s="137"/>
      <c r="J36" s="103"/>
      <c r="K36" s="165"/>
      <c r="L36" s="166"/>
      <c r="M36" s="167"/>
      <c r="N36" s="139"/>
      <c r="O36" s="129"/>
      <c r="P36" s="130"/>
      <c r="Q36" s="128"/>
      <c r="R36" s="128"/>
      <c r="S36" s="103"/>
      <c r="T36" s="292"/>
      <c r="U36" s="293"/>
      <c r="V36" s="294"/>
      <c r="W36" s="24"/>
      <c r="X36" s="4"/>
      <c r="Y36" s="70"/>
      <c r="Z36" s="5"/>
      <c r="AA36" s="5"/>
      <c r="AB36" s="106"/>
      <c r="AC36" s="197"/>
      <c r="AD36" s="177" t="str">
        <f>C33</f>
        <v>Máximo convencional</v>
      </c>
      <c r="AE36" s="177"/>
      <c r="AF36" s="322"/>
      <c r="AG36" s="48">
        <f t="shared" si="4"/>
        <v>0.73876303433390866</v>
      </c>
      <c r="AH36" s="48">
        <f t="shared" si="5"/>
        <v>1</v>
      </c>
      <c r="AI36" s="46"/>
    </row>
    <row r="37" spans="1:37" ht="18" customHeight="1" x14ac:dyDescent="0.25">
      <c r="A37" s="102"/>
      <c r="B37" s="242" t="s">
        <v>68</v>
      </c>
      <c r="C37" s="243"/>
      <c r="D37" s="244"/>
      <c r="E37" s="127" t="s">
        <v>69</v>
      </c>
      <c r="F37" s="129">
        <f>F35*F10</f>
        <v>2.7750000000000004</v>
      </c>
      <c r="G37" s="130">
        <f>G35*F10</f>
        <v>1.703637312181157</v>
      </c>
      <c r="H37" s="187"/>
      <c r="I37" s="213"/>
      <c r="J37" s="103"/>
      <c r="K37" s="165"/>
      <c r="L37" s="166"/>
      <c r="M37" s="167"/>
      <c r="N37" s="139"/>
      <c r="O37" s="129"/>
      <c r="P37" s="130"/>
      <c r="Q37" s="128"/>
      <c r="R37" s="128"/>
      <c r="S37" s="103"/>
      <c r="T37" s="292"/>
      <c r="U37" s="293"/>
      <c r="V37" s="294"/>
      <c r="W37" s="24"/>
      <c r="X37" s="4"/>
      <c r="Y37" s="70"/>
      <c r="Z37" s="5"/>
      <c r="AA37" s="5"/>
      <c r="AB37" s="106"/>
      <c r="AC37" s="177" t="str">
        <f>B34</f>
        <v>Valor mínimo para evitar undercut</v>
      </c>
      <c r="AD37" s="177"/>
      <c r="AE37" s="177"/>
      <c r="AF37" s="322"/>
      <c r="AG37" s="48">
        <f t="shared" si="4"/>
        <v>-0.44520688566505129</v>
      </c>
      <c r="AH37" s="48">
        <f t="shared" si="5"/>
        <v>-3.0842803290534055</v>
      </c>
      <c r="AI37" s="46"/>
    </row>
    <row r="38" spans="1:37" ht="18" customHeight="1" x14ac:dyDescent="0.25">
      <c r="A38" s="102"/>
      <c r="B38" s="242" t="s">
        <v>49</v>
      </c>
      <c r="C38" s="243"/>
      <c r="D38" s="244"/>
      <c r="E38" s="127" t="s">
        <v>50</v>
      </c>
      <c r="F38" s="254" cm="1">
        <f t="array" ref="F38">rebk(F14,F18,F10,F26,F8)</f>
        <v>5.3108205345462678E-2</v>
      </c>
      <c r="G38" s="281"/>
      <c r="H38" s="135"/>
      <c r="I38" s="214"/>
      <c r="J38" s="103"/>
      <c r="K38" s="165"/>
      <c r="L38" s="166"/>
      <c r="M38" s="167"/>
      <c r="N38" s="139"/>
      <c r="O38" s="129"/>
      <c r="P38" s="130"/>
      <c r="Q38" s="128"/>
      <c r="R38" s="128"/>
      <c r="S38" s="103"/>
      <c r="T38" s="292"/>
      <c r="U38" s="293"/>
      <c r="V38" s="294"/>
      <c r="W38" s="24"/>
      <c r="X38" s="4"/>
      <c r="Y38" s="70"/>
      <c r="Z38" s="5"/>
      <c r="AA38" s="5"/>
      <c r="AB38" s="106"/>
      <c r="AC38" s="177" t="str">
        <f t="shared" ref="AC38:AC39" si="6">B35</f>
        <v>Valores adotados para x1 e x2</v>
      </c>
      <c r="AD38" s="177"/>
      <c r="AE38" s="177"/>
      <c r="AF38" s="207"/>
      <c r="AG38" s="126">
        <f t="shared" si="4"/>
        <v>0.55500000000000005</v>
      </c>
      <c r="AH38" s="48">
        <f t="shared" si="5"/>
        <v>0.34072746243623142</v>
      </c>
      <c r="AI38" s="46"/>
    </row>
    <row r="39" spans="1:37" ht="18" customHeight="1" x14ac:dyDescent="0.25">
      <c r="A39" s="102"/>
      <c r="B39" s="242" t="s">
        <v>64</v>
      </c>
      <c r="C39" s="243"/>
      <c r="D39" s="244"/>
      <c r="E39" s="127" t="s">
        <v>65</v>
      </c>
      <c r="F39" s="258">
        <f>F38*F10</f>
        <v>0.26554102672731339</v>
      </c>
      <c r="G39" s="285"/>
      <c r="H39" s="128" t="s">
        <v>28</v>
      </c>
      <c r="I39" s="215"/>
      <c r="J39" s="78"/>
      <c r="K39" s="165"/>
      <c r="L39" s="166"/>
      <c r="M39" s="167"/>
      <c r="N39" s="139"/>
      <c r="O39" s="129"/>
      <c r="P39" s="130"/>
      <c r="Q39" s="128"/>
      <c r="R39" s="128"/>
      <c r="S39" s="103"/>
      <c r="T39" s="292"/>
      <c r="U39" s="293"/>
      <c r="V39" s="294"/>
      <c r="W39" s="24"/>
      <c r="X39" s="4"/>
      <c r="Y39" s="70"/>
      <c r="Z39" s="5"/>
      <c r="AA39" s="5"/>
      <c r="AB39" s="106"/>
      <c r="AC39" s="177" t="str">
        <f t="shared" si="6"/>
        <v>Espessura mínima normal na cabeça ( mínimo = 0,4 x mn = 2,8 mm )</v>
      </c>
      <c r="AD39" s="177"/>
      <c r="AE39" s="177"/>
      <c r="AF39" s="45" t="str">
        <f t="shared" ref="AF39:AF46" si="7">E36</f>
        <v>samin</v>
      </c>
      <c r="AG39" s="46">
        <f t="shared" si="4"/>
        <v>3.269325091582759</v>
      </c>
      <c r="AH39" s="46">
        <f t="shared" si="5"/>
        <v>4.3666162877737236</v>
      </c>
      <c r="AI39" s="46" t="str">
        <f t="shared" ref="AI39" si="8">H36</f>
        <v>mm</v>
      </c>
    </row>
    <row r="40" spans="1:37" ht="18" customHeight="1" x14ac:dyDescent="0.25">
      <c r="A40" s="102"/>
      <c r="B40" s="245" t="s">
        <v>132</v>
      </c>
      <c r="C40" s="246"/>
      <c r="D40" s="247"/>
      <c r="E40" s="127" t="s">
        <v>17</v>
      </c>
      <c r="F40" s="256">
        <v>1</v>
      </c>
      <c r="G40" s="276"/>
      <c r="H40" s="128"/>
      <c r="I40" s="213"/>
      <c r="J40" s="78"/>
      <c r="K40" s="165"/>
      <c r="L40" s="166"/>
      <c r="M40" s="167"/>
      <c r="N40" s="139"/>
      <c r="O40" s="129"/>
      <c r="P40" s="130"/>
      <c r="Q40" s="128"/>
      <c r="R40" s="128"/>
      <c r="S40" s="103"/>
      <c r="T40" s="292"/>
      <c r="U40" s="293"/>
      <c r="V40" s="294"/>
      <c r="W40" s="24"/>
      <c r="X40" s="4"/>
      <c r="Y40" s="70"/>
      <c r="Z40" s="5"/>
      <c r="AA40" s="5"/>
      <c r="AB40" s="106"/>
      <c r="AC40" s="177" t="str">
        <f t="shared" ref="AC40:AC47" si="9">B37</f>
        <v>Deslocamento do perfil (correção) x módulo</v>
      </c>
      <c r="AD40" s="177"/>
      <c r="AE40" s="177"/>
      <c r="AF40" s="45" t="str">
        <f t="shared" si="7"/>
        <v>x.m</v>
      </c>
      <c r="AG40" s="47">
        <f>F37</f>
        <v>2.7750000000000004</v>
      </c>
      <c r="AH40" s="47">
        <f>G37</f>
        <v>1.703637312181157</v>
      </c>
      <c r="AI40" s="46" t="s">
        <v>28</v>
      </c>
    </row>
    <row r="41" spans="1:37" ht="18" customHeight="1" x14ac:dyDescent="0.25">
      <c r="A41" s="102"/>
      <c r="B41" s="242" t="s">
        <v>62</v>
      </c>
      <c r="C41" s="243"/>
      <c r="D41" s="244"/>
      <c r="E41" s="127" t="s">
        <v>120</v>
      </c>
      <c r="F41" s="329">
        <f>F40*F10</f>
        <v>5</v>
      </c>
      <c r="G41" s="330"/>
      <c r="H41" s="128" t="s">
        <v>28</v>
      </c>
      <c r="I41" s="214"/>
      <c r="J41" s="78"/>
      <c r="K41" s="165" t="s">
        <v>114</v>
      </c>
      <c r="L41" s="166"/>
      <c r="M41" s="167" t="s">
        <v>115</v>
      </c>
      <c r="N41" s="139"/>
      <c r="O41" s="129"/>
      <c r="P41" s="130"/>
      <c r="Q41" s="128"/>
      <c r="R41" s="128"/>
      <c r="S41" s="103"/>
      <c r="T41" s="292"/>
      <c r="U41" s="293"/>
      <c r="V41" s="294"/>
      <c r="W41" s="24"/>
      <c r="X41" s="4"/>
      <c r="Y41" s="70"/>
      <c r="Z41" s="5"/>
      <c r="AA41" s="5"/>
      <c r="AB41" s="106"/>
      <c r="AC41" s="177" t="str">
        <f t="shared" si="9"/>
        <v>Coeficiente de rebaixamento</v>
      </c>
      <c r="AD41" s="177"/>
      <c r="AE41" s="177"/>
      <c r="AF41" s="45" t="str">
        <f t="shared" si="7"/>
        <v>k</v>
      </c>
      <c r="AG41" s="228">
        <f t="shared" ref="AG41:AG47" si="10">F38</f>
        <v>5.3108205345462678E-2</v>
      </c>
      <c r="AH41" s="228"/>
      <c r="AI41" s="46"/>
    </row>
    <row r="42" spans="1:37" ht="18" customHeight="1" x14ac:dyDescent="0.25">
      <c r="A42" s="102"/>
      <c r="B42" s="245" t="s">
        <v>122</v>
      </c>
      <c r="C42" s="246"/>
      <c r="D42" s="247"/>
      <c r="E42" s="127" t="s">
        <v>15</v>
      </c>
      <c r="F42" s="256">
        <v>1.25</v>
      </c>
      <c r="G42" s="276"/>
      <c r="H42" s="128"/>
      <c r="I42" s="214"/>
      <c r="J42" s="78"/>
      <c r="K42" s="165" t="s">
        <v>27</v>
      </c>
      <c r="L42" s="166"/>
      <c r="M42" s="167"/>
      <c r="N42" s="139" t="s">
        <v>193</v>
      </c>
      <c r="O42" s="129"/>
      <c r="P42" s="130"/>
      <c r="Q42" s="128" t="s">
        <v>29</v>
      </c>
      <c r="R42" s="128"/>
      <c r="S42" s="103"/>
      <c r="T42" s="292"/>
      <c r="U42" s="293"/>
      <c r="V42" s="294"/>
      <c r="W42" s="24"/>
      <c r="X42" s="4"/>
      <c r="Y42" s="70"/>
      <c r="Z42" s="5"/>
      <c r="AA42" s="5"/>
      <c r="AB42" s="106"/>
      <c r="AC42" s="177" t="str">
        <f t="shared" si="9"/>
        <v>Coeficiente de rebaixamento x módulo</v>
      </c>
      <c r="AD42" s="177"/>
      <c r="AE42" s="177"/>
      <c r="AF42" s="45" t="str">
        <f t="shared" si="7"/>
        <v>k.m</v>
      </c>
      <c r="AG42" s="228">
        <f t="shared" si="10"/>
        <v>0.26554102672731339</v>
      </c>
      <c r="AH42" s="228"/>
      <c r="AI42" s="46" t="str">
        <f>H39</f>
        <v>mm</v>
      </c>
    </row>
    <row r="43" spans="1:37" ht="18" customHeight="1" thickBot="1" x14ac:dyDescent="0.3">
      <c r="A43" s="102"/>
      <c r="B43" s="248" t="s">
        <v>63</v>
      </c>
      <c r="C43" s="249"/>
      <c r="D43" s="250"/>
      <c r="E43" s="131" t="s">
        <v>121</v>
      </c>
      <c r="F43" s="327">
        <f>F42*F10</f>
        <v>6.25</v>
      </c>
      <c r="G43" s="328"/>
      <c r="H43" s="132" t="s">
        <v>28</v>
      </c>
      <c r="I43" s="216"/>
      <c r="J43" s="78"/>
      <c r="K43" s="165"/>
      <c r="L43" s="166"/>
      <c r="M43" s="167"/>
      <c r="N43" s="139"/>
      <c r="O43" s="129"/>
      <c r="P43" s="130"/>
      <c r="Q43" s="128" t="s">
        <v>28</v>
      </c>
      <c r="R43" s="128"/>
      <c r="S43" s="103"/>
      <c r="T43" s="292"/>
      <c r="U43" s="293"/>
      <c r="V43" s="294"/>
      <c r="W43" s="24"/>
      <c r="X43" s="4"/>
      <c r="Y43" s="70"/>
      <c r="Z43" s="5"/>
      <c r="AA43" s="5"/>
      <c r="AB43" s="106"/>
      <c r="AC43" s="177" t="str">
        <f t="shared" si="9"/>
        <v>Fator de altura da cabeça do dente (adendum)</v>
      </c>
      <c r="AD43" s="177"/>
      <c r="AE43" s="177"/>
      <c r="AF43" s="45" t="str">
        <f t="shared" si="7"/>
        <v>a</v>
      </c>
      <c r="AG43" s="229">
        <f t="shared" si="10"/>
        <v>1</v>
      </c>
      <c r="AH43" s="229"/>
      <c r="AI43" s="46"/>
    </row>
    <row r="44" spans="1:37" ht="18" customHeight="1" x14ac:dyDescent="0.25">
      <c r="A44" s="102"/>
      <c r="B44" s="178" t="s">
        <v>154</v>
      </c>
      <c r="C44" s="326" t="s">
        <v>156</v>
      </c>
      <c r="D44" s="241"/>
      <c r="E44" s="133"/>
      <c r="F44" s="332" t="s">
        <v>195</v>
      </c>
      <c r="G44" s="333"/>
      <c r="H44" s="136"/>
      <c r="I44" s="192"/>
      <c r="J44" s="103"/>
      <c r="K44" s="165"/>
      <c r="L44" s="166"/>
      <c r="M44" s="167"/>
      <c r="N44" s="139"/>
      <c r="O44" s="129"/>
      <c r="P44" s="130"/>
      <c r="Q44" s="128"/>
      <c r="R44" s="128"/>
      <c r="S44" s="103"/>
      <c r="T44" s="292"/>
      <c r="U44" s="293"/>
      <c r="V44" s="294"/>
      <c r="W44" s="24"/>
      <c r="X44" s="4"/>
      <c r="Y44" s="70"/>
      <c r="Z44" s="5"/>
      <c r="AA44" s="5"/>
      <c r="AB44" s="106"/>
      <c r="AC44" s="177" t="str">
        <f t="shared" si="9"/>
        <v>Addendum x módulo</v>
      </c>
      <c r="AD44" s="177"/>
      <c r="AE44" s="177"/>
      <c r="AF44" s="45" t="str">
        <f t="shared" si="7"/>
        <v>a.mn</v>
      </c>
      <c r="AG44" s="228">
        <f t="shared" si="10"/>
        <v>5</v>
      </c>
      <c r="AH44" s="228"/>
      <c r="AI44" s="46" t="s">
        <v>28</v>
      </c>
    </row>
    <row r="45" spans="1:37" ht="18" customHeight="1" x14ac:dyDescent="0.25">
      <c r="A45" s="102"/>
      <c r="B45" s="180"/>
      <c r="C45" s="284" t="s">
        <v>157</v>
      </c>
      <c r="D45" s="244"/>
      <c r="E45" s="127" t="s">
        <v>159</v>
      </c>
      <c r="F45" s="128">
        <f>Tabelas!AA8</f>
        <v>70</v>
      </c>
      <c r="G45" s="139">
        <f>Tabelas!AA9</f>
        <v>130</v>
      </c>
      <c r="H45" s="188" t="s">
        <v>164</v>
      </c>
      <c r="I45" s="193"/>
      <c r="J45" s="103"/>
      <c r="K45" s="165"/>
      <c r="L45" s="166"/>
      <c r="M45" s="167"/>
      <c r="N45" s="139"/>
      <c r="O45" s="129"/>
      <c r="P45" s="130"/>
      <c r="Q45" s="128"/>
      <c r="R45" s="128"/>
      <c r="S45" s="103"/>
      <c r="T45" s="67"/>
      <c r="U45" s="68"/>
      <c r="V45" s="69"/>
      <c r="W45" s="24"/>
      <c r="X45" s="4"/>
      <c r="Y45" s="70"/>
      <c r="Z45" s="5"/>
      <c r="AA45" s="5"/>
      <c r="AB45" s="106"/>
      <c r="AC45" s="177" t="str">
        <f t="shared" si="9"/>
        <v>Fator de altura do pé do dente (dedendum)</v>
      </c>
      <c r="AD45" s="177"/>
      <c r="AE45" s="177"/>
      <c r="AF45" s="45" t="str">
        <f t="shared" si="7"/>
        <v>d</v>
      </c>
      <c r="AG45" s="229">
        <f t="shared" si="10"/>
        <v>1.25</v>
      </c>
      <c r="AH45" s="229"/>
      <c r="AI45" s="46"/>
    </row>
    <row r="46" spans="1:37" ht="18" customHeight="1" x14ac:dyDescent="0.25">
      <c r="A46" s="102"/>
      <c r="B46" s="180"/>
      <c r="C46" s="284" t="s">
        <v>46</v>
      </c>
      <c r="D46" s="244"/>
      <c r="E46" s="143" t="s">
        <v>163</v>
      </c>
      <c r="F46" s="128">
        <f>Tabelas!AD8</f>
        <v>400</v>
      </c>
      <c r="G46" s="139">
        <f>Tabelas!AD9</f>
        <v>600</v>
      </c>
      <c r="H46" s="190"/>
      <c r="I46" s="193"/>
      <c r="J46" s="103"/>
      <c r="K46" s="165"/>
      <c r="L46" s="166"/>
      <c r="M46" s="167"/>
      <c r="N46" s="139"/>
      <c r="O46" s="129"/>
      <c r="P46" s="130"/>
      <c r="Q46" s="128" t="s">
        <v>28</v>
      </c>
      <c r="R46" s="128"/>
      <c r="S46" s="103"/>
      <c r="T46" s="67"/>
      <c r="U46" s="68"/>
      <c r="V46" s="69"/>
      <c r="W46" s="24"/>
      <c r="X46" s="4"/>
      <c r="Y46" s="70"/>
      <c r="Z46" s="5"/>
      <c r="AA46" s="5"/>
      <c r="AB46" s="106"/>
      <c r="AC46" s="177" t="str">
        <f t="shared" si="9"/>
        <v>Dedendum x módulo</v>
      </c>
      <c r="AD46" s="177"/>
      <c r="AE46" s="177"/>
      <c r="AF46" s="45" t="str">
        <f t="shared" si="7"/>
        <v>d.mn</v>
      </c>
      <c r="AG46" s="228">
        <f t="shared" si="10"/>
        <v>6.25</v>
      </c>
      <c r="AH46" s="228"/>
      <c r="AI46" s="46" t="str">
        <f>H41</f>
        <v>mm</v>
      </c>
    </row>
    <row r="47" spans="1:37" ht="18" customHeight="1" x14ac:dyDescent="0.25">
      <c r="A47" s="102"/>
      <c r="B47" s="180"/>
      <c r="C47" s="284" t="s">
        <v>160</v>
      </c>
      <c r="D47" s="244"/>
      <c r="E47" s="127" t="s">
        <v>162</v>
      </c>
      <c r="F47" s="128">
        <f>IF(F46="----","----",F45+F46)</f>
        <v>470</v>
      </c>
      <c r="G47" s="128">
        <f>IF(G46="----","----",G45+G46)</f>
        <v>730</v>
      </c>
      <c r="H47" s="190"/>
      <c r="I47" s="193"/>
      <c r="J47" s="103"/>
      <c r="K47" s="165"/>
      <c r="L47" s="166"/>
      <c r="M47" s="167"/>
      <c r="N47" s="139"/>
      <c r="O47" s="129"/>
      <c r="P47" s="130"/>
      <c r="Q47" s="128"/>
      <c r="R47" s="128"/>
      <c r="S47" s="103"/>
      <c r="T47" s="292"/>
      <c r="U47" s="293"/>
      <c r="V47" s="294"/>
      <c r="W47" s="24"/>
      <c r="X47" s="4"/>
      <c r="Y47" s="70"/>
      <c r="Z47" s="5"/>
      <c r="AA47" s="5"/>
      <c r="AB47" s="106"/>
      <c r="AC47" s="200" t="str">
        <f t="shared" si="9"/>
        <v>Tolerância na espessura do dente (DIN 3967)</v>
      </c>
      <c r="AD47" s="201"/>
      <c r="AE47" s="201"/>
      <c r="AF47" s="45"/>
      <c r="AG47" s="199" t="str">
        <f t="shared" si="10"/>
        <v>30cd</v>
      </c>
      <c r="AH47" s="199"/>
      <c r="AI47" s="46"/>
    </row>
    <row r="48" spans="1:37" ht="18" customHeight="1" x14ac:dyDescent="0.25">
      <c r="A48" s="102"/>
      <c r="B48" s="217" t="s">
        <v>171</v>
      </c>
      <c r="C48" s="148" t="s">
        <v>157</v>
      </c>
      <c r="D48" s="251"/>
      <c r="E48" s="127" t="s">
        <v>159</v>
      </c>
      <c r="F48" s="145">
        <v>60</v>
      </c>
      <c r="G48" s="146">
        <v>110</v>
      </c>
      <c r="H48" s="190"/>
      <c r="I48" s="193"/>
      <c r="J48" s="103"/>
      <c r="K48" s="165"/>
      <c r="L48" s="166"/>
      <c r="M48" s="167"/>
      <c r="N48" s="139"/>
      <c r="O48" s="129"/>
      <c r="P48" s="130"/>
      <c r="Q48" s="128"/>
      <c r="R48" s="128"/>
      <c r="S48" s="103"/>
      <c r="T48" s="292"/>
      <c r="U48" s="293"/>
      <c r="V48" s="294"/>
      <c r="W48" s="24"/>
      <c r="X48" s="4"/>
      <c r="Y48" s="70"/>
      <c r="Z48" s="5"/>
      <c r="AA48" s="5"/>
      <c r="AB48" s="106"/>
      <c r="AC48" s="202"/>
      <c r="AD48" s="203"/>
      <c r="AE48" s="203"/>
      <c r="AF48" s="45" t="str">
        <f t="shared" ref="AF48:AF64" si="11">E45</f>
        <v>Asne</v>
      </c>
      <c r="AG48" s="46">
        <f>IF($AG$47="outro valor","-----",F45)</f>
        <v>70</v>
      </c>
      <c r="AH48" s="46">
        <f t="shared" ref="AH48:AH50" si="12">IF($AG$47="outro valor","-----",G45)</f>
        <v>130</v>
      </c>
      <c r="AI48" s="171" t="str">
        <f>H45</f>
        <v>μm</v>
      </c>
      <c r="AK48" s="41"/>
    </row>
    <row r="49" spans="1:35" ht="18" customHeight="1" x14ac:dyDescent="0.25">
      <c r="A49" s="102"/>
      <c r="B49" s="288"/>
      <c r="C49" s="149" t="s">
        <v>46</v>
      </c>
      <c r="D49" s="252"/>
      <c r="E49" s="143" t="s">
        <v>163</v>
      </c>
      <c r="F49" s="145">
        <v>400</v>
      </c>
      <c r="G49" s="146">
        <v>600</v>
      </c>
      <c r="H49" s="190"/>
      <c r="I49" s="193"/>
      <c r="J49" s="103"/>
      <c r="K49" s="165"/>
      <c r="L49" s="166"/>
      <c r="M49" s="167"/>
      <c r="N49" s="139"/>
      <c r="O49" s="129"/>
      <c r="P49" s="130"/>
      <c r="Q49" s="128"/>
      <c r="R49" s="128"/>
      <c r="S49" s="103"/>
      <c r="T49" s="292"/>
      <c r="U49" s="293"/>
      <c r="V49" s="294"/>
      <c r="W49" s="24"/>
      <c r="X49" s="4"/>
      <c r="Y49" s="70"/>
      <c r="Z49" s="5"/>
      <c r="AA49" s="5"/>
      <c r="AB49" s="106"/>
      <c r="AC49" s="202"/>
      <c r="AD49" s="203"/>
      <c r="AE49" s="203"/>
      <c r="AF49" s="45" t="str">
        <f t="shared" si="11"/>
        <v>Tsn</v>
      </c>
      <c r="AG49" s="46">
        <f t="shared" ref="AG49:AG50" si="13">IF($AG$47="outro valor","-----",F46)</f>
        <v>400</v>
      </c>
      <c r="AH49" s="46">
        <f t="shared" si="12"/>
        <v>600</v>
      </c>
      <c r="AI49" s="172"/>
    </row>
    <row r="50" spans="1:35" ht="18" customHeight="1" thickBot="1" x14ac:dyDescent="0.3">
      <c r="A50" s="102"/>
      <c r="B50" s="219"/>
      <c r="C50" s="150" t="s">
        <v>160</v>
      </c>
      <c r="D50" s="253"/>
      <c r="E50" s="131" t="s">
        <v>162</v>
      </c>
      <c r="F50" s="147">
        <v>460</v>
      </c>
      <c r="G50" s="147">
        <v>710</v>
      </c>
      <c r="H50" s="191"/>
      <c r="I50" s="194"/>
      <c r="J50" s="103"/>
      <c r="K50" s="165"/>
      <c r="L50" s="166"/>
      <c r="M50" s="167"/>
      <c r="N50" s="139"/>
      <c r="O50" s="129"/>
      <c r="P50" s="130"/>
      <c r="Q50" s="128"/>
      <c r="R50" s="128"/>
      <c r="S50" s="103"/>
      <c r="T50" s="292"/>
      <c r="U50" s="293"/>
      <c r="V50" s="294"/>
      <c r="W50" s="24"/>
      <c r="X50" s="4"/>
      <c r="Y50" s="70"/>
      <c r="Z50" s="5"/>
      <c r="AA50" s="5"/>
      <c r="AB50" s="106"/>
      <c r="AC50" s="204"/>
      <c r="AD50" s="205"/>
      <c r="AE50" s="205"/>
      <c r="AF50" s="45" t="str">
        <f t="shared" si="11"/>
        <v>Asni</v>
      </c>
      <c r="AG50" s="46">
        <f t="shared" si="13"/>
        <v>470</v>
      </c>
      <c r="AH50" s="46">
        <f t="shared" si="12"/>
        <v>730</v>
      </c>
      <c r="AI50" s="173"/>
    </row>
    <row r="51" spans="1:35" ht="18" customHeight="1" x14ac:dyDescent="0.25">
      <c r="A51" s="102"/>
      <c r="B51" s="286" t="s">
        <v>173</v>
      </c>
      <c r="C51" s="287"/>
      <c r="D51" s="151" t="s">
        <v>142</v>
      </c>
      <c r="E51" s="133" t="s">
        <v>174</v>
      </c>
      <c r="F51" s="140" cm="1">
        <f t="array" ref="F51">sn($F$10,F35,$F$11)</f>
        <v>9.8740164341518959</v>
      </c>
      <c r="G51" s="140" cm="1">
        <f t="array" ref="G51">sn($F$10,G35,$F$11)</f>
        <v>9.0941281772129123</v>
      </c>
      <c r="H51" s="189" t="s">
        <v>28</v>
      </c>
      <c r="I51" s="192"/>
      <c r="J51" s="103"/>
      <c r="K51" s="165"/>
      <c r="L51" s="166"/>
      <c r="M51" s="167"/>
      <c r="N51" s="139"/>
      <c r="O51" s="129"/>
      <c r="P51" s="130"/>
      <c r="Q51" s="128"/>
      <c r="R51" s="128"/>
      <c r="S51" s="103"/>
      <c r="T51" s="292"/>
      <c r="U51" s="293"/>
      <c r="V51" s="294"/>
      <c r="W51" s="24"/>
      <c r="X51" s="4"/>
      <c r="Y51" s="70"/>
      <c r="Z51" s="5"/>
      <c r="AA51" s="5"/>
      <c r="AB51" s="106"/>
      <c r="AC51" s="168" t="str">
        <f>B48</f>
        <v>Tolerância na espessura do dente quando for escolhido campo = outro valor</v>
      </c>
      <c r="AD51" s="195"/>
      <c r="AE51" s="195"/>
      <c r="AF51" s="45" t="str">
        <f t="shared" si="11"/>
        <v>Asne</v>
      </c>
      <c r="AG51" s="46" t="str">
        <f t="shared" ref="AG51:AH53" si="14">IF($AG$47="outro valor",F48,"-----")</f>
        <v>-----</v>
      </c>
      <c r="AH51" s="46" t="str">
        <f t="shared" si="14"/>
        <v>-----</v>
      </c>
      <c r="AI51" s="171" t="s">
        <v>184</v>
      </c>
    </row>
    <row r="52" spans="1:35" ht="18" customHeight="1" x14ac:dyDescent="0.25">
      <c r="A52" s="102"/>
      <c r="B52" s="288"/>
      <c r="C52" s="289"/>
      <c r="D52" s="148" t="s">
        <v>137</v>
      </c>
      <c r="E52" s="127" t="s">
        <v>175</v>
      </c>
      <c r="F52" s="129" cm="1">
        <f t="array" ref="F52">espcor($F$44,F51,F45,F48)</f>
        <v>9.8040164341518956</v>
      </c>
      <c r="G52" s="129" cm="1">
        <f t="array" ref="G52">espcor($F$44,G51,G45,G48)</f>
        <v>8.9641281772129116</v>
      </c>
      <c r="H52" s="190"/>
      <c r="I52" s="193"/>
      <c r="J52" s="103"/>
      <c r="K52" s="165"/>
      <c r="L52" s="166"/>
      <c r="M52" s="167"/>
      <c r="N52" s="139"/>
      <c r="O52" s="129"/>
      <c r="P52" s="130"/>
      <c r="Q52" s="128"/>
      <c r="R52" s="128"/>
      <c r="S52" s="103"/>
      <c r="T52" s="67"/>
      <c r="U52" s="68"/>
      <c r="V52" s="69"/>
      <c r="W52" s="24"/>
      <c r="X52" s="4"/>
      <c r="Y52" s="70"/>
      <c r="Z52" s="5"/>
      <c r="AA52" s="5"/>
      <c r="AB52" s="106"/>
      <c r="AC52" s="169"/>
      <c r="AD52" s="196"/>
      <c r="AE52" s="196"/>
      <c r="AF52" s="45" t="str">
        <f t="shared" si="11"/>
        <v>Tsn</v>
      </c>
      <c r="AG52" s="46" t="str">
        <f t="shared" si="14"/>
        <v>-----</v>
      </c>
      <c r="AH52" s="46" t="str">
        <f t="shared" si="14"/>
        <v>-----</v>
      </c>
      <c r="AI52" s="172"/>
    </row>
    <row r="53" spans="1:35" ht="18" customHeight="1" x14ac:dyDescent="0.25">
      <c r="A53" s="102"/>
      <c r="B53" s="290"/>
      <c r="C53" s="291"/>
      <c r="D53" s="148" t="s">
        <v>138</v>
      </c>
      <c r="E53" s="127" t="s">
        <v>176</v>
      </c>
      <c r="F53" s="129" cm="1">
        <f t="array" ref="F53">espcor($F$44,F51,F47,F50)</f>
        <v>9.4040164341518953</v>
      </c>
      <c r="G53" s="129" cm="1">
        <f t="array" ref="G53">espcor($F$44,G51,G47,G50)</f>
        <v>8.3641281772129119</v>
      </c>
      <c r="H53" s="210"/>
      <c r="I53" s="208"/>
      <c r="J53" s="103"/>
      <c r="K53" s="165"/>
      <c r="L53" s="166"/>
      <c r="M53" s="167"/>
      <c r="N53" s="139"/>
      <c r="O53" s="129"/>
      <c r="P53" s="130"/>
      <c r="Q53" s="128"/>
      <c r="R53" s="128"/>
      <c r="S53" s="103"/>
      <c r="T53" s="292"/>
      <c r="U53" s="293"/>
      <c r="V53" s="294"/>
      <c r="W53" s="24"/>
      <c r="X53" s="4"/>
      <c r="Y53" s="70"/>
      <c r="Z53" s="5"/>
      <c r="AA53" s="5"/>
      <c r="AB53" s="106"/>
      <c r="AC53" s="170"/>
      <c r="AD53" s="197"/>
      <c r="AE53" s="197"/>
      <c r="AF53" s="45" t="str">
        <f t="shared" si="11"/>
        <v>Asni</v>
      </c>
      <c r="AG53" s="46" t="str">
        <f t="shared" si="14"/>
        <v>-----</v>
      </c>
      <c r="AH53" s="46" t="str">
        <f t="shared" si="14"/>
        <v>-----</v>
      </c>
      <c r="AI53" s="173"/>
    </row>
    <row r="54" spans="1:35" ht="18" customHeight="1" x14ac:dyDescent="0.25">
      <c r="A54" s="102"/>
      <c r="B54" s="217" t="s">
        <v>183</v>
      </c>
      <c r="C54" s="218"/>
      <c r="D54" s="148" t="s">
        <v>177</v>
      </c>
      <c r="E54" s="221" t="s">
        <v>71</v>
      </c>
      <c r="F54" s="141" cm="1">
        <f t="array" ref="F54">Xti(F52,$F$10,$F$11)</f>
        <v>0.53576765806381765</v>
      </c>
      <c r="G54" s="141" cm="1">
        <f t="array" ref="G54">Xti(G52,$F$10,$F$11)</f>
        <v>0.30501025598332132</v>
      </c>
      <c r="H54" s="211"/>
      <c r="I54" s="209"/>
      <c r="J54" s="103"/>
      <c r="K54" s="165"/>
      <c r="L54" s="166"/>
      <c r="M54" s="167"/>
      <c r="N54" s="139"/>
      <c r="O54" s="129"/>
      <c r="P54" s="130"/>
      <c r="Q54" s="128"/>
      <c r="R54" s="128"/>
      <c r="S54" s="103"/>
      <c r="T54" s="292"/>
      <c r="U54" s="293"/>
      <c r="V54" s="294"/>
      <c r="W54" s="24"/>
      <c r="X54" s="4"/>
      <c r="Y54" s="70"/>
      <c r="Z54" s="5"/>
      <c r="AA54" s="5"/>
      <c r="AB54" s="106"/>
      <c r="AC54" s="168" t="str">
        <f t="shared" ref="AC54" si="15">B51</f>
        <v>Espessura em arco do dente no plano normal no diâmetro primitivo</v>
      </c>
      <c r="AD54" s="195"/>
      <c r="AE54" s="49" t="str">
        <f>D51</f>
        <v>Nominal</v>
      </c>
      <c r="AF54" s="45" t="str">
        <f t="shared" si="11"/>
        <v>san</v>
      </c>
      <c r="AG54" s="66">
        <f t="shared" ref="AG54:AH54" si="16">F51</f>
        <v>9.8740164341518959</v>
      </c>
      <c r="AH54" s="66">
        <f t="shared" si="16"/>
        <v>9.0941281772129123</v>
      </c>
      <c r="AI54" s="171" t="str">
        <f>H51</f>
        <v>mm</v>
      </c>
    </row>
    <row r="55" spans="1:35" ht="18" customHeight="1" thickBot="1" x14ac:dyDescent="0.3">
      <c r="A55" s="102"/>
      <c r="B55" s="219"/>
      <c r="C55" s="220"/>
      <c r="D55" s="152" t="s">
        <v>178</v>
      </c>
      <c r="E55" s="222"/>
      <c r="F55" s="153" cm="1">
        <f t="array" ref="F55">Xti(F53,$F$10,$F$11)</f>
        <v>0.4258685612856325</v>
      </c>
      <c r="G55" s="153" cm="1">
        <f t="array" ref="G55">Xti(G53,$F$10,$F$11)</f>
        <v>0.14016161081604386</v>
      </c>
      <c r="H55" s="212"/>
      <c r="I55" s="194"/>
      <c r="J55" s="103"/>
      <c r="K55" s="165"/>
      <c r="L55" s="166"/>
      <c r="M55" s="167"/>
      <c r="N55" s="139"/>
      <c r="O55" s="129"/>
      <c r="P55" s="130"/>
      <c r="Q55" s="128"/>
      <c r="R55" s="128"/>
      <c r="S55" s="103"/>
      <c r="T55" s="292"/>
      <c r="U55" s="293"/>
      <c r="V55" s="294"/>
      <c r="W55" s="24"/>
      <c r="X55" s="4"/>
      <c r="Y55" s="70"/>
      <c r="Z55" s="5"/>
      <c r="AA55" s="5"/>
      <c r="AB55" s="106"/>
      <c r="AC55" s="169"/>
      <c r="AD55" s="196"/>
      <c r="AE55" s="49" t="str">
        <f t="shared" ref="AD55:AE64" si="17">D52</f>
        <v>Máximo</v>
      </c>
      <c r="AF55" s="45" t="str">
        <f t="shared" si="11"/>
        <v>sanmáx</v>
      </c>
      <c r="AG55" s="66">
        <f t="shared" ref="AG55:AH55" si="18">F52</f>
        <v>9.8040164341518956</v>
      </c>
      <c r="AH55" s="66">
        <f t="shared" si="18"/>
        <v>8.9641281772129116</v>
      </c>
      <c r="AI55" s="172"/>
    </row>
    <row r="56" spans="1:35" ht="18" customHeight="1" x14ac:dyDescent="0.25">
      <c r="A56" s="102"/>
      <c r="B56" s="226" t="s">
        <v>116</v>
      </c>
      <c r="C56" s="224" t="s">
        <v>143</v>
      </c>
      <c r="D56" s="154" t="s">
        <v>117</v>
      </c>
      <c r="E56" s="144" t="s">
        <v>60</v>
      </c>
      <c r="F56" s="155" cm="1">
        <f t="array" ref="F56">ha($F$10,F35,$F$40,$F$38)</f>
        <v>7.5094589732726869</v>
      </c>
      <c r="G56" s="155" cm="1">
        <f t="array" ref="G56">ha($F$10,G35,$F$40,$F$38)</f>
        <v>6.4380962854538426</v>
      </c>
      <c r="H56" s="190" t="s">
        <v>28</v>
      </c>
      <c r="I56" s="193"/>
      <c r="J56" s="103"/>
      <c r="K56" s="165"/>
      <c r="L56" s="166"/>
      <c r="M56" s="167"/>
      <c r="N56" s="139"/>
      <c r="O56" s="129"/>
      <c r="P56" s="130"/>
      <c r="Q56" s="128"/>
      <c r="R56" s="128"/>
      <c r="S56" s="103"/>
      <c r="T56" s="292"/>
      <c r="U56" s="293"/>
      <c r="V56" s="294"/>
      <c r="W56" s="24"/>
      <c r="X56" s="4"/>
      <c r="Y56" s="70"/>
      <c r="Z56" s="5"/>
      <c r="AA56" s="5"/>
      <c r="AB56" s="106"/>
      <c r="AC56" s="170"/>
      <c r="AD56" s="197"/>
      <c r="AE56" s="49" t="str">
        <f t="shared" si="17"/>
        <v>Mínimo</v>
      </c>
      <c r="AF56" s="45" t="str">
        <f t="shared" si="11"/>
        <v>samin</v>
      </c>
      <c r="AG56" s="66">
        <f t="shared" ref="AG56:AH56" si="19">F53</f>
        <v>9.4040164341518953</v>
      </c>
      <c r="AH56" s="66">
        <f t="shared" si="19"/>
        <v>8.3641281772129119</v>
      </c>
      <c r="AI56" s="173"/>
    </row>
    <row r="57" spans="1:35" ht="18" customHeight="1" x14ac:dyDescent="0.25">
      <c r="A57" s="102"/>
      <c r="B57" s="226"/>
      <c r="C57" s="224"/>
      <c r="D57" s="149" t="s">
        <v>118</v>
      </c>
      <c r="E57" s="127" t="s">
        <v>61</v>
      </c>
      <c r="F57" s="129" cm="1">
        <f t="array" ref="F57">hf($F$10,$F$42,F35)</f>
        <v>3.4749999999999996</v>
      </c>
      <c r="G57" s="129" cm="1">
        <f t="array" ref="G57">hf($F$10,$F$42,G35)</f>
        <v>4.546362687818843</v>
      </c>
      <c r="H57" s="190"/>
      <c r="I57" s="193"/>
      <c r="J57" s="103"/>
      <c r="K57" s="165"/>
      <c r="L57" s="166"/>
      <c r="M57" s="167"/>
      <c r="N57" s="139"/>
      <c r="O57" s="129"/>
      <c r="P57" s="130"/>
      <c r="Q57" s="128"/>
      <c r="R57" s="128"/>
      <c r="S57" s="103"/>
      <c r="T57" s="292"/>
      <c r="U57" s="293"/>
      <c r="V57" s="294"/>
      <c r="W57" s="24"/>
      <c r="X57" s="4"/>
      <c r="Y57" s="70"/>
      <c r="Z57" s="5"/>
      <c r="AA57" s="5"/>
      <c r="AB57" s="106"/>
      <c r="AC57" s="168" t="str">
        <f>B54</f>
        <v>Correção considerando as tolerâncias da espessura do dente (correção real).</v>
      </c>
      <c r="AD57" s="195"/>
      <c r="AE57" s="49" t="str">
        <f t="shared" si="17"/>
        <v>Máxima</v>
      </c>
      <c r="AF57" s="206" t="str">
        <f t="shared" si="11"/>
        <v>x1,2</v>
      </c>
      <c r="AG57" s="71">
        <f t="shared" ref="AG57:AH57" si="20">F54</f>
        <v>0.53576765806381765</v>
      </c>
      <c r="AH57" s="71">
        <f t="shared" si="20"/>
        <v>0.30501025598332132</v>
      </c>
      <c r="AI57" s="171"/>
    </row>
    <row r="58" spans="1:35" ht="18" customHeight="1" x14ac:dyDescent="0.25">
      <c r="A58" s="102"/>
      <c r="B58" s="226"/>
      <c r="C58" s="331"/>
      <c r="D58" s="149" t="s">
        <v>119</v>
      </c>
      <c r="E58" s="127" t="s">
        <v>66</v>
      </c>
      <c r="F58" s="129">
        <f>F56+F57</f>
        <v>10.984458973272687</v>
      </c>
      <c r="G58" s="129">
        <f>G56+G57</f>
        <v>10.984458973272686</v>
      </c>
      <c r="H58" s="210"/>
      <c r="I58" s="208"/>
      <c r="J58" s="103"/>
      <c r="K58" s="165"/>
      <c r="L58" s="166"/>
      <c r="M58" s="167"/>
      <c r="N58" s="139"/>
      <c r="O58" s="129"/>
      <c r="P58" s="130"/>
      <c r="Q58" s="128"/>
      <c r="R58" s="128"/>
      <c r="S58" s="103"/>
      <c r="T58" s="292"/>
      <c r="U58" s="293"/>
      <c r="V58" s="294"/>
      <c r="W58" s="24"/>
      <c r="X58" s="4"/>
      <c r="Y58" s="70"/>
      <c r="Z58" s="5"/>
      <c r="AA58" s="5"/>
      <c r="AB58" s="106"/>
      <c r="AC58" s="170"/>
      <c r="AD58" s="197"/>
      <c r="AE58" s="49" t="str">
        <f t="shared" si="17"/>
        <v>Mínima</v>
      </c>
      <c r="AF58" s="207"/>
      <c r="AG58" s="71">
        <f t="shared" ref="AG58:AH58" si="21">F55</f>
        <v>0.4258685612856325</v>
      </c>
      <c r="AH58" s="71">
        <f t="shared" si="21"/>
        <v>0.14016161081604386</v>
      </c>
      <c r="AI58" s="173"/>
    </row>
    <row r="59" spans="1:35" ht="18" customHeight="1" x14ac:dyDescent="0.25">
      <c r="A59" s="102"/>
      <c r="B59" s="226"/>
      <c r="C59" s="223" t="s">
        <v>182</v>
      </c>
      <c r="D59" s="149" t="s">
        <v>117</v>
      </c>
      <c r="E59" s="127" t="s">
        <v>180</v>
      </c>
      <c r="F59" s="129" cm="1">
        <f t="array" ref="F59">ha($F$10,F54,$F$40,$F$38)</f>
        <v>7.4132972635917742</v>
      </c>
      <c r="G59" s="129" cm="1">
        <f t="array" ref="G59">ha($F$10,G54,$F$40,$F$38)</f>
        <v>6.2595102531892932</v>
      </c>
      <c r="H59" s="188" t="s">
        <v>28</v>
      </c>
      <c r="I59" s="209"/>
      <c r="J59" s="103"/>
      <c r="K59" s="165"/>
      <c r="L59" s="166"/>
      <c r="M59" s="167"/>
      <c r="N59" s="139"/>
      <c r="O59" s="129"/>
      <c r="P59" s="130"/>
      <c r="Q59" s="128"/>
      <c r="R59" s="128"/>
      <c r="S59" s="103"/>
      <c r="T59" s="292"/>
      <c r="U59" s="293"/>
      <c r="V59" s="294"/>
      <c r="W59" s="24"/>
      <c r="X59" s="4"/>
      <c r="Y59" s="70"/>
      <c r="Z59" s="5"/>
      <c r="AA59" s="5"/>
      <c r="AB59" s="106"/>
      <c r="AC59" s="200" t="str">
        <f t="shared" ref="AC59" si="22">B56</f>
        <v>Altura do dente</v>
      </c>
      <c r="AD59" s="195" t="str">
        <f t="shared" si="17"/>
        <v>Com a correção adotada</v>
      </c>
      <c r="AE59" s="49" t="str">
        <f t="shared" si="17"/>
        <v>da cabeça</v>
      </c>
      <c r="AF59" s="45" t="str">
        <f t="shared" si="11"/>
        <v>ha</v>
      </c>
      <c r="AG59" s="66">
        <f t="shared" ref="AG59:AH59" si="23">F56</f>
        <v>7.5094589732726869</v>
      </c>
      <c r="AH59" s="66">
        <f t="shared" si="23"/>
        <v>6.4380962854538426</v>
      </c>
      <c r="AI59" s="171" t="str">
        <f>H56</f>
        <v>mm</v>
      </c>
    </row>
    <row r="60" spans="1:35" ht="18" customHeight="1" x14ac:dyDescent="0.25">
      <c r="A60" s="102"/>
      <c r="B60" s="226"/>
      <c r="C60" s="224"/>
      <c r="D60" s="149" t="s">
        <v>118</v>
      </c>
      <c r="E60" s="127" t="s">
        <v>181</v>
      </c>
      <c r="F60" s="129" cm="1">
        <f t="array" ref="F60">hf($F$10,$F$42,F54)</f>
        <v>3.5711617096809118</v>
      </c>
      <c r="G60" s="129" cm="1">
        <f t="array" ref="G60">hf($F$10,$F$42,G54)</f>
        <v>4.7249487200833933</v>
      </c>
      <c r="H60" s="190"/>
      <c r="I60" s="193"/>
      <c r="J60" s="103"/>
      <c r="K60" s="165"/>
      <c r="L60" s="166"/>
      <c r="M60" s="167"/>
      <c r="N60" s="139"/>
      <c r="O60" s="129"/>
      <c r="P60" s="130"/>
      <c r="Q60" s="128"/>
      <c r="R60" s="128"/>
      <c r="S60" s="103"/>
      <c r="T60" s="292"/>
      <c r="U60" s="293"/>
      <c r="V60" s="294"/>
      <c r="W60" s="24"/>
      <c r="X60" s="4"/>
      <c r="Y60" s="70"/>
      <c r="Z60" s="5"/>
      <c r="AA60" s="5"/>
      <c r="AB60" s="106"/>
      <c r="AC60" s="202"/>
      <c r="AD60" s="196"/>
      <c r="AE60" s="49" t="str">
        <f t="shared" si="17"/>
        <v>do fundo ou pé</v>
      </c>
      <c r="AF60" s="45" t="str">
        <f t="shared" si="11"/>
        <v>hf</v>
      </c>
      <c r="AG60" s="66">
        <f t="shared" ref="AG60:AH60" si="24">F57</f>
        <v>3.4749999999999996</v>
      </c>
      <c r="AH60" s="66">
        <f t="shared" si="24"/>
        <v>4.546362687818843</v>
      </c>
      <c r="AI60" s="172"/>
    </row>
    <row r="61" spans="1:35" ht="18" customHeight="1" thickBot="1" x14ac:dyDescent="0.3">
      <c r="A61" s="102"/>
      <c r="B61" s="227"/>
      <c r="C61" s="225"/>
      <c r="D61" s="150" t="s">
        <v>119</v>
      </c>
      <c r="E61" s="131" t="s">
        <v>66</v>
      </c>
      <c r="F61" s="156">
        <f>F59+F60</f>
        <v>10.984458973272686</v>
      </c>
      <c r="G61" s="156">
        <f>G59+G60</f>
        <v>10.984458973272687</v>
      </c>
      <c r="H61" s="191"/>
      <c r="I61" s="194"/>
      <c r="J61" s="103"/>
      <c r="K61" s="165"/>
      <c r="L61" s="166"/>
      <c r="M61" s="167"/>
      <c r="N61" s="139"/>
      <c r="O61" s="129"/>
      <c r="P61" s="130"/>
      <c r="Q61" s="128"/>
      <c r="R61" s="128"/>
      <c r="S61" s="103"/>
      <c r="T61" s="292"/>
      <c r="U61" s="293"/>
      <c r="V61" s="294"/>
      <c r="W61" s="24"/>
      <c r="X61" s="4"/>
      <c r="Y61" s="70"/>
      <c r="Z61" s="5"/>
      <c r="AA61" s="5"/>
      <c r="AB61" s="106"/>
      <c r="AC61" s="202"/>
      <c r="AD61" s="197"/>
      <c r="AE61" s="49" t="str">
        <f t="shared" si="17"/>
        <v>total</v>
      </c>
      <c r="AF61" s="45" t="str">
        <f t="shared" si="11"/>
        <v>h</v>
      </c>
      <c r="AG61" s="66">
        <f t="shared" ref="AG61:AH61" si="25">F58</f>
        <v>10.984458973272687</v>
      </c>
      <c r="AH61" s="66">
        <f t="shared" si="25"/>
        <v>10.984458973272686</v>
      </c>
      <c r="AI61" s="173"/>
    </row>
    <row r="62" spans="1:35" ht="16.5" thickBot="1" x14ac:dyDescent="0.3">
      <c r="A62" s="102"/>
      <c r="B62" s="103"/>
      <c r="C62" s="103"/>
      <c r="D62" s="103"/>
      <c r="E62" s="104"/>
      <c r="F62" s="104"/>
      <c r="G62" s="104"/>
      <c r="H62" s="104"/>
      <c r="I62" s="103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03"/>
      <c r="V62" s="103"/>
      <c r="W62" s="104"/>
      <c r="X62" s="104"/>
      <c r="Y62" s="104"/>
      <c r="Z62" s="104"/>
      <c r="AA62" s="103"/>
      <c r="AB62" s="113"/>
      <c r="AC62" s="202"/>
      <c r="AD62" s="195" t="str">
        <f t="shared" si="17"/>
        <v>Com a correção máxima real  e com o mesmo valor de k</v>
      </c>
      <c r="AE62" s="49" t="str">
        <f t="shared" si="17"/>
        <v>da cabeça</v>
      </c>
      <c r="AF62" s="45" t="str">
        <f t="shared" si="11"/>
        <v>hamax</v>
      </c>
      <c r="AG62" s="66">
        <f t="shared" ref="AG62:AH62" si="26">F59</f>
        <v>7.4132972635917742</v>
      </c>
      <c r="AH62" s="66">
        <f t="shared" si="26"/>
        <v>6.2595102531892932</v>
      </c>
      <c r="AI62" s="171" t="str">
        <f>H59</f>
        <v>mm</v>
      </c>
    </row>
    <row r="63" spans="1:35" x14ac:dyDescent="0.25">
      <c r="A63" s="102"/>
      <c r="B63" s="309" t="s">
        <v>90</v>
      </c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82"/>
      <c r="O63" s="82"/>
      <c r="P63" s="82"/>
      <c r="Q63" s="82"/>
      <c r="R63" s="82"/>
      <c r="S63" s="82"/>
      <c r="T63" s="82"/>
      <c r="U63" s="83"/>
      <c r="V63" s="83"/>
      <c r="W63" s="83"/>
      <c r="X63" s="83"/>
      <c r="Y63" s="83"/>
      <c r="Z63" s="83"/>
      <c r="AA63" s="84"/>
      <c r="AB63" s="113"/>
      <c r="AC63" s="202"/>
      <c r="AD63" s="196"/>
      <c r="AE63" s="49" t="str">
        <f t="shared" si="17"/>
        <v>do fundo ou pé</v>
      </c>
      <c r="AF63" s="45" t="str">
        <f t="shared" si="11"/>
        <v>hfmax</v>
      </c>
      <c r="AG63" s="66">
        <f t="shared" ref="AG63:AH63" si="27">F60</f>
        <v>3.5711617096809118</v>
      </c>
      <c r="AH63" s="66">
        <f t="shared" si="27"/>
        <v>4.7249487200833933</v>
      </c>
      <c r="AI63" s="172"/>
    </row>
    <row r="64" spans="1:35" x14ac:dyDescent="0.25">
      <c r="A64" s="102"/>
      <c r="B64" s="306" t="s">
        <v>91</v>
      </c>
      <c r="C64" s="307"/>
      <c r="D64" s="307"/>
      <c r="E64" s="307"/>
      <c r="F64" s="307"/>
      <c r="G64" s="307"/>
      <c r="H64" s="307"/>
      <c r="I64" s="307"/>
      <c r="J64" s="307"/>
      <c r="K64" s="307"/>
      <c r="L64" s="307"/>
      <c r="M64" s="307"/>
      <c r="N64" s="85"/>
      <c r="O64" s="85"/>
      <c r="P64" s="86"/>
      <c r="Q64" s="86"/>
      <c r="R64" s="87"/>
      <c r="S64" s="87"/>
      <c r="T64" s="87"/>
      <c r="U64" s="87"/>
      <c r="V64" s="87"/>
      <c r="W64" s="86"/>
      <c r="X64" s="88"/>
      <c r="Y64" s="88"/>
      <c r="Z64" s="88"/>
      <c r="AA64" s="89"/>
      <c r="AB64" s="113"/>
      <c r="AC64" s="204"/>
      <c r="AD64" s="197"/>
      <c r="AE64" s="49" t="str">
        <f t="shared" si="17"/>
        <v>total</v>
      </c>
      <c r="AF64" s="45" t="str">
        <f t="shared" si="11"/>
        <v>h</v>
      </c>
      <c r="AG64" s="66">
        <f t="shared" ref="AG64:AH64" si="28">F61</f>
        <v>10.984458973272686</v>
      </c>
      <c r="AH64" s="66">
        <f t="shared" si="28"/>
        <v>10.984458973272687</v>
      </c>
      <c r="AI64" s="173"/>
    </row>
    <row r="65" spans="1:35" x14ac:dyDescent="0.25">
      <c r="A65" s="102"/>
      <c r="B65" s="306" t="s">
        <v>97</v>
      </c>
      <c r="C65" s="307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85"/>
      <c r="O65" s="85"/>
      <c r="P65" s="86"/>
      <c r="Q65" s="86"/>
      <c r="R65" s="87"/>
      <c r="S65" s="87"/>
      <c r="T65" s="87"/>
      <c r="U65" s="87"/>
      <c r="V65" s="87"/>
      <c r="W65" s="86"/>
      <c r="X65" s="88"/>
      <c r="Y65" s="88"/>
      <c r="Z65" s="88"/>
      <c r="AA65" s="89"/>
      <c r="AB65" s="113"/>
      <c r="AC65" s="168" t="str">
        <f>K8</f>
        <v xml:space="preserve">Tolerância para os diâmetros externos </v>
      </c>
      <c r="AD65" s="195"/>
      <c r="AE65" s="49" t="str">
        <f>M8</f>
        <v>Campo e qualid.</v>
      </c>
      <c r="AF65" s="45"/>
      <c r="AG65" s="198" t="str">
        <f t="shared" ref="AG65:AI67" si="29">O8</f>
        <v>h9</v>
      </c>
      <c r="AH65" s="198"/>
      <c r="AI65" s="46"/>
    </row>
    <row r="66" spans="1:35" x14ac:dyDescent="0.25">
      <c r="A66" s="102"/>
      <c r="B66" s="306" t="s">
        <v>94</v>
      </c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85"/>
      <c r="O66" s="85"/>
      <c r="P66" s="86"/>
      <c r="Q66" s="86"/>
      <c r="R66" s="87"/>
      <c r="S66" s="87"/>
      <c r="T66" s="87"/>
      <c r="U66" s="87"/>
      <c r="V66" s="87"/>
      <c r="W66" s="86"/>
      <c r="X66" s="88"/>
      <c r="Y66" s="88"/>
      <c r="Z66" s="88"/>
      <c r="AA66" s="89"/>
      <c r="AB66" s="113"/>
      <c r="AC66" s="169"/>
      <c r="AD66" s="196"/>
      <c r="AE66" s="49" t="str">
        <f t="shared" ref="AE66:AE67" si="30">M9</f>
        <v>Afast. Superior</v>
      </c>
      <c r="AF66" s="45"/>
      <c r="AG66" s="66">
        <f t="shared" si="29"/>
        <v>0</v>
      </c>
      <c r="AH66" s="66">
        <f t="shared" si="29"/>
        <v>0</v>
      </c>
      <c r="AI66" s="171" t="str">
        <f t="shared" si="29"/>
        <v>mm</v>
      </c>
    </row>
    <row r="67" spans="1:35" x14ac:dyDescent="0.25">
      <c r="A67" s="102"/>
      <c r="B67" s="306" t="s">
        <v>93</v>
      </c>
      <c r="C67" s="307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85"/>
      <c r="O67" s="85"/>
      <c r="P67" s="86"/>
      <c r="Q67" s="86"/>
      <c r="R67" s="87"/>
      <c r="S67" s="87"/>
      <c r="T67" s="87"/>
      <c r="U67" s="87"/>
      <c r="V67" s="87"/>
      <c r="W67" s="86"/>
      <c r="X67" s="88"/>
      <c r="Y67" s="88"/>
      <c r="Z67" s="88"/>
      <c r="AA67" s="89"/>
      <c r="AB67" s="113"/>
      <c r="AC67" s="170"/>
      <c r="AD67" s="197"/>
      <c r="AE67" s="49" t="str">
        <f t="shared" si="30"/>
        <v>Afast. Inferior</v>
      </c>
      <c r="AF67" s="45"/>
      <c r="AG67" s="66">
        <f t="shared" si="29"/>
        <v>-1.2500000000000001E-2</v>
      </c>
      <c r="AH67" s="66">
        <f t="shared" si="29"/>
        <v>-1.7999999999999999E-2</v>
      </c>
      <c r="AI67" s="173"/>
    </row>
    <row r="68" spans="1:35" ht="15.75" customHeight="1" x14ac:dyDescent="0.25">
      <c r="A68" s="102"/>
      <c r="B68" s="306" t="s">
        <v>92</v>
      </c>
      <c r="C68" s="307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85"/>
      <c r="O68" s="85"/>
      <c r="P68" s="86"/>
      <c r="Q68" s="86"/>
      <c r="R68" s="87"/>
      <c r="S68" s="87"/>
      <c r="T68" s="87"/>
      <c r="U68" s="87"/>
      <c r="V68" s="87"/>
      <c r="W68" s="86"/>
      <c r="X68" s="88"/>
      <c r="Y68" s="88"/>
      <c r="Z68" s="88"/>
      <c r="AA68" s="89"/>
      <c r="AB68" s="113"/>
      <c r="AC68" s="168" t="str">
        <f>K11</f>
        <v>Diâmetro de cabeça com x1 e x2 nos seus valores médios</v>
      </c>
      <c r="AD68" s="49" t="str">
        <f>L11</f>
        <v>Nominal para usinagem do blanque</v>
      </c>
      <c r="AE68" s="49"/>
      <c r="AF68" s="206" t="str">
        <f>N11</f>
        <v>da</v>
      </c>
      <c r="AG68" s="47">
        <f>O11</f>
        <v>132.30207143953268</v>
      </c>
      <c r="AH68" s="47">
        <f>P11</f>
        <v>345.24361231339452</v>
      </c>
      <c r="AI68" s="171" t="s">
        <v>28</v>
      </c>
    </row>
    <row r="69" spans="1:35" x14ac:dyDescent="0.25">
      <c r="A69" s="102"/>
      <c r="B69" s="306" t="s">
        <v>95</v>
      </c>
      <c r="C69" s="307"/>
      <c r="D69" s="307"/>
      <c r="E69" s="307"/>
      <c r="F69" s="307"/>
      <c r="G69" s="307"/>
      <c r="H69" s="307"/>
      <c r="I69" s="307"/>
      <c r="J69" s="307"/>
      <c r="K69" s="307"/>
      <c r="L69" s="307"/>
      <c r="M69" s="307"/>
      <c r="N69" s="85"/>
      <c r="O69" s="85"/>
      <c r="P69" s="86"/>
      <c r="Q69" s="86"/>
      <c r="R69" s="87"/>
      <c r="S69" s="87"/>
      <c r="T69" s="87"/>
      <c r="U69" s="87"/>
      <c r="V69" s="87"/>
      <c r="W69" s="86"/>
      <c r="X69" s="88"/>
      <c r="Y69" s="88"/>
      <c r="Z69" s="88"/>
      <c r="AA69" s="89"/>
      <c r="AB69" s="113"/>
      <c r="AC69" s="169"/>
      <c r="AD69" s="49" t="str">
        <f>L12</f>
        <v xml:space="preserve">Nominal para medição </v>
      </c>
      <c r="AE69" s="49"/>
      <c r="AF69" s="207"/>
      <c r="AG69" s="47">
        <f t="shared" ref="AG69:AH73" si="31">O12</f>
        <v>127.1966726576003</v>
      </c>
      <c r="AH69" s="47">
        <f t="shared" si="31"/>
        <v>342.91759662528386</v>
      </c>
      <c r="AI69" s="172"/>
    </row>
    <row r="70" spans="1:35" x14ac:dyDescent="0.25">
      <c r="A70" s="102"/>
      <c r="B70" s="306" t="s">
        <v>96</v>
      </c>
      <c r="C70" s="307"/>
      <c r="D70" s="307"/>
      <c r="E70" s="307"/>
      <c r="F70" s="307"/>
      <c r="G70" s="307"/>
      <c r="H70" s="307"/>
      <c r="I70" s="307"/>
      <c r="J70" s="307"/>
      <c r="K70" s="307"/>
      <c r="L70" s="307"/>
      <c r="M70" s="307"/>
      <c r="N70" s="85"/>
      <c r="O70" s="85"/>
      <c r="P70" s="86"/>
      <c r="Q70" s="86"/>
      <c r="R70" s="87"/>
      <c r="S70" s="87"/>
      <c r="T70" s="87"/>
      <c r="U70" s="87"/>
      <c r="V70" s="87"/>
      <c r="W70" s="86"/>
      <c r="X70" s="88"/>
      <c r="Y70" s="88"/>
      <c r="Z70" s="88"/>
      <c r="AA70" s="89"/>
      <c r="AB70" s="113"/>
      <c r="AC70" s="169"/>
      <c r="AD70" s="195" t="str">
        <f>L13</f>
        <v>Para usinagem do blanque</v>
      </c>
      <c r="AE70" s="49" t="str">
        <f t="shared" ref="AE70:AF73" si="32">M13</f>
        <v>Máximo</v>
      </c>
      <c r="AF70" s="45" t="str">
        <f t="shared" si="32"/>
        <v>damaxub</v>
      </c>
      <c r="AG70" s="47">
        <f t="shared" si="31"/>
        <v>132.30207143953268</v>
      </c>
      <c r="AH70" s="47">
        <f t="shared" si="31"/>
        <v>345.24361231339452</v>
      </c>
      <c r="AI70" s="172"/>
    </row>
    <row r="71" spans="1:35" x14ac:dyDescent="0.25">
      <c r="A71" s="102"/>
      <c r="B71" s="306" t="s">
        <v>100</v>
      </c>
      <c r="C71" s="307"/>
      <c r="D71" s="307"/>
      <c r="E71" s="307"/>
      <c r="F71" s="307"/>
      <c r="G71" s="307"/>
      <c r="H71" s="307"/>
      <c r="I71" s="307"/>
      <c r="J71" s="307"/>
      <c r="K71" s="307"/>
      <c r="L71" s="307"/>
      <c r="M71" s="307"/>
      <c r="N71" s="85"/>
      <c r="O71" s="85"/>
      <c r="P71" s="86"/>
      <c r="Q71" s="86"/>
      <c r="R71" s="87"/>
      <c r="S71" s="87"/>
      <c r="T71" s="87"/>
      <c r="U71" s="87"/>
      <c r="V71" s="87"/>
      <c r="W71" s="86"/>
      <c r="X71" s="88"/>
      <c r="Y71" s="88"/>
      <c r="Z71" s="88"/>
      <c r="AA71" s="89"/>
      <c r="AB71" s="113"/>
      <c r="AC71" s="169"/>
      <c r="AD71" s="197"/>
      <c r="AE71" s="49" t="str">
        <f t="shared" si="32"/>
        <v>Mínimo</v>
      </c>
      <c r="AF71" s="45" t="str">
        <f t="shared" si="32"/>
        <v>daminub</v>
      </c>
      <c r="AG71" s="47">
        <f t="shared" si="31"/>
        <v>132.28957143953269</v>
      </c>
      <c r="AH71" s="47">
        <f t="shared" si="31"/>
        <v>345.22561231339455</v>
      </c>
      <c r="AI71" s="172"/>
    </row>
    <row r="72" spans="1:35" x14ac:dyDescent="0.25">
      <c r="A72" s="102"/>
      <c r="B72" s="90" t="s">
        <v>101</v>
      </c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85"/>
      <c r="O72" s="85"/>
      <c r="P72" s="86"/>
      <c r="Q72" s="86"/>
      <c r="R72" s="87"/>
      <c r="S72" s="87"/>
      <c r="T72" s="87"/>
      <c r="U72" s="87"/>
      <c r="V72" s="87"/>
      <c r="W72" s="86"/>
      <c r="X72" s="88"/>
      <c r="Y72" s="88"/>
      <c r="Z72" s="88"/>
      <c r="AA72" s="89"/>
      <c r="AB72" s="113"/>
      <c r="AC72" s="169"/>
      <c r="AD72" s="195" t="str">
        <f>L15</f>
        <v>Para medição após usinagem dos dentes</v>
      </c>
      <c r="AE72" s="49" t="str">
        <f t="shared" si="32"/>
        <v>Máximo</v>
      </c>
      <c r="AF72" s="45" t="str">
        <f t="shared" si="32"/>
        <v>damaxm</v>
      </c>
      <c r="AG72" s="47">
        <f t="shared" si="31"/>
        <v>127.1966726576003</v>
      </c>
      <c r="AH72" s="47">
        <f t="shared" si="31"/>
        <v>342.91759662528386</v>
      </c>
      <c r="AI72" s="172"/>
    </row>
    <row r="73" spans="1:35" x14ac:dyDescent="0.25">
      <c r="A73" s="102"/>
      <c r="B73" s="306" t="s">
        <v>102</v>
      </c>
      <c r="C73" s="307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85"/>
      <c r="O73" s="85"/>
      <c r="P73" s="86"/>
      <c r="Q73" s="86"/>
      <c r="R73" s="87"/>
      <c r="S73" s="87"/>
      <c r="T73" s="87"/>
      <c r="U73" s="87"/>
      <c r="V73" s="87"/>
      <c r="W73" s="86"/>
      <c r="X73" s="88"/>
      <c r="Y73" s="88"/>
      <c r="Z73" s="88"/>
      <c r="AA73" s="89"/>
      <c r="AB73" s="113"/>
      <c r="AC73" s="170"/>
      <c r="AD73" s="197"/>
      <c r="AE73" s="49" t="str">
        <f t="shared" si="32"/>
        <v>Mínimo</v>
      </c>
      <c r="AF73" s="45" t="str">
        <f t="shared" si="32"/>
        <v>daminm</v>
      </c>
      <c r="AG73" s="47">
        <f t="shared" si="31"/>
        <v>127.1841726576003</v>
      </c>
      <c r="AH73" s="47">
        <f t="shared" si="31"/>
        <v>342.89959662528389</v>
      </c>
      <c r="AI73" s="173"/>
    </row>
    <row r="74" spans="1:35" x14ac:dyDescent="0.25">
      <c r="A74" s="102"/>
      <c r="B74" s="306" t="s">
        <v>103</v>
      </c>
      <c r="C74" s="307"/>
      <c r="D74" s="307"/>
      <c r="E74" s="307"/>
      <c r="F74" s="307"/>
      <c r="G74" s="307"/>
      <c r="H74" s="307"/>
      <c r="I74" s="307"/>
      <c r="J74" s="307"/>
      <c r="K74" s="307"/>
      <c r="L74" s="307"/>
      <c r="M74" s="307"/>
      <c r="N74" s="85"/>
      <c r="O74" s="85"/>
      <c r="P74" s="86"/>
      <c r="Q74" s="86"/>
      <c r="R74" s="87"/>
      <c r="S74" s="87"/>
      <c r="T74" s="87"/>
      <c r="U74" s="87"/>
      <c r="V74" s="87"/>
      <c r="W74" s="86"/>
      <c r="X74" s="88"/>
      <c r="Y74" s="88"/>
      <c r="Z74" s="88"/>
      <c r="AA74" s="89"/>
      <c r="AB74" s="113"/>
      <c r="AC74" s="174" t="str">
        <f>K17</f>
        <v xml:space="preserve">Diâmetro de fundo ou pé do dente </v>
      </c>
      <c r="AD74" s="177" t="str">
        <f>L17</f>
        <v>Calculado com x nominal</v>
      </c>
      <c r="AE74" s="177"/>
      <c r="AF74" s="45" t="str">
        <f>N17</f>
        <v>df</v>
      </c>
      <c r="AG74" s="66">
        <f t="shared" ref="AG74:AH74" si="33">O17</f>
        <v>0</v>
      </c>
      <c r="AH74" s="66">
        <f t="shared" si="33"/>
        <v>0</v>
      </c>
      <c r="AI74" s="171" t="s">
        <v>28</v>
      </c>
    </row>
    <row r="75" spans="1:35" x14ac:dyDescent="0.25">
      <c r="A75" s="102"/>
      <c r="B75" s="306" t="s">
        <v>104</v>
      </c>
      <c r="C75" s="307"/>
      <c r="D75" s="307"/>
      <c r="E75" s="307"/>
      <c r="F75" s="307"/>
      <c r="G75" s="307"/>
      <c r="H75" s="307"/>
      <c r="I75" s="307"/>
      <c r="J75" s="307"/>
      <c r="K75" s="307"/>
      <c r="L75" s="307"/>
      <c r="M75" s="307"/>
      <c r="N75" s="85"/>
      <c r="O75" s="85"/>
      <c r="P75" s="86"/>
      <c r="Q75" s="86"/>
      <c r="R75" s="87"/>
      <c r="S75" s="87"/>
      <c r="T75" s="87"/>
      <c r="U75" s="87"/>
      <c r="V75" s="87"/>
      <c r="W75" s="86"/>
      <c r="X75" s="88"/>
      <c r="Y75" s="88"/>
      <c r="Z75" s="88"/>
      <c r="AA75" s="89"/>
      <c r="AB75" s="113"/>
      <c r="AC75" s="175"/>
      <c r="AD75" s="177" t="str">
        <f t="shared" ref="AD75:AD76" si="34">L18</f>
        <v>Calculado com x máximo</v>
      </c>
      <c r="AE75" s="177"/>
      <c r="AF75" s="45" t="str">
        <f t="shared" ref="AF75:AF76" si="35">N18</f>
        <v>dfmax</v>
      </c>
      <c r="AG75" s="66">
        <f t="shared" ref="AG75:AG76" si="36">O18</f>
        <v>0</v>
      </c>
      <c r="AH75" s="66">
        <f t="shared" ref="AH75:AH76" si="37">P18</f>
        <v>0</v>
      </c>
      <c r="AI75" s="172"/>
    </row>
    <row r="76" spans="1:35" ht="16.5" thickBot="1" x14ac:dyDescent="0.3">
      <c r="A76" s="102"/>
      <c r="B76" s="311" t="s">
        <v>98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92"/>
      <c r="O76" s="92"/>
      <c r="P76" s="93"/>
      <c r="Q76" s="93"/>
      <c r="R76" s="94"/>
      <c r="S76" s="94"/>
      <c r="T76" s="94"/>
      <c r="U76" s="94"/>
      <c r="V76" s="94"/>
      <c r="W76" s="93"/>
      <c r="X76" s="95"/>
      <c r="Y76" s="95"/>
      <c r="Z76" s="95"/>
      <c r="AA76" s="96"/>
      <c r="AB76" s="113"/>
      <c r="AC76" s="176"/>
      <c r="AD76" s="177" t="str">
        <f t="shared" si="34"/>
        <v>Calculado com x mínimo</v>
      </c>
      <c r="AE76" s="177"/>
      <c r="AF76" s="45" t="str">
        <f t="shared" si="35"/>
        <v>dfmin</v>
      </c>
      <c r="AG76" s="66">
        <f t="shared" si="36"/>
        <v>0</v>
      </c>
      <c r="AH76" s="66">
        <f t="shared" si="37"/>
        <v>0</v>
      </c>
      <c r="AI76" s="173"/>
    </row>
    <row r="77" spans="1:35" ht="16.5" thickBot="1" x14ac:dyDescent="0.3">
      <c r="A77" s="114"/>
      <c r="B77" s="308"/>
      <c r="C77" s="308"/>
      <c r="D77" s="308"/>
      <c r="E77" s="308"/>
      <c r="F77" s="308"/>
      <c r="G77" s="308"/>
      <c r="H77" s="308"/>
      <c r="I77" s="308"/>
      <c r="J77" s="308"/>
      <c r="K77" s="308"/>
      <c r="L77" s="308"/>
      <c r="M77" s="308"/>
      <c r="N77" s="115"/>
      <c r="O77" s="115"/>
      <c r="P77" s="116"/>
      <c r="Q77" s="116"/>
      <c r="R77" s="117"/>
      <c r="S77" s="117"/>
      <c r="T77" s="117"/>
      <c r="U77" s="117"/>
      <c r="V77" s="117"/>
      <c r="W77" s="116"/>
      <c r="X77" s="118"/>
      <c r="Y77" s="118"/>
      <c r="Z77" s="118"/>
      <c r="AA77" s="118"/>
      <c r="AB77" s="119"/>
      <c r="AC77"/>
      <c r="AD77" s="34"/>
      <c r="AE77" s="34"/>
      <c r="AF77" s="35"/>
      <c r="AG77" s="35"/>
      <c r="AH77" s="35"/>
      <c r="AI77" s="35"/>
    </row>
    <row r="78" spans="1:35" x14ac:dyDescent="0.25">
      <c r="A78"/>
      <c r="B78" s="305"/>
      <c r="C78" s="305"/>
      <c r="D78" s="305"/>
      <c r="E78" s="305"/>
      <c r="F78" s="305"/>
      <c r="G78" s="305"/>
      <c r="H78" s="305"/>
      <c r="I78" s="305"/>
      <c r="J78" s="305"/>
      <c r="K78" s="305"/>
      <c r="L78" s="305"/>
      <c r="M78" s="305"/>
      <c r="N78"/>
      <c r="O78"/>
      <c r="X78" s="29"/>
      <c r="Y78" s="29"/>
      <c r="Z78" s="29"/>
      <c r="AA78" s="29"/>
      <c r="AB78"/>
      <c r="AC78"/>
      <c r="AD78" s="34"/>
      <c r="AE78" s="34"/>
      <c r="AF78" s="35"/>
      <c r="AG78" s="35"/>
      <c r="AH78" s="35"/>
      <c r="AI78" s="35"/>
    </row>
    <row r="79" spans="1:35" x14ac:dyDescent="0.25">
      <c r="A79"/>
      <c r="B79" s="305"/>
      <c r="C79" s="305"/>
      <c r="D79" s="305"/>
      <c r="E79" s="305"/>
      <c r="F79" s="305"/>
      <c r="G79" s="305"/>
      <c r="H79" s="305"/>
      <c r="I79" s="305"/>
      <c r="J79" s="305"/>
      <c r="K79" s="305"/>
      <c r="L79" s="305"/>
      <c r="M79" s="305"/>
      <c r="N79"/>
      <c r="O79"/>
      <c r="X79" s="29"/>
      <c r="Y79" s="29"/>
      <c r="Z79" s="29"/>
      <c r="AA79" s="29"/>
      <c r="AB79"/>
      <c r="AC79" s="30"/>
      <c r="AI79" s="35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42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279">
    <mergeCell ref="B25:D25"/>
    <mergeCell ref="F26:G26"/>
    <mergeCell ref="B44:B47"/>
    <mergeCell ref="C47:D47"/>
    <mergeCell ref="B48:B50"/>
    <mergeCell ref="I44:I50"/>
    <mergeCell ref="H56:H58"/>
    <mergeCell ref="B43:D43"/>
    <mergeCell ref="C44:D44"/>
    <mergeCell ref="C45:D45"/>
    <mergeCell ref="C46:D46"/>
    <mergeCell ref="F43:G43"/>
    <mergeCell ref="I40:I43"/>
    <mergeCell ref="F41:G41"/>
    <mergeCell ref="F42:G42"/>
    <mergeCell ref="B41:D41"/>
    <mergeCell ref="H45:H50"/>
    <mergeCell ref="C56:C58"/>
    <mergeCell ref="F44:G44"/>
    <mergeCell ref="AD6:AE6"/>
    <mergeCell ref="AD7:AE7"/>
    <mergeCell ref="AG9:AH9"/>
    <mergeCell ref="M4:P4"/>
    <mergeCell ref="N5:P5"/>
    <mergeCell ref="N6:P6"/>
    <mergeCell ref="AF35:AF38"/>
    <mergeCell ref="AI30:AI31"/>
    <mergeCell ref="AI32:AI33"/>
    <mergeCell ref="AG12:AH12"/>
    <mergeCell ref="AF30:AF34"/>
    <mergeCell ref="AC30:AC34"/>
    <mergeCell ref="AD30:AE31"/>
    <mergeCell ref="AD32:AE33"/>
    <mergeCell ref="AD34:AE34"/>
    <mergeCell ref="AG30:AH31"/>
    <mergeCell ref="AG32:AH33"/>
    <mergeCell ref="AG34:AH34"/>
    <mergeCell ref="AC37:AE37"/>
    <mergeCell ref="AC38:AE38"/>
    <mergeCell ref="AC10:AF10"/>
    <mergeCell ref="AC11:AE11"/>
    <mergeCell ref="AC12:AE12"/>
    <mergeCell ref="AC13:AE13"/>
    <mergeCell ref="AG13:AH13"/>
    <mergeCell ref="AG14:AH14"/>
    <mergeCell ref="AG15:AH15"/>
    <mergeCell ref="AG17:AH17"/>
    <mergeCell ref="AG18:AH18"/>
    <mergeCell ref="AG21:AH21"/>
    <mergeCell ref="AG22:AH22"/>
    <mergeCell ref="AG25:AH25"/>
    <mergeCell ref="AG26:AH26"/>
    <mergeCell ref="AC14:AE14"/>
    <mergeCell ref="AC15:AE15"/>
    <mergeCell ref="AC16:AE16"/>
    <mergeCell ref="AC17:AE17"/>
    <mergeCell ref="AC18:AE18"/>
    <mergeCell ref="AC19:AE19"/>
    <mergeCell ref="AC20:AE20"/>
    <mergeCell ref="AC21:AE21"/>
    <mergeCell ref="AC22:AE22"/>
    <mergeCell ref="B77:M77"/>
    <mergeCell ref="B78:M78"/>
    <mergeCell ref="B75:M75"/>
    <mergeCell ref="B63:M63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B79:M79"/>
    <mergeCell ref="B71:M71"/>
    <mergeCell ref="B64:M64"/>
    <mergeCell ref="B65:M65"/>
    <mergeCell ref="T22:V22"/>
    <mergeCell ref="T25:V25"/>
    <mergeCell ref="T51:V51"/>
    <mergeCell ref="T53:V53"/>
    <mergeCell ref="AC39:AE39"/>
    <mergeCell ref="T26:V26"/>
    <mergeCell ref="T36:V36"/>
    <mergeCell ref="T32:V32"/>
    <mergeCell ref="T33:V33"/>
    <mergeCell ref="AC23:AE23"/>
    <mergeCell ref="AC24:AE24"/>
    <mergeCell ref="T27:V27"/>
    <mergeCell ref="T28:V28"/>
    <mergeCell ref="T29:V29"/>
    <mergeCell ref="T30:V30"/>
    <mergeCell ref="T31:V31"/>
    <mergeCell ref="T39:V39"/>
    <mergeCell ref="AD35:AE35"/>
    <mergeCell ref="AD36:AE36"/>
    <mergeCell ref="AC25:AE25"/>
    <mergeCell ref="Q9:Q10"/>
    <mergeCell ref="K17:K19"/>
    <mergeCell ref="L19:M19"/>
    <mergeCell ref="T59:V59"/>
    <mergeCell ref="G1:P3"/>
    <mergeCell ref="E5:F5"/>
    <mergeCell ref="T7:W7"/>
    <mergeCell ref="T8:V8"/>
    <mergeCell ref="T9:V9"/>
    <mergeCell ref="T12:V12"/>
    <mergeCell ref="T16:V16"/>
    <mergeCell ref="T17:V17"/>
    <mergeCell ref="T18:V18"/>
    <mergeCell ref="K7:N7"/>
    <mergeCell ref="F11:G11"/>
    <mergeCell ref="T13:V13"/>
    <mergeCell ref="T14:V14"/>
    <mergeCell ref="T15:V15"/>
    <mergeCell ref="T10:V10"/>
    <mergeCell ref="T11:V11"/>
    <mergeCell ref="T19:V19"/>
    <mergeCell ref="T20:V20"/>
    <mergeCell ref="T21:V21"/>
    <mergeCell ref="T34:V34"/>
    <mergeCell ref="T23:V23"/>
    <mergeCell ref="T24:V24"/>
    <mergeCell ref="T35:V35"/>
    <mergeCell ref="T55:V55"/>
    <mergeCell ref="T56:V56"/>
    <mergeCell ref="T57:V57"/>
    <mergeCell ref="T54:V54"/>
    <mergeCell ref="T58:V58"/>
    <mergeCell ref="T47:V47"/>
    <mergeCell ref="T48:V48"/>
    <mergeCell ref="T49:V49"/>
    <mergeCell ref="T50:V50"/>
    <mergeCell ref="T43:V43"/>
    <mergeCell ref="T42:V42"/>
    <mergeCell ref="T44:V44"/>
    <mergeCell ref="T40:V40"/>
    <mergeCell ref="T41:V41"/>
    <mergeCell ref="N8:N10"/>
    <mergeCell ref="L11:M11"/>
    <mergeCell ref="L12:M12"/>
    <mergeCell ref="N11:N12"/>
    <mergeCell ref="O8:P8"/>
    <mergeCell ref="F40:G40"/>
    <mergeCell ref="B39:D39"/>
    <mergeCell ref="F27:G28"/>
    <mergeCell ref="F29:G30"/>
    <mergeCell ref="F31:G31"/>
    <mergeCell ref="E27:E31"/>
    <mergeCell ref="B27:B31"/>
    <mergeCell ref="B32:B33"/>
    <mergeCell ref="C32:D32"/>
    <mergeCell ref="C33:D33"/>
    <mergeCell ref="B34:D34"/>
    <mergeCell ref="C31:D31"/>
    <mergeCell ref="C27:D28"/>
    <mergeCell ref="F38:G38"/>
    <mergeCell ref="F39:G39"/>
    <mergeCell ref="E32:E35"/>
    <mergeCell ref="L17:M17"/>
    <mergeCell ref="L18:M18"/>
    <mergeCell ref="I12:I13"/>
    <mergeCell ref="B7:E7"/>
    <mergeCell ref="B16:D16"/>
    <mergeCell ref="B17:D17"/>
    <mergeCell ref="B15:D15"/>
    <mergeCell ref="F10:G10"/>
    <mergeCell ref="F14:G14"/>
    <mergeCell ref="F15:G15"/>
    <mergeCell ref="F9:G9"/>
    <mergeCell ref="B12:D12"/>
    <mergeCell ref="B13:D13"/>
    <mergeCell ref="AG41:AH41"/>
    <mergeCell ref="AG42:AH42"/>
    <mergeCell ref="AG43:AH43"/>
    <mergeCell ref="AG45:AH45"/>
    <mergeCell ref="AG44:AH44"/>
    <mergeCell ref="AG46:AH46"/>
    <mergeCell ref="AF68:AF69"/>
    <mergeCell ref="AC46:AE46"/>
    <mergeCell ref="F24:G24"/>
    <mergeCell ref="T37:V37"/>
    <mergeCell ref="T38:V38"/>
    <mergeCell ref="AC26:AE26"/>
    <mergeCell ref="AC27:AE27"/>
    <mergeCell ref="AC28:AE28"/>
    <mergeCell ref="AC29:AE29"/>
    <mergeCell ref="AC40:AE40"/>
    <mergeCell ref="AC41:AE41"/>
    <mergeCell ref="AC42:AE42"/>
    <mergeCell ref="AC43:AE43"/>
    <mergeCell ref="AG27:AH27"/>
    <mergeCell ref="AG29:AH29"/>
    <mergeCell ref="AC35:AC36"/>
    <mergeCell ref="I26:I35"/>
    <mergeCell ref="C59:C61"/>
    <mergeCell ref="H59:H61"/>
    <mergeCell ref="B56:B61"/>
    <mergeCell ref="I15:I16"/>
    <mergeCell ref="L13:L14"/>
    <mergeCell ref="L15:L16"/>
    <mergeCell ref="AD70:AD71"/>
    <mergeCell ref="AD72:AD73"/>
    <mergeCell ref="AC44:AE44"/>
    <mergeCell ref="AC45:AE45"/>
    <mergeCell ref="B35:D35"/>
    <mergeCell ref="C29:D30"/>
    <mergeCell ref="B36:D36"/>
    <mergeCell ref="B37:D37"/>
    <mergeCell ref="B38:D38"/>
    <mergeCell ref="B40:D40"/>
    <mergeCell ref="B42:D42"/>
    <mergeCell ref="B24:D24"/>
    <mergeCell ref="D48:D50"/>
    <mergeCell ref="B26:D26"/>
    <mergeCell ref="B19:D19"/>
    <mergeCell ref="B20:D20"/>
    <mergeCell ref="B18:D18"/>
    <mergeCell ref="B14:D14"/>
    <mergeCell ref="H8:H9"/>
    <mergeCell ref="H54:H55"/>
    <mergeCell ref="I17:I19"/>
    <mergeCell ref="I22:I24"/>
    <mergeCell ref="I37:I39"/>
    <mergeCell ref="I51:I53"/>
    <mergeCell ref="I54:I55"/>
    <mergeCell ref="H51:H53"/>
    <mergeCell ref="B54:C55"/>
    <mergeCell ref="E54:E55"/>
    <mergeCell ref="B23:D23"/>
    <mergeCell ref="F19:G19"/>
    <mergeCell ref="F12:G12"/>
    <mergeCell ref="F18:G18"/>
    <mergeCell ref="F22:G22"/>
    <mergeCell ref="B21:D21"/>
    <mergeCell ref="B22:D22"/>
    <mergeCell ref="F23:G23"/>
    <mergeCell ref="B8:D8"/>
    <mergeCell ref="B9:D9"/>
    <mergeCell ref="B10:D10"/>
    <mergeCell ref="B11:D11"/>
    <mergeCell ref="B51:C53"/>
    <mergeCell ref="I20:I21"/>
    <mergeCell ref="K8:L10"/>
    <mergeCell ref="K11:K16"/>
    <mergeCell ref="Q11:Q16"/>
    <mergeCell ref="H36:H37"/>
    <mergeCell ref="Q17:Q19"/>
    <mergeCell ref="R17:R19"/>
    <mergeCell ref="AC65:AD67"/>
    <mergeCell ref="AG65:AH65"/>
    <mergeCell ref="AI66:AI67"/>
    <mergeCell ref="AI54:AI56"/>
    <mergeCell ref="AI59:AI61"/>
    <mergeCell ref="AI62:AI64"/>
    <mergeCell ref="AG47:AH47"/>
    <mergeCell ref="AC47:AE50"/>
    <mergeCell ref="AC51:AE53"/>
    <mergeCell ref="AC54:AD56"/>
    <mergeCell ref="AC57:AD58"/>
    <mergeCell ref="AC59:AC64"/>
    <mergeCell ref="AD59:AD61"/>
    <mergeCell ref="AD62:AD64"/>
    <mergeCell ref="AF57:AF58"/>
    <mergeCell ref="I56:I58"/>
    <mergeCell ref="I59:I61"/>
    <mergeCell ref="H25:H35"/>
    <mergeCell ref="AC68:AC73"/>
    <mergeCell ref="AI68:AI73"/>
    <mergeCell ref="AI57:AI58"/>
    <mergeCell ref="AC74:AC76"/>
    <mergeCell ref="AD74:AE74"/>
    <mergeCell ref="AD75:AE75"/>
    <mergeCell ref="AD76:AE76"/>
    <mergeCell ref="AI74:AI76"/>
    <mergeCell ref="AI48:AI50"/>
    <mergeCell ref="AI51:AI53"/>
  </mergeCells>
  <phoneticPr fontId="2" type="noConversion"/>
  <conditionalFormatting sqref="F32:G33">
    <cfRule type="containsText" dxfId="25" priority="55" operator="containsText" text="Não atende">
      <formula>NOT(ISERROR(SEARCH("Não atende",F32)))</formula>
    </cfRule>
  </conditionalFormatting>
  <conditionalFormatting sqref="F26:G26">
    <cfRule type="expression" dxfId="24" priority="54">
      <formula>$F$33+$G$33&lt;$F$26</formula>
    </cfRule>
  </conditionalFormatting>
  <conditionalFormatting sqref="F33:G33">
    <cfRule type="expression" dxfId="23" priority="53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ignoredErrors>
    <ignoredError sqref="AG51:AH51" formula="1"/>
  </ignoredErrors>
  <drawing r:id="rId3"/>
  <legacyDrawing r:id="rId4"/>
  <controls>
    <mc:AlternateContent xmlns:mc="http://schemas.openxmlformats.org/markup-compatibility/2006">
      <mc:Choice Requires="x14">
        <control shapeId="1052" r:id="rId5" name="CommandButton11">
          <controlPr defaultSize="0" autoFill="0" autoLine="0" r:id="rId6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5" name="CommandButton11"/>
      </mc:Fallback>
    </mc:AlternateContent>
    <mc:AlternateContent xmlns:mc="http://schemas.openxmlformats.org/markup-compatibility/2006">
      <mc:Choice Requires="x14">
        <control shapeId="1048" r:id="rId7" name="CommandButton10">
          <controlPr defaultSize="0" autoFill="0" autoLine="0" r:id="rId8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7" name="CommandButton10"/>
      </mc:Fallback>
    </mc:AlternateContent>
    <mc:AlternateContent xmlns:mc="http://schemas.openxmlformats.org/markup-compatibility/2006">
      <mc:Choice Requires="x14">
        <control shapeId="1046" r:id="rId9" name="CommandButton9">
          <controlPr defaultSize="0" autoFill="0" autoLine="0" r:id="rId1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9" name="CommandButton9"/>
      </mc:Fallback>
    </mc:AlternateContent>
    <mc:AlternateContent xmlns:mc="http://schemas.openxmlformats.org/markup-compatibility/2006">
      <mc:Choice Requires="x14">
        <control shapeId="1044" r:id="rId11" name="CommandButton7">
          <controlPr defaultSize="0" autoFill="0" autoLine="0" r:id="rId12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11" name="CommandButton7"/>
      </mc:Fallback>
    </mc:AlternateContent>
    <mc:AlternateContent xmlns:mc="http://schemas.openxmlformats.org/markup-compatibility/2006">
      <mc:Choice Requires="x14">
        <control shapeId="1042" r:id="rId13" name="CommandButton6">
          <controlPr defaultSize="0" autoFill="0" autoLine="0" r:id="rId14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13" name="CommandButton6"/>
      </mc:Fallback>
    </mc:AlternateContent>
    <mc:AlternateContent xmlns:mc="http://schemas.openxmlformats.org/markup-compatibility/2006">
      <mc:Choice Requires="x14">
        <control shapeId="1031" r:id="rId15" name="Help1">
          <controlPr defaultSize="0" autoFill="0" autoLine="0" r:id="rId16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15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18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95250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34" r:id="rId21" name="CommandButton2">
          <controlPr defaultSize="0" autoFill="0" autoLine="0" r:id="rId22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95250</xdr:rowOff>
              </to>
            </anchor>
          </controlPr>
        </control>
      </mc:Choice>
      <mc:Fallback>
        <control shapeId="1034" r:id="rId21" name="CommandButton2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123825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40" r:id="rId27" name="CommandButton5">
          <controlPr defaultSize="0" autoFill="0" autoLine="0" r:id="rId28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27" name="CommandButton5"/>
      </mc:Fallback>
    </mc:AlternateContent>
    <mc:AlternateContent xmlns:mc="http://schemas.openxmlformats.org/markup-compatibility/2006">
      <mc:Choice Requires="x14">
        <control shapeId="1045" r:id="rId29" name="CommandButton8">
          <controlPr defaultSize="0" autoFill="0" autoLine="0" r:id="rId3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29" name="CommandButton8"/>
      </mc:Fallback>
    </mc:AlternateContent>
    <mc:AlternateContent xmlns:mc="http://schemas.openxmlformats.org/markup-compatibility/2006">
      <mc:Choice Requires="x14">
        <control shapeId="1056" r:id="rId31" name="CommandButton12">
          <controlPr defaultSize="0" autoLine="0" r:id="rId32">
            <anchor moveWithCells="1">
              <from>
                <xdr:col>3</xdr:col>
                <xdr:colOff>38100</xdr:colOff>
                <xdr:row>47</xdr:row>
                <xdr:rowOff>28575</xdr:rowOff>
              </from>
              <to>
                <xdr:col>3</xdr:col>
                <xdr:colOff>866775</xdr:colOff>
                <xdr:row>49</xdr:row>
                <xdr:rowOff>209550</xdr:rowOff>
              </to>
            </anchor>
          </controlPr>
        </control>
      </mc:Choice>
      <mc:Fallback>
        <control shapeId="1056" r:id="rId31" name="CommandButton12"/>
      </mc:Fallback>
    </mc:AlternateContent>
    <mc:AlternateContent xmlns:mc="http://schemas.openxmlformats.org/markup-compatibility/2006">
      <mc:Choice Requires="x14">
        <control shapeId="1063" r:id="rId33" name="CommandButton4">
          <controlPr defaultSize="0" autoFill="0" autoLine="0" r:id="rId34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33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172</v>
      </c>
      <c r="T6" s="72">
        <f>LEN(U7)</f>
        <v>4</v>
      </c>
      <c r="U6" t="s">
        <v>170</v>
      </c>
    </row>
    <row r="7" spans="2:32" ht="15.75" x14ac:dyDescent="0.25">
      <c r="B7" s="1" t="s">
        <v>12</v>
      </c>
      <c r="F7" s="7" t="s">
        <v>35</v>
      </c>
      <c r="S7" s="336" t="s">
        <v>165</v>
      </c>
      <c r="T7" s="336"/>
      <c r="U7" s="60" t="str">
        <f>Principal!F44</f>
        <v>30cd</v>
      </c>
      <c r="V7" s="61" t="str">
        <f>LEFT(U7,2)</f>
        <v>30</v>
      </c>
      <c r="W7" s="60" t="str">
        <f>IF(T6=4,RIGHT(U7,2),RIGHT(U7,1))</f>
        <v>cd</v>
      </c>
      <c r="X7" s="3"/>
      <c r="Z7" s="60" t="s">
        <v>168</v>
      </c>
      <c r="AA7" s="60" t="s">
        <v>169</v>
      </c>
      <c r="AC7" s="60" t="s">
        <v>168</v>
      </c>
      <c r="AD7" s="60" t="s">
        <v>169</v>
      </c>
    </row>
    <row r="8" spans="2:32" x14ac:dyDescent="0.25">
      <c r="F8" s="7" t="s">
        <v>36</v>
      </c>
      <c r="S8" s="63" t="s">
        <v>166</v>
      </c>
      <c r="T8" s="63"/>
      <c r="U8" s="338">
        <f>Principal!F20</f>
        <v>118.02497239624005</v>
      </c>
      <c r="V8" s="338"/>
      <c r="Y8" s="63" t="s">
        <v>158</v>
      </c>
      <c r="Z8" s="60">
        <f>IF($U$7="outro valor","----",HLOOKUP($W$7,$T$11:$AC$12,2,0))</f>
        <v>7</v>
      </c>
      <c r="AA8" s="60">
        <f>IF($U$7="outro valor","----",VLOOKUP(U8,$S$13:$AC$23,$Z$8,TRUE))</f>
        <v>70</v>
      </c>
      <c r="AB8" s="63" t="s">
        <v>161</v>
      </c>
      <c r="AC8" s="60">
        <f>IF($U$7="outro valor","----",HLOOKUP(VALUE($V$7),$T$26:$AC$27,2,FALSE))</f>
        <v>11</v>
      </c>
      <c r="AD8" s="60">
        <f>IF($U$7="outro valor","----",VLOOKUP($U$8,$S$27:$AC$38,AC8,TRUE))</f>
        <v>400</v>
      </c>
    </row>
    <row r="9" spans="2:32" x14ac:dyDescent="0.25">
      <c r="F9" s="6" t="s">
        <v>37</v>
      </c>
      <c r="S9" s="63" t="s">
        <v>167</v>
      </c>
      <c r="T9" s="63"/>
      <c r="U9" s="338">
        <f>Principal!G20</f>
        <v>333.54883503285231</v>
      </c>
      <c r="V9" s="338"/>
      <c r="Y9" s="63" t="s">
        <v>158</v>
      </c>
      <c r="Z9" s="62">
        <f>IF($U$7="outro valor","----",HLOOKUP($W$7,$T$11:$AC$12,2,0))</f>
        <v>7</v>
      </c>
      <c r="AA9" s="62">
        <f>IF($U$7="outro valor","----",VLOOKUP(U9,$S$13:$AC$23,$Z$9,TRUE))</f>
        <v>130</v>
      </c>
      <c r="AB9" s="63" t="s">
        <v>161</v>
      </c>
      <c r="AC9" s="62">
        <f>IF($U$7="outro valor","----",HLOOKUP(VALUE($V$7),$T$26:$AC$27,2,FALSE))</f>
        <v>11</v>
      </c>
      <c r="AD9" s="62">
        <f>IF($U$7="outro valor","----",VLOOKUP($U$9,$S$27:$AC$38,AC9,TRUE))</f>
        <v>600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334" t="s">
        <v>35</v>
      </c>
      <c r="F11" s="334"/>
      <c r="G11" s="334" t="s">
        <v>36</v>
      </c>
      <c r="H11" s="334"/>
      <c r="I11" s="334" t="s">
        <v>37</v>
      </c>
      <c r="J11" s="334"/>
      <c r="K11" s="334" t="s">
        <v>32</v>
      </c>
      <c r="L11" s="334"/>
      <c r="M11" s="334" t="s">
        <v>33</v>
      </c>
      <c r="N11" s="334"/>
      <c r="O11" s="334" t="s">
        <v>34</v>
      </c>
      <c r="P11" s="334"/>
      <c r="Q11" s="51"/>
      <c r="R11" s="337" t="s">
        <v>144</v>
      </c>
      <c r="S11" s="56" t="s">
        <v>145</v>
      </c>
      <c r="T11" s="58" t="s">
        <v>17</v>
      </c>
      <c r="U11" s="58" t="s">
        <v>146</v>
      </c>
      <c r="V11" s="58" t="s">
        <v>147</v>
      </c>
      <c r="W11" s="58" t="s">
        <v>148</v>
      </c>
      <c r="X11" s="58" t="s">
        <v>115</v>
      </c>
      <c r="Y11" s="58" t="s">
        <v>149</v>
      </c>
      <c r="Z11" s="58" t="s">
        <v>15</v>
      </c>
      <c r="AA11" s="58" t="s">
        <v>150</v>
      </c>
      <c r="AB11" s="58" t="s">
        <v>151</v>
      </c>
      <c r="AC11" s="58" t="s">
        <v>152</v>
      </c>
      <c r="AD11" s="51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51"/>
      <c r="R12" s="337"/>
      <c r="S12" s="56" t="s">
        <v>38</v>
      </c>
      <c r="T12" s="55">
        <v>2</v>
      </c>
      <c r="U12" s="55">
        <v>3</v>
      </c>
      <c r="V12" s="55">
        <v>4</v>
      </c>
      <c r="W12" s="55">
        <v>5</v>
      </c>
      <c r="X12" s="55">
        <v>6</v>
      </c>
      <c r="Y12" s="55">
        <v>7</v>
      </c>
      <c r="Z12" s="55">
        <v>8</v>
      </c>
      <c r="AA12" s="55">
        <v>9</v>
      </c>
      <c r="AB12" s="55">
        <v>10</v>
      </c>
      <c r="AC12" s="55">
        <v>11</v>
      </c>
      <c r="AD12" s="51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53"/>
      <c r="R13" s="337"/>
      <c r="S13" s="56">
        <v>0</v>
      </c>
      <c r="T13" s="55">
        <v>100</v>
      </c>
      <c r="U13" s="55">
        <v>85</v>
      </c>
      <c r="V13" s="55">
        <v>70</v>
      </c>
      <c r="W13" s="55">
        <v>58</v>
      </c>
      <c r="X13" s="55">
        <v>48</v>
      </c>
      <c r="Y13" s="55">
        <v>40</v>
      </c>
      <c r="Z13" s="55">
        <v>33</v>
      </c>
      <c r="AA13" s="55">
        <v>22</v>
      </c>
      <c r="AB13" s="55">
        <v>10</v>
      </c>
      <c r="AC13" s="55">
        <v>5</v>
      </c>
      <c r="AD13" s="53"/>
      <c r="AE13" s="50"/>
      <c r="AF13" s="50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53"/>
      <c r="R14" s="337"/>
      <c r="S14" s="57">
        <v>10.000000000009999</v>
      </c>
      <c r="T14" s="55">
        <v>135</v>
      </c>
      <c r="U14" s="55">
        <v>110</v>
      </c>
      <c r="V14" s="55">
        <v>95</v>
      </c>
      <c r="W14" s="55">
        <v>75</v>
      </c>
      <c r="X14" s="55">
        <v>65</v>
      </c>
      <c r="Y14" s="55">
        <v>54</v>
      </c>
      <c r="Z14" s="55">
        <v>44</v>
      </c>
      <c r="AA14" s="55">
        <v>30</v>
      </c>
      <c r="AB14" s="55">
        <v>14</v>
      </c>
      <c r="AC14" s="55">
        <v>7</v>
      </c>
      <c r="AD14" s="53"/>
      <c r="AE14" s="50"/>
      <c r="AF14" s="50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53"/>
      <c r="R15" s="337"/>
      <c r="S15" s="57">
        <v>50.000000000009997</v>
      </c>
      <c r="T15" s="55">
        <v>180</v>
      </c>
      <c r="U15" s="55">
        <v>150</v>
      </c>
      <c r="V15" s="55">
        <v>125</v>
      </c>
      <c r="W15" s="55">
        <v>105</v>
      </c>
      <c r="X15" s="55">
        <v>85</v>
      </c>
      <c r="Y15" s="55">
        <v>70</v>
      </c>
      <c r="Z15" s="55">
        <v>60</v>
      </c>
      <c r="AA15" s="55">
        <v>40</v>
      </c>
      <c r="AB15" s="55">
        <v>19</v>
      </c>
      <c r="AC15" s="55">
        <v>9</v>
      </c>
      <c r="AD15" s="53"/>
      <c r="AE15" s="50"/>
      <c r="AF15" s="50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53"/>
      <c r="R16" s="337"/>
      <c r="S16" s="57">
        <v>125.00000000001</v>
      </c>
      <c r="T16" s="55">
        <v>250</v>
      </c>
      <c r="U16" s="55">
        <v>200</v>
      </c>
      <c r="V16" s="55">
        <v>170</v>
      </c>
      <c r="W16" s="55">
        <v>140</v>
      </c>
      <c r="X16" s="55">
        <v>115</v>
      </c>
      <c r="Y16" s="55">
        <v>95</v>
      </c>
      <c r="Z16" s="55">
        <v>80</v>
      </c>
      <c r="AA16" s="55">
        <v>56</v>
      </c>
      <c r="AB16" s="55">
        <v>25</v>
      </c>
      <c r="AC16" s="55">
        <v>12</v>
      </c>
      <c r="AD16" s="53"/>
      <c r="AE16" s="50"/>
      <c r="AF16" s="50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53"/>
      <c r="R17" s="337"/>
      <c r="S17" s="57">
        <v>280.00000000001</v>
      </c>
      <c r="T17" s="55">
        <v>330</v>
      </c>
      <c r="U17" s="55">
        <v>280</v>
      </c>
      <c r="V17" s="55">
        <v>230</v>
      </c>
      <c r="W17" s="55">
        <v>190</v>
      </c>
      <c r="X17" s="55">
        <v>155</v>
      </c>
      <c r="Y17" s="55">
        <v>130</v>
      </c>
      <c r="Z17" s="55">
        <v>110</v>
      </c>
      <c r="AA17" s="55">
        <v>75</v>
      </c>
      <c r="AB17" s="55">
        <v>35</v>
      </c>
      <c r="AC17" s="55">
        <v>17</v>
      </c>
      <c r="AD17" s="53"/>
      <c r="AE17" s="50"/>
      <c r="AF17" s="50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53"/>
      <c r="R18" s="337"/>
      <c r="S18" s="57">
        <v>560.00000000001</v>
      </c>
      <c r="T18" s="55">
        <v>450</v>
      </c>
      <c r="U18" s="55">
        <v>370</v>
      </c>
      <c r="V18" s="55">
        <v>310</v>
      </c>
      <c r="W18" s="55">
        <v>260</v>
      </c>
      <c r="X18" s="55">
        <v>210</v>
      </c>
      <c r="Y18" s="55">
        <v>175</v>
      </c>
      <c r="Z18" s="55">
        <v>145</v>
      </c>
      <c r="AA18" s="55">
        <v>100</v>
      </c>
      <c r="AB18" s="55">
        <v>48</v>
      </c>
      <c r="AC18" s="55">
        <v>22</v>
      </c>
      <c r="AD18" s="53"/>
      <c r="AE18" s="50"/>
      <c r="AF18" s="50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53"/>
      <c r="R19" s="337"/>
      <c r="S19" s="57">
        <v>1000.00000000001</v>
      </c>
      <c r="T19" s="55">
        <v>600</v>
      </c>
      <c r="U19" s="55">
        <v>500</v>
      </c>
      <c r="V19" s="55">
        <v>420</v>
      </c>
      <c r="W19" s="55">
        <v>340</v>
      </c>
      <c r="X19" s="55">
        <v>290</v>
      </c>
      <c r="Y19" s="55">
        <v>240</v>
      </c>
      <c r="Z19" s="55">
        <v>200</v>
      </c>
      <c r="AA19" s="55">
        <v>135</v>
      </c>
      <c r="AB19" s="55">
        <v>64</v>
      </c>
      <c r="AC19" s="55">
        <v>30</v>
      </c>
      <c r="AD19" s="53"/>
      <c r="AE19" s="50"/>
      <c r="AF19" s="50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53"/>
      <c r="R20" s="337"/>
      <c r="S20" s="57">
        <v>1600.00000000001</v>
      </c>
      <c r="T20" s="55">
        <v>820</v>
      </c>
      <c r="U20" s="55">
        <v>680</v>
      </c>
      <c r="V20" s="55">
        <v>560</v>
      </c>
      <c r="W20" s="55">
        <v>460</v>
      </c>
      <c r="X20" s="55">
        <v>390</v>
      </c>
      <c r="Y20" s="55">
        <v>320</v>
      </c>
      <c r="Z20" s="55">
        <v>270</v>
      </c>
      <c r="AA20" s="55">
        <v>180</v>
      </c>
      <c r="AB20" s="55">
        <v>85</v>
      </c>
      <c r="AC20" s="55">
        <v>41</v>
      </c>
      <c r="AD20" s="53"/>
      <c r="AE20" s="50"/>
      <c r="AF20" s="50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53"/>
      <c r="R21" s="337"/>
      <c r="S21" s="57">
        <v>2500.00000000001</v>
      </c>
      <c r="T21" s="55">
        <v>1100</v>
      </c>
      <c r="U21" s="55">
        <v>920</v>
      </c>
      <c r="V21" s="55">
        <v>760</v>
      </c>
      <c r="W21" s="55">
        <v>620</v>
      </c>
      <c r="X21" s="55">
        <v>520</v>
      </c>
      <c r="Y21" s="55">
        <v>430</v>
      </c>
      <c r="Z21" s="55">
        <v>360</v>
      </c>
      <c r="AA21" s="55">
        <v>250</v>
      </c>
      <c r="AB21" s="55">
        <v>115</v>
      </c>
      <c r="AC21" s="55">
        <v>56</v>
      </c>
      <c r="AD21" s="53"/>
      <c r="AE21" s="50"/>
      <c r="AF21" s="50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53"/>
      <c r="R22" s="337"/>
      <c r="S22" s="57">
        <v>4000.00000000001</v>
      </c>
      <c r="T22" s="55">
        <v>1500</v>
      </c>
      <c r="U22" s="55">
        <v>1250</v>
      </c>
      <c r="V22" s="55">
        <v>1020</v>
      </c>
      <c r="W22" s="55">
        <v>840</v>
      </c>
      <c r="X22" s="55">
        <v>700</v>
      </c>
      <c r="Y22" s="55">
        <v>580</v>
      </c>
      <c r="Z22" s="55">
        <v>480</v>
      </c>
      <c r="AA22" s="55">
        <v>330</v>
      </c>
      <c r="AB22" s="55">
        <v>155</v>
      </c>
      <c r="AC22" s="55">
        <v>75</v>
      </c>
      <c r="AD22" s="53"/>
      <c r="AE22" s="50"/>
      <c r="AF22" s="50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53"/>
      <c r="R23" s="337"/>
      <c r="S23" s="57">
        <v>6300.00000000001</v>
      </c>
      <c r="T23" s="55">
        <v>2000</v>
      </c>
      <c r="U23" s="55">
        <v>1650</v>
      </c>
      <c r="V23" s="55">
        <v>1350</v>
      </c>
      <c r="W23" s="55">
        <v>1150</v>
      </c>
      <c r="X23" s="55">
        <v>940</v>
      </c>
      <c r="Y23" s="55">
        <v>780</v>
      </c>
      <c r="Z23" s="55">
        <v>640</v>
      </c>
      <c r="AA23" s="55">
        <v>450</v>
      </c>
      <c r="AB23" s="55">
        <v>210</v>
      </c>
      <c r="AC23" s="55">
        <v>100</v>
      </c>
      <c r="AD23" s="53"/>
      <c r="AE23" s="50"/>
      <c r="AF23" s="50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53"/>
      <c r="R24" s="52"/>
      <c r="S24" s="54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3"/>
      <c r="AE24" s="50"/>
      <c r="AF24" s="50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53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3"/>
      <c r="AE25" s="50"/>
      <c r="AF25" s="50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53"/>
      <c r="R26" s="337" t="s">
        <v>153</v>
      </c>
      <c r="S26" s="56" t="s">
        <v>145</v>
      </c>
      <c r="T26" s="64">
        <v>21</v>
      </c>
      <c r="U26" s="64">
        <v>22</v>
      </c>
      <c r="V26" s="64">
        <v>23</v>
      </c>
      <c r="W26" s="64">
        <v>24</v>
      </c>
      <c r="X26" s="64">
        <v>25</v>
      </c>
      <c r="Y26" s="64">
        <v>26</v>
      </c>
      <c r="Z26" s="64">
        <v>27</v>
      </c>
      <c r="AA26" s="64">
        <v>28</v>
      </c>
      <c r="AB26" s="64">
        <v>29</v>
      </c>
      <c r="AC26" s="64">
        <v>30</v>
      </c>
      <c r="AD26" s="53"/>
      <c r="AE26" s="50"/>
      <c r="AF26" s="50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53"/>
      <c r="R27" s="337"/>
      <c r="S27" s="56" t="s">
        <v>38</v>
      </c>
      <c r="T27" s="55">
        <v>2</v>
      </c>
      <c r="U27" s="55">
        <v>3</v>
      </c>
      <c r="V27" s="55">
        <v>4</v>
      </c>
      <c r="W27" s="55">
        <v>5</v>
      </c>
      <c r="X27" s="55">
        <v>6</v>
      </c>
      <c r="Y27" s="55">
        <v>7</v>
      </c>
      <c r="Z27" s="55">
        <v>8</v>
      </c>
      <c r="AA27" s="55">
        <v>9</v>
      </c>
      <c r="AB27" s="55">
        <v>10</v>
      </c>
      <c r="AC27" s="55">
        <v>11</v>
      </c>
      <c r="AD27" s="53"/>
      <c r="AE27" s="50"/>
      <c r="AF27" s="50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53"/>
      <c r="R28" s="337"/>
      <c r="S28" s="56">
        <v>0</v>
      </c>
      <c r="T28" s="55">
        <v>3</v>
      </c>
      <c r="U28" s="55">
        <v>5</v>
      </c>
      <c r="V28" s="55">
        <v>8</v>
      </c>
      <c r="W28" s="55">
        <v>12</v>
      </c>
      <c r="X28" s="55">
        <v>20</v>
      </c>
      <c r="Y28" s="55">
        <v>30</v>
      </c>
      <c r="Z28" s="55">
        <v>50</v>
      </c>
      <c r="AA28" s="55">
        <v>80</v>
      </c>
      <c r="AB28" s="55">
        <v>30</v>
      </c>
      <c r="AC28" s="55">
        <v>200</v>
      </c>
      <c r="AD28" s="53"/>
      <c r="AE28" s="50"/>
      <c r="AF28" s="50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53"/>
      <c r="R29" s="337"/>
      <c r="S29" s="57">
        <v>10.000000000009999</v>
      </c>
      <c r="T29" s="55">
        <v>5</v>
      </c>
      <c r="U29" s="55">
        <v>8</v>
      </c>
      <c r="V29" s="55">
        <v>12</v>
      </c>
      <c r="W29" s="55">
        <v>20</v>
      </c>
      <c r="X29" s="55">
        <v>30</v>
      </c>
      <c r="Y29" s="55">
        <v>50</v>
      </c>
      <c r="Z29" s="55">
        <v>80</v>
      </c>
      <c r="AA29" s="55">
        <v>130</v>
      </c>
      <c r="AB29" s="55">
        <v>200</v>
      </c>
      <c r="AC29" s="55">
        <v>300</v>
      </c>
      <c r="AD29" s="53"/>
      <c r="AE29" s="50"/>
      <c r="AF29" s="50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53"/>
      <c r="R30" s="337"/>
      <c r="S30" s="57">
        <v>50.000000000009997</v>
      </c>
      <c r="T30" s="55">
        <v>6</v>
      </c>
      <c r="U30" s="55">
        <v>10</v>
      </c>
      <c r="V30" s="55">
        <v>16</v>
      </c>
      <c r="W30" s="55">
        <v>25</v>
      </c>
      <c r="X30" s="55">
        <v>40</v>
      </c>
      <c r="Y30" s="55">
        <v>60</v>
      </c>
      <c r="Z30" s="55">
        <v>100</v>
      </c>
      <c r="AA30" s="55">
        <v>160</v>
      </c>
      <c r="AB30" s="55">
        <v>250</v>
      </c>
      <c r="AC30" s="55">
        <v>400</v>
      </c>
      <c r="AD30" s="53"/>
      <c r="AE30" s="50"/>
      <c r="AF30" s="50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53"/>
      <c r="R31" s="337"/>
      <c r="S31" s="57">
        <v>125.00000000001</v>
      </c>
      <c r="T31" s="55">
        <v>8</v>
      </c>
      <c r="U31" s="55">
        <v>12</v>
      </c>
      <c r="V31" s="55">
        <v>20</v>
      </c>
      <c r="W31" s="55">
        <v>30</v>
      </c>
      <c r="X31" s="55">
        <v>50</v>
      </c>
      <c r="Y31" s="55">
        <v>80</v>
      </c>
      <c r="Z31" s="55">
        <v>130</v>
      </c>
      <c r="AA31" s="55">
        <v>200</v>
      </c>
      <c r="AB31" s="55">
        <v>300</v>
      </c>
      <c r="AC31" s="55">
        <v>500</v>
      </c>
      <c r="AD31" s="53"/>
      <c r="AE31" s="50"/>
      <c r="AF31" s="50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53"/>
      <c r="R32" s="337"/>
      <c r="S32" s="57">
        <v>280.00000000001</v>
      </c>
      <c r="T32" s="55">
        <v>10</v>
      </c>
      <c r="U32" s="55">
        <v>16</v>
      </c>
      <c r="V32" s="55">
        <v>25</v>
      </c>
      <c r="W32" s="55">
        <v>40</v>
      </c>
      <c r="X32" s="55">
        <v>60</v>
      </c>
      <c r="Y32" s="55">
        <v>100</v>
      </c>
      <c r="Z32" s="55">
        <v>160</v>
      </c>
      <c r="AA32" s="55">
        <v>250</v>
      </c>
      <c r="AB32" s="55">
        <v>400</v>
      </c>
      <c r="AC32" s="55">
        <v>600</v>
      </c>
      <c r="AD32" s="53"/>
      <c r="AE32" s="50"/>
      <c r="AF32" s="50"/>
    </row>
    <row r="33" spans="2:30" x14ac:dyDescent="0.25">
      <c r="D33" s="20">
        <v>3150</v>
      </c>
      <c r="Q33" s="51"/>
      <c r="R33" s="337"/>
      <c r="S33" s="57">
        <v>560.00000000001</v>
      </c>
      <c r="T33" s="55">
        <v>12</v>
      </c>
      <c r="U33" s="55">
        <v>20</v>
      </c>
      <c r="V33" s="55">
        <v>30</v>
      </c>
      <c r="W33" s="55">
        <v>50</v>
      </c>
      <c r="X33" s="55">
        <v>80</v>
      </c>
      <c r="Y33" s="55">
        <v>130</v>
      </c>
      <c r="Z33" s="55">
        <v>200</v>
      </c>
      <c r="AA33" s="55">
        <v>300</v>
      </c>
      <c r="AB33" s="55">
        <v>500</v>
      </c>
      <c r="AC33" s="55">
        <v>800</v>
      </c>
      <c r="AD33" s="51"/>
    </row>
    <row r="34" spans="2:30" x14ac:dyDescent="0.25">
      <c r="Q34" s="51"/>
      <c r="R34" s="337"/>
      <c r="S34" s="57">
        <v>1000.00000000001</v>
      </c>
      <c r="T34" s="55">
        <v>16</v>
      </c>
      <c r="U34" s="55">
        <v>25</v>
      </c>
      <c r="V34" s="55">
        <v>40</v>
      </c>
      <c r="W34" s="55">
        <v>60</v>
      </c>
      <c r="X34" s="55">
        <v>100</v>
      </c>
      <c r="Y34" s="55">
        <v>160</v>
      </c>
      <c r="Z34" s="55">
        <v>250</v>
      </c>
      <c r="AA34" s="55">
        <v>400</v>
      </c>
      <c r="AB34" s="55">
        <v>600</v>
      </c>
      <c r="AC34" s="55">
        <v>1000</v>
      </c>
      <c r="AD34" s="51"/>
    </row>
    <row r="35" spans="2:30" x14ac:dyDescent="0.25">
      <c r="D35" s="21" t="s">
        <v>43</v>
      </c>
      <c r="E35" s="21"/>
      <c r="F35" s="18" t="str">
        <f>Principal!F15</f>
        <v>js7</v>
      </c>
      <c r="G35" s="17" t="s">
        <v>44</v>
      </c>
      <c r="H35" s="18">
        <f>HLOOKUP(F35,D11:O12,2)</f>
        <v>10</v>
      </c>
      <c r="Q35" s="51"/>
      <c r="R35" s="337"/>
      <c r="S35" s="57">
        <v>1600.00000000001</v>
      </c>
      <c r="T35" s="55">
        <v>20</v>
      </c>
      <c r="U35" s="55">
        <v>30</v>
      </c>
      <c r="V35" s="55">
        <v>50</v>
      </c>
      <c r="W35" s="55">
        <v>80</v>
      </c>
      <c r="X35" s="55">
        <v>130</v>
      </c>
      <c r="Y35" s="55">
        <v>200</v>
      </c>
      <c r="Z35" s="55">
        <v>300</v>
      </c>
      <c r="AA35" s="55">
        <v>500</v>
      </c>
      <c r="AB35" s="55">
        <v>800</v>
      </c>
      <c r="AC35" s="55">
        <v>1300</v>
      </c>
      <c r="AD35" s="51"/>
    </row>
    <row r="36" spans="2:30" x14ac:dyDescent="0.25">
      <c r="D36" s="8" t="s">
        <v>45</v>
      </c>
      <c r="E36" s="8"/>
      <c r="F36" s="23">
        <f>Principal!F14</f>
        <v>230</v>
      </c>
      <c r="G36" s="335" t="s">
        <v>46</v>
      </c>
      <c r="H36" s="18">
        <f>VLOOKUP(F36,$D$12:$P$33,H35)</f>
        <v>2.3E-2</v>
      </c>
      <c r="Q36" s="51"/>
      <c r="R36" s="337"/>
      <c r="S36" s="57">
        <v>2500.00000000001</v>
      </c>
      <c r="T36" s="55">
        <v>25</v>
      </c>
      <c r="U36" s="55">
        <v>40</v>
      </c>
      <c r="V36" s="55">
        <v>60</v>
      </c>
      <c r="W36" s="55">
        <v>100</v>
      </c>
      <c r="X36" s="55">
        <v>160</v>
      </c>
      <c r="Y36" s="55">
        <v>250</v>
      </c>
      <c r="Z36" s="55">
        <v>400</v>
      </c>
      <c r="AA36" s="55">
        <v>600</v>
      </c>
      <c r="AB36" s="55">
        <v>1000</v>
      </c>
      <c r="AC36" s="55">
        <v>1600</v>
      </c>
      <c r="AD36" s="51"/>
    </row>
    <row r="37" spans="2:30" x14ac:dyDescent="0.25">
      <c r="G37" s="335"/>
      <c r="H37" s="18">
        <f>VLOOKUP(F36,$D$12:$P$33,H35+1)</f>
        <v>-2.3E-2</v>
      </c>
      <c r="Q37" s="51"/>
      <c r="R37" s="337"/>
      <c r="S37" s="57">
        <v>4000.00000000001</v>
      </c>
      <c r="T37" s="55">
        <v>30</v>
      </c>
      <c r="U37" s="55">
        <v>50</v>
      </c>
      <c r="V37" s="55">
        <v>80</v>
      </c>
      <c r="W37" s="55">
        <v>130</v>
      </c>
      <c r="X37" s="55">
        <v>200</v>
      </c>
      <c r="Y37" s="55">
        <v>300</v>
      </c>
      <c r="Z37" s="55">
        <v>500</v>
      </c>
      <c r="AA37" s="55">
        <v>800</v>
      </c>
      <c r="AB37" s="55">
        <v>1300</v>
      </c>
      <c r="AC37" s="55">
        <v>2000</v>
      </c>
      <c r="AD37" s="51"/>
    </row>
    <row r="38" spans="2:30" x14ac:dyDescent="0.25">
      <c r="R38" s="337"/>
      <c r="S38" s="57">
        <v>6300.00000000001</v>
      </c>
      <c r="T38" s="55">
        <v>40</v>
      </c>
      <c r="U38" s="55">
        <v>60</v>
      </c>
      <c r="V38" s="55">
        <v>100</v>
      </c>
      <c r="W38" s="55">
        <v>160</v>
      </c>
      <c r="X38" s="55">
        <v>250</v>
      </c>
      <c r="Y38" s="55">
        <v>400</v>
      </c>
      <c r="Z38" s="55">
        <v>600</v>
      </c>
      <c r="AA38" s="55">
        <v>1000</v>
      </c>
      <c r="AB38" s="55">
        <v>1600</v>
      </c>
      <c r="AC38" s="55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334" t="s">
        <v>37</v>
      </c>
      <c r="F40" s="334"/>
      <c r="G40" s="334" t="s">
        <v>87</v>
      </c>
      <c r="H40" s="334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9" t="str">
        <f>CONCATENATE(U41,T41)</f>
        <v>21a</v>
      </c>
      <c r="T41" s="59" t="s">
        <v>17</v>
      </c>
      <c r="U41" s="59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9" t="str">
        <f t="shared" ref="S42:S105" si="3">CONCATENATE(U42,T42)</f>
        <v>21ab</v>
      </c>
      <c r="T42" s="59" t="s">
        <v>146</v>
      </c>
      <c r="U42" s="59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9" t="str">
        <f t="shared" si="3"/>
        <v>21b</v>
      </c>
      <c r="T43" s="59" t="s">
        <v>147</v>
      </c>
      <c r="U43" s="59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9" t="str">
        <f t="shared" si="3"/>
        <v>21c</v>
      </c>
      <c r="T44" s="59" t="s">
        <v>115</v>
      </c>
      <c r="U44" s="59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9" t="str">
        <f t="shared" si="3"/>
        <v>21cd</v>
      </c>
      <c r="T45" s="59" t="s">
        <v>149</v>
      </c>
      <c r="U45" s="59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9" t="str">
        <f t="shared" si="3"/>
        <v>21d</v>
      </c>
      <c r="T46" s="59" t="s">
        <v>15</v>
      </c>
      <c r="U46" s="59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9" t="str">
        <f t="shared" si="3"/>
        <v>21e</v>
      </c>
      <c r="T47" s="59" t="s">
        <v>150</v>
      </c>
      <c r="U47" s="59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9" t="str">
        <f t="shared" si="3"/>
        <v>21f</v>
      </c>
      <c r="T48" s="59" t="s">
        <v>151</v>
      </c>
      <c r="U48" s="59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9" t="str">
        <f t="shared" si="3"/>
        <v>21g</v>
      </c>
      <c r="T49" s="59" t="s">
        <v>152</v>
      </c>
      <c r="U49" s="59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9" t="str">
        <f t="shared" si="3"/>
        <v>22a</v>
      </c>
      <c r="T50" s="59" t="s">
        <v>17</v>
      </c>
      <c r="U50" s="59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9" t="str">
        <f t="shared" si="3"/>
        <v>22ab</v>
      </c>
      <c r="T51" s="59" t="s">
        <v>146</v>
      </c>
      <c r="U51" s="59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9" t="str">
        <f t="shared" si="3"/>
        <v>22b</v>
      </c>
      <c r="T52" s="59" t="s">
        <v>147</v>
      </c>
      <c r="U52" s="59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9" t="str">
        <f t="shared" si="3"/>
        <v>22c</v>
      </c>
      <c r="T53" s="59" t="s">
        <v>115</v>
      </c>
      <c r="U53" s="59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9" t="str">
        <f t="shared" si="3"/>
        <v>22cd</v>
      </c>
      <c r="T54" s="59" t="s">
        <v>149</v>
      </c>
      <c r="U54" s="59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9" t="str">
        <f t="shared" si="3"/>
        <v>22d</v>
      </c>
      <c r="T55" s="59" t="s">
        <v>15</v>
      </c>
      <c r="U55" s="59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9" t="str">
        <f t="shared" si="3"/>
        <v>22e</v>
      </c>
      <c r="T56" s="59" t="s">
        <v>150</v>
      </c>
      <c r="U56" s="59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9" t="str">
        <f t="shared" si="3"/>
        <v>22f</v>
      </c>
      <c r="T57" s="59" t="s">
        <v>151</v>
      </c>
      <c r="U57" s="59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9" t="str">
        <f t="shared" si="3"/>
        <v>22g</v>
      </c>
      <c r="T58" s="59" t="s">
        <v>152</v>
      </c>
      <c r="U58" s="59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9" t="str">
        <f t="shared" si="3"/>
        <v>23a</v>
      </c>
      <c r="T59" s="59" t="s">
        <v>17</v>
      </c>
      <c r="U59" s="59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9" t="str">
        <f t="shared" si="3"/>
        <v>23ab</v>
      </c>
      <c r="T60" s="59" t="s">
        <v>146</v>
      </c>
      <c r="U60" s="59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9" t="str">
        <f t="shared" si="3"/>
        <v>23b</v>
      </c>
      <c r="T61" s="59" t="s">
        <v>147</v>
      </c>
      <c r="U61" s="59">
        <v>23</v>
      </c>
    </row>
    <row r="62" spans="2:21" x14ac:dyDescent="0.25">
      <c r="D62" s="20">
        <v>3150</v>
      </c>
      <c r="S62" s="59" t="str">
        <f t="shared" si="3"/>
        <v>23c</v>
      </c>
      <c r="T62" s="59" t="s">
        <v>115</v>
      </c>
      <c r="U62" s="59">
        <v>23</v>
      </c>
    </row>
    <row r="63" spans="2:21" x14ac:dyDescent="0.25">
      <c r="S63" s="59" t="str">
        <f t="shared" si="3"/>
        <v>23cd</v>
      </c>
      <c r="T63" s="59" t="s">
        <v>149</v>
      </c>
      <c r="U63" s="59">
        <v>23</v>
      </c>
    </row>
    <row r="64" spans="2:21" x14ac:dyDescent="0.25">
      <c r="B64" t="s">
        <v>37</v>
      </c>
      <c r="D64" t="s">
        <v>129</v>
      </c>
      <c r="S64" s="59" t="str">
        <f t="shared" si="3"/>
        <v>23d</v>
      </c>
      <c r="T64" s="59" t="s">
        <v>15</v>
      </c>
      <c r="U64" s="59">
        <v>23</v>
      </c>
    </row>
    <row r="65" spans="2:21" x14ac:dyDescent="0.25">
      <c r="B65" t="s">
        <v>87</v>
      </c>
      <c r="D65" s="21" t="s">
        <v>43</v>
      </c>
      <c r="E65" s="21"/>
      <c r="F65" s="18" t="str">
        <f>Principal!O8</f>
        <v>h9</v>
      </c>
      <c r="G65" s="26" t="s">
        <v>44</v>
      </c>
      <c r="H65" s="18">
        <f>HLOOKUP(F65,$D$40:$H$41,2)</f>
        <v>4</v>
      </c>
      <c r="S65" s="59" t="str">
        <f t="shared" si="3"/>
        <v>23e</v>
      </c>
      <c r="T65" s="59" t="s">
        <v>150</v>
      </c>
      <c r="U65" s="59">
        <v>23</v>
      </c>
    </row>
    <row r="66" spans="2:21" x14ac:dyDescent="0.25">
      <c r="D66" s="8" t="s">
        <v>128</v>
      </c>
      <c r="E66" s="8"/>
      <c r="F66" s="23">
        <f>Principal!O11</f>
        <v>132.30207143953268</v>
      </c>
      <c r="G66" s="40" t="s">
        <v>46</v>
      </c>
      <c r="H66" s="18">
        <f>VLOOKUP($F$66,$D$41:$H$62,H65)</f>
        <v>0</v>
      </c>
      <c r="S66" s="59" t="str">
        <f t="shared" si="3"/>
        <v>23f</v>
      </c>
      <c r="T66" s="59" t="s">
        <v>151</v>
      </c>
      <c r="U66" s="59">
        <v>23</v>
      </c>
    </row>
    <row r="67" spans="2:21" x14ac:dyDescent="0.25">
      <c r="G67" s="40"/>
      <c r="H67" s="18">
        <f>VLOOKUP($F$66,$D$41:$H$62,H65+1)</f>
        <v>-1.2500000000000001E-2</v>
      </c>
      <c r="S67" s="59" t="str">
        <f t="shared" si="3"/>
        <v>23g</v>
      </c>
      <c r="T67" s="59" t="s">
        <v>152</v>
      </c>
      <c r="U67" s="59">
        <v>23</v>
      </c>
    </row>
    <row r="68" spans="2:21" x14ac:dyDescent="0.25">
      <c r="S68" s="59" t="str">
        <f t="shared" si="3"/>
        <v>24a</v>
      </c>
      <c r="T68" s="59" t="s">
        <v>17</v>
      </c>
      <c r="U68" s="59">
        <v>24</v>
      </c>
    </row>
    <row r="69" spans="2:21" x14ac:dyDescent="0.25">
      <c r="S69" s="59" t="str">
        <f t="shared" si="3"/>
        <v>24ab</v>
      </c>
      <c r="T69" s="59" t="s">
        <v>146</v>
      </c>
      <c r="U69" s="59">
        <v>24</v>
      </c>
    </row>
    <row r="70" spans="2:21" x14ac:dyDescent="0.25">
      <c r="D70" t="s">
        <v>130</v>
      </c>
      <c r="S70" s="59" t="str">
        <f t="shared" si="3"/>
        <v>24b</v>
      </c>
      <c r="T70" s="59" t="s">
        <v>147</v>
      </c>
      <c r="U70" s="59">
        <v>24</v>
      </c>
    </row>
    <row r="71" spans="2:21" x14ac:dyDescent="0.25">
      <c r="D71" s="21" t="s">
        <v>43</v>
      </c>
      <c r="E71" s="21"/>
      <c r="F71" s="18" t="str">
        <f>Principal!$O$8</f>
        <v>h9</v>
      </c>
      <c r="G71" s="40" t="s">
        <v>44</v>
      </c>
      <c r="H71" s="18">
        <f>HLOOKUP(F71,$D$40:$H$41,2)</f>
        <v>4</v>
      </c>
      <c r="S71" s="59" t="str">
        <f t="shared" si="3"/>
        <v>24c</v>
      </c>
      <c r="T71" s="59" t="s">
        <v>115</v>
      </c>
      <c r="U71" s="59">
        <v>24</v>
      </c>
    </row>
    <row r="72" spans="2:21" x14ac:dyDescent="0.25">
      <c r="D72" s="8" t="s">
        <v>128</v>
      </c>
      <c r="E72" s="8"/>
      <c r="F72" s="23">
        <f>Principal!P11</f>
        <v>345.24361231339452</v>
      </c>
      <c r="G72" s="40" t="s">
        <v>46</v>
      </c>
      <c r="H72" s="18">
        <f>VLOOKUP($F$72,$D$41:$H$62,H71)</f>
        <v>0</v>
      </c>
      <c r="S72" s="59" t="str">
        <f t="shared" si="3"/>
        <v>24cd</v>
      </c>
      <c r="T72" s="59" t="s">
        <v>149</v>
      </c>
      <c r="U72" s="59">
        <v>24</v>
      </c>
    </row>
    <row r="73" spans="2:21" x14ac:dyDescent="0.25">
      <c r="G73" s="40"/>
      <c r="H73" s="18">
        <f>VLOOKUP($F$72,$D$41:$H$62,H71+1)</f>
        <v>-1.7999999999999999E-2</v>
      </c>
      <c r="S73" s="59" t="str">
        <f t="shared" si="3"/>
        <v>24d</v>
      </c>
      <c r="T73" s="59" t="s">
        <v>15</v>
      </c>
      <c r="U73" s="59">
        <v>24</v>
      </c>
    </row>
    <row r="74" spans="2:21" x14ac:dyDescent="0.25">
      <c r="S74" s="59" t="str">
        <f t="shared" si="3"/>
        <v>24e</v>
      </c>
      <c r="T74" s="59" t="s">
        <v>150</v>
      </c>
      <c r="U74" s="59">
        <v>24</v>
      </c>
    </row>
    <row r="75" spans="2:21" x14ac:dyDescent="0.25">
      <c r="S75" s="59" t="str">
        <f t="shared" si="3"/>
        <v>24f</v>
      </c>
      <c r="T75" s="59" t="s">
        <v>151</v>
      </c>
      <c r="U75" s="59">
        <v>24</v>
      </c>
    </row>
    <row r="76" spans="2:21" x14ac:dyDescent="0.25">
      <c r="S76" s="59" t="str">
        <f t="shared" si="3"/>
        <v>24g</v>
      </c>
      <c r="T76" s="59" t="s">
        <v>152</v>
      </c>
      <c r="U76" s="59">
        <v>24</v>
      </c>
    </row>
    <row r="77" spans="2:21" x14ac:dyDescent="0.25">
      <c r="S77" s="59" t="str">
        <f t="shared" si="3"/>
        <v>25a</v>
      </c>
      <c r="T77" s="59" t="s">
        <v>17</v>
      </c>
      <c r="U77" s="59">
        <v>25</v>
      </c>
    </row>
    <row r="78" spans="2:21" x14ac:dyDescent="0.25">
      <c r="S78" s="59" t="str">
        <f t="shared" si="3"/>
        <v>25ab</v>
      </c>
      <c r="T78" s="59" t="s">
        <v>146</v>
      </c>
      <c r="U78" s="59">
        <v>25</v>
      </c>
    </row>
    <row r="79" spans="2:21" x14ac:dyDescent="0.25">
      <c r="S79" s="59" t="str">
        <f t="shared" si="3"/>
        <v>25b</v>
      </c>
      <c r="T79" s="59" t="s">
        <v>147</v>
      </c>
      <c r="U79" s="59">
        <v>25</v>
      </c>
    </row>
    <row r="80" spans="2:21" x14ac:dyDescent="0.25">
      <c r="S80" s="59" t="str">
        <f t="shared" si="3"/>
        <v>25c</v>
      </c>
      <c r="T80" s="59" t="s">
        <v>115</v>
      </c>
      <c r="U80" s="59">
        <v>25</v>
      </c>
    </row>
    <row r="81" spans="19:21" x14ac:dyDescent="0.25">
      <c r="S81" s="59" t="str">
        <f t="shared" si="3"/>
        <v>25cd</v>
      </c>
      <c r="T81" s="59" t="s">
        <v>149</v>
      </c>
      <c r="U81" s="59">
        <v>25</v>
      </c>
    </row>
    <row r="82" spans="19:21" x14ac:dyDescent="0.25">
      <c r="S82" s="59" t="str">
        <f t="shared" si="3"/>
        <v>25d</v>
      </c>
      <c r="T82" s="59" t="s">
        <v>15</v>
      </c>
      <c r="U82" s="59">
        <v>25</v>
      </c>
    </row>
    <row r="83" spans="19:21" x14ac:dyDescent="0.25">
      <c r="S83" s="59" t="str">
        <f t="shared" si="3"/>
        <v>25e</v>
      </c>
      <c r="T83" s="59" t="s">
        <v>150</v>
      </c>
      <c r="U83" s="59">
        <v>25</v>
      </c>
    </row>
    <row r="84" spans="19:21" x14ac:dyDescent="0.25">
      <c r="S84" s="59" t="str">
        <f t="shared" si="3"/>
        <v>25f</v>
      </c>
      <c r="T84" s="59" t="s">
        <v>151</v>
      </c>
      <c r="U84" s="59">
        <v>25</v>
      </c>
    </row>
    <row r="85" spans="19:21" x14ac:dyDescent="0.25">
      <c r="S85" s="59" t="str">
        <f t="shared" si="3"/>
        <v>25g</v>
      </c>
      <c r="T85" s="59" t="s">
        <v>152</v>
      </c>
      <c r="U85" s="59">
        <v>25</v>
      </c>
    </row>
    <row r="86" spans="19:21" x14ac:dyDescent="0.25">
      <c r="S86" s="59" t="str">
        <f t="shared" si="3"/>
        <v>26a</v>
      </c>
      <c r="T86" s="59" t="s">
        <v>17</v>
      </c>
      <c r="U86" s="59">
        <v>26</v>
      </c>
    </row>
    <row r="87" spans="19:21" x14ac:dyDescent="0.25">
      <c r="S87" s="59" t="str">
        <f t="shared" si="3"/>
        <v>26ab</v>
      </c>
      <c r="T87" s="59" t="s">
        <v>146</v>
      </c>
      <c r="U87" s="59">
        <v>26</v>
      </c>
    </row>
    <row r="88" spans="19:21" x14ac:dyDescent="0.25">
      <c r="S88" s="59" t="str">
        <f t="shared" si="3"/>
        <v>26b</v>
      </c>
      <c r="T88" s="59" t="s">
        <v>147</v>
      </c>
      <c r="U88" s="59">
        <v>26</v>
      </c>
    </row>
    <row r="89" spans="19:21" x14ac:dyDescent="0.25">
      <c r="S89" s="59" t="str">
        <f t="shared" si="3"/>
        <v>26c</v>
      </c>
      <c r="T89" s="59" t="s">
        <v>115</v>
      </c>
      <c r="U89" s="59">
        <v>26</v>
      </c>
    </row>
    <row r="90" spans="19:21" x14ac:dyDescent="0.25">
      <c r="S90" s="59" t="str">
        <f t="shared" si="3"/>
        <v>26cd</v>
      </c>
      <c r="T90" s="59" t="s">
        <v>149</v>
      </c>
      <c r="U90" s="59">
        <v>26</v>
      </c>
    </row>
    <row r="91" spans="19:21" x14ac:dyDescent="0.25">
      <c r="S91" s="59" t="str">
        <f t="shared" si="3"/>
        <v>26d</v>
      </c>
      <c r="T91" s="59" t="s">
        <v>15</v>
      </c>
      <c r="U91" s="59">
        <v>26</v>
      </c>
    </row>
    <row r="92" spans="19:21" x14ac:dyDescent="0.25">
      <c r="S92" s="59" t="str">
        <f t="shared" si="3"/>
        <v>26e</v>
      </c>
      <c r="T92" s="59" t="s">
        <v>150</v>
      </c>
      <c r="U92" s="59">
        <v>26</v>
      </c>
    </row>
    <row r="93" spans="19:21" x14ac:dyDescent="0.25">
      <c r="S93" s="59" t="str">
        <f t="shared" si="3"/>
        <v>26f</v>
      </c>
      <c r="T93" s="59" t="s">
        <v>151</v>
      </c>
      <c r="U93" s="59">
        <v>26</v>
      </c>
    </row>
    <row r="94" spans="19:21" x14ac:dyDescent="0.25">
      <c r="S94" s="59" t="str">
        <f t="shared" si="3"/>
        <v>26g</v>
      </c>
      <c r="T94" s="59" t="s">
        <v>152</v>
      </c>
      <c r="U94" s="59">
        <v>26</v>
      </c>
    </row>
    <row r="95" spans="19:21" x14ac:dyDescent="0.25">
      <c r="S95" s="59" t="str">
        <f t="shared" si="3"/>
        <v>27a</v>
      </c>
      <c r="T95" s="59" t="s">
        <v>17</v>
      </c>
      <c r="U95" s="59">
        <v>27</v>
      </c>
    </row>
    <row r="96" spans="19:21" x14ac:dyDescent="0.25">
      <c r="S96" s="59" t="str">
        <f t="shared" si="3"/>
        <v>27ab</v>
      </c>
      <c r="T96" s="59" t="s">
        <v>146</v>
      </c>
      <c r="U96" s="59">
        <v>27</v>
      </c>
    </row>
    <row r="97" spans="19:21" x14ac:dyDescent="0.25">
      <c r="S97" s="59" t="str">
        <f t="shared" si="3"/>
        <v>27b</v>
      </c>
      <c r="T97" s="59" t="s">
        <v>147</v>
      </c>
      <c r="U97" s="59">
        <v>27</v>
      </c>
    </row>
    <row r="98" spans="19:21" x14ac:dyDescent="0.25">
      <c r="S98" s="59" t="str">
        <f t="shared" si="3"/>
        <v>27c</v>
      </c>
      <c r="T98" s="59" t="s">
        <v>115</v>
      </c>
      <c r="U98" s="59">
        <v>27</v>
      </c>
    </row>
    <row r="99" spans="19:21" x14ac:dyDescent="0.25">
      <c r="S99" s="59" t="str">
        <f t="shared" si="3"/>
        <v>27cd</v>
      </c>
      <c r="T99" s="59" t="s">
        <v>149</v>
      </c>
      <c r="U99" s="59">
        <v>27</v>
      </c>
    </row>
    <row r="100" spans="19:21" x14ac:dyDescent="0.25">
      <c r="S100" s="59" t="str">
        <f t="shared" si="3"/>
        <v>27d</v>
      </c>
      <c r="T100" s="59" t="s">
        <v>15</v>
      </c>
      <c r="U100" s="59">
        <v>27</v>
      </c>
    </row>
    <row r="101" spans="19:21" x14ac:dyDescent="0.25">
      <c r="S101" s="59" t="str">
        <f t="shared" si="3"/>
        <v>27e</v>
      </c>
      <c r="T101" s="59" t="s">
        <v>150</v>
      </c>
      <c r="U101" s="59">
        <v>27</v>
      </c>
    </row>
    <row r="102" spans="19:21" x14ac:dyDescent="0.25">
      <c r="S102" s="59" t="str">
        <f t="shared" si="3"/>
        <v>27f</v>
      </c>
      <c r="T102" s="59" t="s">
        <v>151</v>
      </c>
      <c r="U102" s="59">
        <v>27</v>
      </c>
    </row>
    <row r="103" spans="19:21" x14ac:dyDescent="0.25">
      <c r="S103" s="59" t="str">
        <f t="shared" si="3"/>
        <v>27g</v>
      </c>
      <c r="T103" s="59" t="s">
        <v>152</v>
      </c>
      <c r="U103" s="59">
        <v>27</v>
      </c>
    </row>
    <row r="104" spans="19:21" x14ac:dyDescent="0.25">
      <c r="S104" s="59" t="str">
        <f t="shared" si="3"/>
        <v>28a</v>
      </c>
      <c r="T104" s="59" t="s">
        <v>17</v>
      </c>
      <c r="U104" s="59">
        <v>28</v>
      </c>
    </row>
    <row r="105" spans="19:21" x14ac:dyDescent="0.25">
      <c r="S105" s="59" t="str">
        <f t="shared" si="3"/>
        <v>28ab</v>
      </c>
      <c r="T105" s="59" t="s">
        <v>146</v>
      </c>
      <c r="U105" s="59">
        <v>28</v>
      </c>
    </row>
    <row r="106" spans="19:21" x14ac:dyDescent="0.25">
      <c r="S106" s="59" t="str">
        <f t="shared" ref="S106:S130" si="4">CONCATENATE(U106,T106)</f>
        <v>28b</v>
      </c>
      <c r="T106" s="59" t="s">
        <v>147</v>
      </c>
      <c r="U106" s="59">
        <v>28</v>
      </c>
    </row>
    <row r="107" spans="19:21" x14ac:dyDescent="0.25">
      <c r="S107" s="59" t="str">
        <f t="shared" si="4"/>
        <v>28c</v>
      </c>
      <c r="T107" s="59" t="s">
        <v>115</v>
      </c>
      <c r="U107" s="59">
        <v>28</v>
      </c>
    </row>
    <row r="108" spans="19:21" x14ac:dyDescent="0.25">
      <c r="S108" s="59" t="str">
        <f t="shared" si="4"/>
        <v>28cd</v>
      </c>
      <c r="T108" s="59" t="s">
        <v>149</v>
      </c>
      <c r="U108" s="59">
        <v>28</v>
      </c>
    </row>
    <row r="109" spans="19:21" x14ac:dyDescent="0.25">
      <c r="S109" s="59" t="str">
        <f t="shared" si="4"/>
        <v>28d</v>
      </c>
      <c r="T109" s="59" t="s">
        <v>15</v>
      </c>
      <c r="U109" s="59">
        <v>28</v>
      </c>
    </row>
    <row r="110" spans="19:21" x14ac:dyDescent="0.25">
      <c r="S110" s="59" t="str">
        <f t="shared" si="4"/>
        <v>28e</v>
      </c>
      <c r="T110" s="59" t="s">
        <v>150</v>
      </c>
      <c r="U110" s="59">
        <v>28</v>
      </c>
    </row>
    <row r="111" spans="19:21" x14ac:dyDescent="0.25">
      <c r="S111" s="59" t="str">
        <f t="shared" si="4"/>
        <v>28f</v>
      </c>
      <c r="T111" s="59" t="s">
        <v>151</v>
      </c>
      <c r="U111" s="59">
        <v>28</v>
      </c>
    </row>
    <row r="112" spans="19:21" x14ac:dyDescent="0.25">
      <c r="S112" s="59" t="str">
        <f t="shared" si="4"/>
        <v>28g</v>
      </c>
      <c r="T112" s="59" t="s">
        <v>152</v>
      </c>
      <c r="U112" s="59">
        <v>28</v>
      </c>
    </row>
    <row r="113" spans="19:21" x14ac:dyDescent="0.25">
      <c r="S113" s="59" t="str">
        <f t="shared" si="4"/>
        <v>29a</v>
      </c>
      <c r="T113" s="59" t="s">
        <v>17</v>
      </c>
      <c r="U113" s="59">
        <v>29</v>
      </c>
    </row>
    <row r="114" spans="19:21" x14ac:dyDescent="0.25">
      <c r="S114" s="59" t="str">
        <f t="shared" si="4"/>
        <v>29ab</v>
      </c>
      <c r="T114" s="59" t="s">
        <v>146</v>
      </c>
      <c r="U114" s="59">
        <v>29</v>
      </c>
    </row>
    <row r="115" spans="19:21" x14ac:dyDescent="0.25">
      <c r="S115" s="59" t="str">
        <f t="shared" si="4"/>
        <v>29b</v>
      </c>
      <c r="T115" s="59" t="s">
        <v>147</v>
      </c>
      <c r="U115" s="59">
        <v>29</v>
      </c>
    </row>
    <row r="116" spans="19:21" x14ac:dyDescent="0.25">
      <c r="S116" s="59" t="str">
        <f t="shared" si="4"/>
        <v>29c</v>
      </c>
      <c r="T116" s="59" t="s">
        <v>115</v>
      </c>
      <c r="U116" s="59">
        <v>29</v>
      </c>
    </row>
    <row r="117" spans="19:21" x14ac:dyDescent="0.25">
      <c r="S117" s="59" t="str">
        <f t="shared" si="4"/>
        <v>29cd</v>
      </c>
      <c r="T117" s="59" t="s">
        <v>149</v>
      </c>
      <c r="U117" s="59">
        <v>29</v>
      </c>
    </row>
    <row r="118" spans="19:21" x14ac:dyDescent="0.25">
      <c r="S118" s="59" t="str">
        <f t="shared" si="4"/>
        <v>29d</v>
      </c>
      <c r="T118" s="59" t="s">
        <v>15</v>
      </c>
      <c r="U118" s="59">
        <v>29</v>
      </c>
    </row>
    <row r="119" spans="19:21" x14ac:dyDescent="0.25">
      <c r="S119" s="59" t="str">
        <f t="shared" si="4"/>
        <v>29e</v>
      </c>
      <c r="T119" s="59" t="s">
        <v>150</v>
      </c>
      <c r="U119" s="59">
        <v>29</v>
      </c>
    </row>
    <row r="120" spans="19:21" x14ac:dyDescent="0.25">
      <c r="S120" s="59" t="str">
        <f t="shared" si="4"/>
        <v>29f</v>
      </c>
      <c r="T120" s="59" t="s">
        <v>151</v>
      </c>
      <c r="U120" s="59">
        <v>29</v>
      </c>
    </row>
    <row r="121" spans="19:21" x14ac:dyDescent="0.25">
      <c r="S121" s="59" t="str">
        <f t="shared" si="4"/>
        <v>29g</v>
      </c>
      <c r="T121" s="59" t="s">
        <v>152</v>
      </c>
      <c r="U121" s="59">
        <v>29</v>
      </c>
    </row>
    <row r="122" spans="19:21" x14ac:dyDescent="0.25">
      <c r="S122" s="59" t="str">
        <f t="shared" si="4"/>
        <v>30a</v>
      </c>
      <c r="T122" s="59" t="s">
        <v>17</v>
      </c>
      <c r="U122" s="59">
        <v>30</v>
      </c>
    </row>
    <row r="123" spans="19:21" x14ac:dyDescent="0.25">
      <c r="S123" s="59" t="str">
        <f t="shared" si="4"/>
        <v>30ab</v>
      </c>
      <c r="T123" s="59" t="s">
        <v>146</v>
      </c>
      <c r="U123" s="59">
        <v>30</v>
      </c>
    </row>
    <row r="124" spans="19:21" x14ac:dyDescent="0.25">
      <c r="S124" s="59" t="str">
        <f t="shared" si="4"/>
        <v>30b</v>
      </c>
      <c r="T124" s="59" t="s">
        <v>147</v>
      </c>
      <c r="U124" s="59">
        <v>30</v>
      </c>
    </row>
    <row r="125" spans="19:21" x14ac:dyDescent="0.25">
      <c r="S125" s="59" t="str">
        <f t="shared" si="4"/>
        <v>30c</v>
      </c>
      <c r="T125" s="59" t="s">
        <v>115</v>
      </c>
      <c r="U125" s="59">
        <v>30</v>
      </c>
    </row>
    <row r="126" spans="19:21" x14ac:dyDescent="0.25">
      <c r="S126" s="59" t="str">
        <f t="shared" si="4"/>
        <v>30cd</v>
      </c>
      <c r="T126" s="59" t="s">
        <v>149</v>
      </c>
      <c r="U126" s="59">
        <v>30</v>
      </c>
    </row>
    <row r="127" spans="19:21" x14ac:dyDescent="0.25">
      <c r="S127" s="59" t="str">
        <f t="shared" si="4"/>
        <v>30d</v>
      </c>
      <c r="T127" s="59" t="s">
        <v>15</v>
      </c>
      <c r="U127" s="59">
        <v>30</v>
      </c>
    </row>
    <row r="128" spans="19:21" x14ac:dyDescent="0.25">
      <c r="S128" s="59" t="str">
        <f t="shared" si="4"/>
        <v>30e</v>
      </c>
      <c r="T128" s="59" t="s">
        <v>150</v>
      </c>
      <c r="U128" s="59">
        <v>30</v>
      </c>
    </row>
    <row r="129" spans="19:21" x14ac:dyDescent="0.25">
      <c r="S129" s="59" t="str">
        <f t="shared" si="4"/>
        <v>30f</v>
      </c>
      <c r="T129" s="59" t="s">
        <v>151</v>
      </c>
      <c r="U129" s="59">
        <v>30</v>
      </c>
    </row>
    <row r="130" spans="19:21" x14ac:dyDescent="0.25">
      <c r="S130" s="59" t="str">
        <f t="shared" si="4"/>
        <v>30g</v>
      </c>
      <c r="T130" s="59" t="s">
        <v>152</v>
      </c>
      <c r="U130" s="59">
        <v>30</v>
      </c>
    </row>
    <row r="131" spans="19:21" x14ac:dyDescent="0.25">
      <c r="S131" s="59" t="s">
        <v>155</v>
      </c>
      <c r="T131" s="59"/>
      <c r="U131" s="59"/>
    </row>
  </sheetData>
  <sortState xmlns:xlrd2="http://schemas.microsoft.com/office/spreadsheetml/2017/richdata2" ref="O11:O16">
    <sortCondition ref="O11:O16"/>
  </sortState>
  <mergeCells count="14">
    <mergeCell ref="S7:T7"/>
    <mergeCell ref="R11:R23"/>
    <mergeCell ref="R26:R38"/>
    <mergeCell ref="U8:V8"/>
    <mergeCell ref="U9:V9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Principal</vt:lpstr>
      <vt:lpstr>Tabelas</vt:lpstr>
      <vt:lpstr>Principal!Area_de_impressao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2021-09-17T20:46:26Z</dcterms:modified>
</cp:coreProperties>
</file>