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scoD\Muro\GitHub\multienergysystem\doc\"/>
    </mc:Choice>
  </mc:AlternateContent>
  <xr:revisionPtr revIDLastSave="0" documentId="8_{85707EDF-63A2-4AFE-8B41-5E7C163227A3}" xr6:coauthVersionLast="47" xr6:coauthVersionMax="47" xr10:uidLastSave="{00000000-0000-0000-0000-000000000000}"/>
  <bookViews>
    <workbookView xWindow="-108" yWindow="-108" windowWidth="23256" windowHeight="12576" activeTab="1" xr2:uid="{48B1869B-21F5-4BDF-B69D-8E219112A809}"/>
  </bookViews>
  <sheets>
    <sheet name="Mass_Energy Balance" sheetId="1" r:id="rId1"/>
    <sheet name="Only Boiler" sheetId="2" r:id="rId2"/>
    <sheet name="GBoiler &amp; ElectricB" sheetId="3" r:id="rId3"/>
    <sheet name="HeatPumps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3" i="2" l="1"/>
  <c r="AP63" i="2" s="1"/>
  <c r="AN63" i="2"/>
  <c r="AO62" i="2"/>
  <c r="AP62" i="2" s="1"/>
  <c r="AN62" i="2"/>
  <c r="AP57" i="2"/>
  <c r="AO57" i="2"/>
  <c r="AN57" i="2"/>
  <c r="AP56" i="2"/>
  <c r="AN59" i="2"/>
  <c r="AO59" i="2"/>
  <c r="AP59" i="2" s="1"/>
  <c r="AN56" i="2"/>
  <c r="AO56" i="2"/>
  <c r="AN58" i="2"/>
  <c r="AO58" i="2"/>
  <c r="AP58" i="2" s="1"/>
  <c r="AO61" i="2"/>
  <c r="AP61" i="2" s="1"/>
  <c r="AN61" i="2"/>
  <c r="AO60" i="2"/>
  <c r="AP60" i="2" s="1"/>
  <c r="AN60" i="2"/>
  <c r="N16" i="4"/>
  <c r="M16" i="4"/>
  <c r="N12" i="4"/>
  <c r="J9" i="4"/>
  <c r="J12" i="4" s="1"/>
  <c r="L12" i="4" s="1"/>
  <c r="L16" i="4" s="1"/>
  <c r="R16" i="4" s="1"/>
  <c r="F9" i="4"/>
  <c r="Q6" i="4"/>
  <c r="AC32" i="2"/>
  <c r="AH48" i="3"/>
  <c r="AJ48" i="3"/>
  <c r="X46" i="3"/>
  <c r="AB45" i="3"/>
  <c r="Z45" i="3"/>
  <c r="R45" i="3"/>
  <c r="AD45" i="3" s="1"/>
  <c r="AN43" i="3"/>
  <c r="AH43" i="3"/>
  <c r="AL43" i="3" s="1"/>
  <c r="AG43" i="3"/>
  <c r="AF43" i="3"/>
  <c r="AE43" i="3"/>
  <c r="AD43" i="3"/>
  <c r="AC43" i="3"/>
  <c r="AB43" i="3"/>
  <c r="AA43" i="3"/>
  <c r="Z43" i="3"/>
  <c r="W43" i="3"/>
  <c r="V43" i="3"/>
  <c r="U43" i="3"/>
  <c r="T43" i="3"/>
  <c r="AI24" i="3"/>
  <c r="V26" i="3"/>
  <c r="AH29" i="3"/>
  <c r="AH27" i="3"/>
  <c r="AH26" i="3"/>
  <c r="AJ24" i="3"/>
  <c r="AN29" i="3"/>
  <c r="AL29" i="3"/>
  <c r="AJ29" i="3"/>
  <c r="AN26" i="3"/>
  <c r="AL26" i="3"/>
  <c r="AJ26" i="3"/>
  <c r="AF26" i="3"/>
  <c r="AD26" i="3"/>
  <c r="W24" i="3"/>
  <c r="V24" i="3"/>
  <c r="U24" i="3"/>
  <c r="T24" i="3"/>
  <c r="R26" i="3"/>
  <c r="T26" i="3" s="1"/>
  <c r="E45" i="3"/>
  <c r="E44" i="3"/>
  <c r="X27" i="3"/>
  <c r="AH24" i="3"/>
  <c r="AL24" i="3" s="1"/>
  <c r="AG24" i="3"/>
  <c r="AF24" i="3"/>
  <c r="AE24" i="3"/>
  <c r="AD24" i="3"/>
  <c r="AC24" i="3"/>
  <c r="AB24" i="3"/>
  <c r="AA24" i="3"/>
  <c r="Z24" i="3"/>
  <c r="H20" i="3"/>
  <c r="H21" i="3" s="1"/>
  <c r="G20" i="3"/>
  <c r="G21" i="3" s="1"/>
  <c r="F20" i="3"/>
  <c r="F21" i="3" s="1"/>
  <c r="E20" i="3"/>
  <c r="E21" i="3" s="1"/>
  <c r="K13" i="3"/>
  <c r="J13" i="3"/>
  <c r="J20" i="3" s="1"/>
  <c r="H10" i="3"/>
  <c r="G10" i="3"/>
  <c r="F10" i="3"/>
  <c r="E10" i="3"/>
  <c r="H8" i="3"/>
  <c r="H12" i="3" s="1"/>
  <c r="H13" i="3" s="1"/>
  <c r="G8" i="3"/>
  <c r="F8" i="3"/>
  <c r="E8" i="3"/>
  <c r="AH27" i="2"/>
  <c r="AF27" i="2"/>
  <c r="AD27" i="2"/>
  <c r="AB27" i="2"/>
  <c r="AB29" i="2"/>
  <c r="AD24" i="2"/>
  <c r="T24" i="2"/>
  <c r="U24" i="2"/>
  <c r="V24" i="2"/>
  <c r="W24" i="2"/>
  <c r="X24" i="2"/>
  <c r="Y24" i="2"/>
  <c r="Z24" i="2"/>
  <c r="AA24" i="2"/>
  <c r="AB24" i="2"/>
  <c r="AH24" i="2" s="1"/>
  <c r="AH26" i="2"/>
  <c r="AF26" i="2"/>
  <c r="AD26" i="2"/>
  <c r="AB26" i="2"/>
  <c r="R27" i="2"/>
  <c r="AF29" i="2" s="1"/>
  <c r="AG32" i="2" s="1"/>
  <c r="E45" i="2"/>
  <c r="E44" i="2"/>
  <c r="E47" i="2" s="1"/>
  <c r="H20" i="2"/>
  <c r="H21" i="2" s="1"/>
  <c r="G20" i="2"/>
  <c r="G21" i="2" s="1"/>
  <c r="F20" i="2"/>
  <c r="F21" i="2" s="1"/>
  <c r="E20" i="2"/>
  <c r="E21" i="2" s="1"/>
  <c r="R13" i="2"/>
  <c r="Q13" i="2"/>
  <c r="S13" i="2" s="1"/>
  <c r="K13" i="2"/>
  <c r="J13" i="2"/>
  <c r="K20" i="2" s="1"/>
  <c r="R12" i="2"/>
  <c r="Q12" i="2"/>
  <c r="S12" i="2" s="1"/>
  <c r="R11" i="2"/>
  <c r="Q11" i="2"/>
  <c r="S11" i="2" s="1"/>
  <c r="R10" i="2"/>
  <c r="Q10" i="2"/>
  <c r="S10" i="2" s="1"/>
  <c r="H10" i="2"/>
  <c r="G10" i="2"/>
  <c r="F10" i="2"/>
  <c r="E10" i="2"/>
  <c r="R9" i="2"/>
  <c r="Q9" i="2"/>
  <c r="S9" i="2" s="1"/>
  <c r="R8" i="2"/>
  <c r="Q8" i="2"/>
  <c r="S8" i="2" s="1"/>
  <c r="H8" i="2"/>
  <c r="G8" i="2"/>
  <c r="F8" i="2"/>
  <c r="F12" i="2" s="1"/>
  <c r="F13" i="2" s="1"/>
  <c r="E8" i="2"/>
  <c r="R7" i="2"/>
  <c r="Q7" i="2"/>
  <c r="S7" i="2" s="1"/>
  <c r="R6" i="2"/>
  <c r="Q6" i="2"/>
  <c r="S6" i="2" s="1"/>
  <c r="L9" i="4" l="1"/>
  <c r="AK51" i="3"/>
  <c r="AL48" i="3"/>
  <c r="AH45" i="3"/>
  <c r="AI43" i="3" s="1"/>
  <c r="AF45" i="3"/>
  <c r="T45" i="3"/>
  <c r="V45" i="3" s="1"/>
  <c r="AJ43" i="3"/>
  <c r="AI51" i="3"/>
  <c r="E47" i="3"/>
  <c r="G12" i="3"/>
  <c r="G13" i="3" s="1"/>
  <c r="E12" i="3"/>
  <c r="E13" i="3" s="1"/>
  <c r="F12" i="3"/>
  <c r="F13" i="3" s="1"/>
  <c r="AM32" i="3"/>
  <c r="AK32" i="3"/>
  <c r="AK24" i="3"/>
  <c r="AJ27" i="3" s="1"/>
  <c r="AO32" i="3"/>
  <c r="AN24" i="3"/>
  <c r="K20" i="3"/>
  <c r="AI32" i="3"/>
  <c r="AF24" i="2"/>
  <c r="AG24" i="2"/>
  <c r="AH29" i="2"/>
  <c r="AD29" i="2"/>
  <c r="H12" i="2"/>
  <c r="H13" i="2" s="1"/>
  <c r="E12" i="2"/>
  <c r="E13" i="2" s="1"/>
  <c r="G12" i="2"/>
  <c r="G13" i="2" s="1"/>
  <c r="J20" i="2"/>
  <c r="H21" i="1"/>
  <c r="G21" i="1"/>
  <c r="F21" i="1"/>
  <c r="E21" i="1"/>
  <c r="J20" i="1"/>
  <c r="K20" i="1"/>
  <c r="S7" i="1"/>
  <c r="S8" i="1"/>
  <c r="S9" i="1"/>
  <c r="S10" i="1"/>
  <c r="S11" i="1"/>
  <c r="S12" i="1"/>
  <c r="S13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R6" i="1"/>
  <c r="Q6" i="1"/>
  <c r="K13" i="1"/>
  <c r="J13" i="1"/>
  <c r="F20" i="1"/>
  <c r="G20" i="1"/>
  <c r="H20" i="1"/>
  <c r="E20" i="1"/>
  <c r="H12" i="1"/>
  <c r="H13" i="1" s="1"/>
  <c r="G10" i="1"/>
  <c r="H10" i="1"/>
  <c r="F10" i="1"/>
  <c r="E10" i="1"/>
  <c r="H8" i="1"/>
  <c r="G8" i="1"/>
  <c r="F8" i="1"/>
  <c r="F12" i="1" s="1"/>
  <c r="F13" i="1" s="1"/>
  <c r="E8" i="1"/>
  <c r="AM51" i="3" l="1"/>
  <c r="AN48" i="3"/>
  <c r="AH46" i="3"/>
  <c r="AJ45" i="3"/>
  <c r="AK43" i="3" s="1"/>
  <c r="AO24" i="3"/>
  <c r="AN27" i="3" s="1"/>
  <c r="AM24" i="3"/>
  <c r="AL27" i="3" s="1"/>
  <c r="AC24" i="2"/>
  <c r="AE32" i="2"/>
  <c r="AE24" i="2"/>
  <c r="AI32" i="2"/>
  <c r="AI24" i="2"/>
  <c r="G12" i="1"/>
  <c r="G13" i="1" s="1"/>
  <c r="E12" i="1"/>
  <c r="E13" i="1" s="1"/>
  <c r="AL45" i="3" l="1"/>
  <c r="AJ46" i="3"/>
  <c r="AO51" i="3"/>
  <c r="AN45" i="3" l="1"/>
  <c r="AM43" i="3"/>
  <c r="AL46" i="3" s="1"/>
  <c r="AO43" i="3" l="1"/>
  <c r="AN46" i="3" s="1"/>
</calcChain>
</file>

<file path=xl/sharedStrings.xml><?xml version="1.0" encoding="utf-8"?>
<sst xmlns="http://schemas.openxmlformats.org/spreadsheetml/2006/main" count="325" uniqueCount="56">
  <si>
    <t>HX01</t>
  </si>
  <si>
    <t>HX02</t>
  </si>
  <si>
    <t>HX03</t>
  </si>
  <si>
    <t>d T</t>
  </si>
  <si>
    <t>cp</t>
  </si>
  <si>
    <t>m_flow</t>
  </si>
  <si>
    <t>Pt</t>
  </si>
  <si>
    <t>Pt (kW)</t>
  </si>
  <si>
    <t>cold</t>
  </si>
  <si>
    <t>hot</t>
  </si>
  <si>
    <t>a[4] + T*(a[3] + T*(a[2] + T*a[1]))</t>
  </si>
  <si>
    <t>COLD</t>
  </si>
  <si>
    <t>HOT</t>
  </si>
  <si>
    <t>HH_CH4</t>
  </si>
  <si>
    <t>MJ/kg</t>
  </si>
  <si>
    <t>m_H2O</t>
  </si>
  <si>
    <t>kg/s</t>
  </si>
  <si>
    <t>m_CH4</t>
  </si>
  <si>
    <t>kW</t>
  </si>
  <si>
    <t>Circuit</t>
  </si>
  <si>
    <t>In</t>
  </si>
  <si>
    <t>Out</t>
  </si>
  <si>
    <t>Pump P101</t>
  </si>
  <si>
    <t xml:space="preserve">In </t>
  </si>
  <si>
    <t>Valve V101</t>
  </si>
  <si>
    <t>Pump P901</t>
  </si>
  <si>
    <t>Valve V901</t>
  </si>
  <si>
    <t>In Hot</t>
  </si>
  <si>
    <t>Out Cold</t>
  </si>
  <si>
    <t>In Cold</t>
  </si>
  <si>
    <t>Out Hot</t>
  </si>
  <si>
    <t>HX04</t>
  </si>
  <si>
    <t>p</t>
  </si>
  <si>
    <t>T</t>
  </si>
  <si>
    <t>Pt_demand</t>
  </si>
  <si>
    <t>Pt_source</t>
  </si>
  <si>
    <t>Pt = mcp(Tin-Tout)</t>
  </si>
  <si>
    <t xml:space="preserve">Tin - Pt/mcp </t>
  </si>
  <si>
    <t>Gas Boiler</t>
  </si>
  <si>
    <t>Electric Boiler</t>
  </si>
  <si>
    <t>Pump P401</t>
  </si>
  <si>
    <t>Valve V401</t>
  </si>
  <si>
    <t>Tin_hot</t>
  </si>
  <si>
    <t>Tout_hot</t>
  </si>
  <si>
    <t>m_hot</t>
  </si>
  <si>
    <t>Tin_cold</t>
  </si>
  <si>
    <t>Tout_cold</t>
  </si>
  <si>
    <t>m_cold</t>
  </si>
  <si>
    <t>EX601</t>
  </si>
  <si>
    <t>HP601</t>
  </si>
  <si>
    <t>HP301</t>
  </si>
  <si>
    <t>q(m3/h)</t>
  </si>
  <si>
    <t>mh2o</t>
  </si>
  <si>
    <t>w(kg/s)</t>
  </si>
  <si>
    <t>dp (Pa)</t>
  </si>
  <si>
    <t>dp 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</si>
</sst>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0" fontId="1" fillId="0" borderId="0" xfId="0" applyFont="1"/>
    <xf numFmtId="2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2" borderId="0" xfId="0" applyNumberFormat="1" applyFill="1"/>
    <xf numFmtId="0" fontId="2" fillId="0" borderId="0" xfId="0" applyNumberFormat="1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'Only Boiler'!$AO$55</c:f>
              <c:strCache>
                <c:ptCount val="1"/>
                <c:pt idx="0">
                  <c:v>dp (Pa)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'Only Boiler'!$AN$56:$AN$63</c:f>
              <c:numCache>
                <c:formatCode>General</c:formatCode>
                <c:ptCount val="8"/>
                <c:pt idx="0">
                  <c:v>0</c:v>
                </c:pt>
                <c:pt idx="1">
                  <c:v>1.925</c:v>
                </c:pt>
                <c:pt idx="2">
                  <c:v>3.5750000000000002</c:v>
                </c:pt>
                <c:pt idx="3">
                  <c:v>4.95</c:v>
                </c:pt>
                <c:pt idx="4">
                  <c:v>6.05</c:v>
                </c:pt>
                <c:pt idx="5">
                  <c:v>9.35</c:v>
                </c:pt>
                <c:pt idx="6">
                  <c:v>10.45</c:v>
                </c:pt>
                <c:pt idx="7">
                  <c:v>11</c:v>
                </c:pt>
              </c:numCache>
            </c:numRef>
          </c:xVal>
          <c:yVal>
            <c:numRef>
              <c:f>'Only Boiler'!$AO$56:$AO$63</c:f>
              <c:numCache>
                <c:formatCode>General</c:formatCode>
                <c:ptCount val="8"/>
                <c:pt idx="0">
                  <c:v>0</c:v>
                </c:pt>
                <c:pt idx="1">
                  <c:v>980.66499999999996</c:v>
                </c:pt>
                <c:pt idx="2">
                  <c:v>1961.33</c:v>
                </c:pt>
                <c:pt idx="3">
                  <c:v>2941.9949999999999</c:v>
                </c:pt>
                <c:pt idx="4">
                  <c:v>3922.66</c:v>
                </c:pt>
                <c:pt idx="5">
                  <c:v>7845.32</c:v>
                </c:pt>
                <c:pt idx="6">
                  <c:v>9316.3174999999992</c:v>
                </c:pt>
                <c:pt idx="7">
                  <c:v>10051.816249999998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B-4165-B3A2-6CF097DBE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520336"/>
        <c:axId val="960140144"/>
      </c:scatterChart>
      <c:valAx>
        <c:axId val="12885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0140144"/>
        <c:crosses val="autoZero"/>
        <c:crossBetween val="midCat"/>
      </c:valAx>
      <c:valAx>
        <c:axId val="9601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85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41</xdr:row>
      <xdr:rowOff>0</xdr:rowOff>
    </xdr:from>
    <xdr:to>
      <xdr:col>35</xdr:col>
      <xdr:colOff>340120</xdr:colOff>
      <xdr:row>84</xdr:row>
      <xdr:rowOff>130750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F7045B1-1AFF-216B-C54C-E4FE54D29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1286" y="7157357"/>
          <a:ext cx="11361905" cy="7733333"/>
        </a:xfrm>
        <a:prstGeom prst="rect">
          <a:avLst/>
        </a:prstGeom>
      </xdr:spPr>
    </xdr:pic>
    <xdr:clientData/>
  </xdr:twoCellAnchor>
  <xdr:twoCellAnchor>
    <xdr:from>
      <xdr:col>42</xdr:col>
      <xdr:colOff>453472</xdr:colOff>
      <xdr:row>48</xdr:row>
      <xdr:rowOff>115423</xdr:rowOff>
    </xdr:from>
    <xdr:to>
      <xdr:col>50</xdr:col>
      <xdr:colOff>134660</xdr:colOff>
      <xdr:row>63</xdr:row>
      <xdr:rowOff>125177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D8C54A-1042-478F-424F-E73EF0E4D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8F8D-2751-468C-AA7B-D09D88CBA675}">
  <dimension ref="C5:X30"/>
  <sheetViews>
    <sheetView zoomScaleNormal="100" workbookViewId="0">
      <selection activeCell="E20" sqref="E20"/>
    </sheetView>
  </sheetViews>
  <sheetFormatPr defaultRowHeight="14.4" x14ac:dyDescent="0.3"/>
  <cols>
    <col min="4" max="4" width="12.6640625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Q13" si="0">+O7+273.15</f>
        <v>281.62460399999998</v>
      </c>
      <c r="R7">
        <f t="shared" ref="R7:R13" si="1">+P7+273.15</f>
        <v>350.21944999999999</v>
      </c>
      <c r="S7">
        <f t="shared" ref="S7:S13" si="2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1"/>
        <v>347.36055999999996</v>
      </c>
      <c r="S8">
        <f t="shared" si="2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1"/>
        <v>344.571776</v>
      </c>
      <c r="S9">
        <f t="shared" si="2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1"/>
        <v>341.85158999999999</v>
      </c>
      <c r="S10">
        <f t="shared" si="2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1"/>
        <v>339.19845399999997</v>
      </c>
      <c r="S11">
        <f t="shared" si="2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1"/>
        <v>336.61089999999996</v>
      </c>
      <c r="S12">
        <f t="shared" si="2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1"/>
        <v>334.08745999999996</v>
      </c>
      <c r="S13">
        <f t="shared" si="2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1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1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1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1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</row>
    <row r="24" spans="3:11" x14ac:dyDescent="0.3">
      <c r="C24" t="s">
        <v>13</v>
      </c>
      <c r="D24">
        <v>55.5</v>
      </c>
      <c r="E24" t="s">
        <v>14</v>
      </c>
    </row>
    <row r="26" spans="3:11" x14ac:dyDescent="0.3">
      <c r="C26" t="s">
        <v>15</v>
      </c>
      <c r="D26">
        <v>1.8071539999999999</v>
      </c>
      <c r="E26" t="s">
        <v>16</v>
      </c>
    </row>
    <row r="27" spans="3:11" x14ac:dyDescent="0.3">
      <c r="C27" t="s">
        <v>17</v>
      </c>
      <c r="D27">
        <v>2.784992E-3</v>
      </c>
      <c r="E27" t="s">
        <v>16</v>
      </c>
    </row>
    <row r="29" spans="3:11" x14ac:dyDescent="0.3">
      <c r="C29" t="s">
        <v>15</v>
      </c>
      <c r="D29">
        <v>2.4095387000000001</v>
      </c>
      <c r="E29" t="s">
        <v>16</v>
      </c>
    </row>
    <row r="30" spans="3:11" x14ac:dyDescent="0.3">
      <c r="C30" t="s">
        <v>17</v>
      </c>
      <c r="D30">
        <v>3.7117425999999999E-3</v>
      </c>
      <c r="E30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B-28F8-4AFC-BFAF-78EBA52576BB}">
  <dimension ref="C5:AP63"/>
  <sheetViews>
    <sheetView tabSelected="1" topLeftCell="J8" zoomScale="70" zoomScaleNormal="70" workbookViewId="0">
      <selection activeCell="AX69" sqref="AX69"/>
    </sheetView>
  </sheetViews>
  <sheetFormatPr defaultRowHeight="14.4" x14ac:dyDescent="0.3"/>
  <cols>
    <col min="4" max="4" width="12.6640625" customWidth="1"/>
    <col min="17" max="17" width="11.33203125" bestFit="1" customWidth="1"/>
  </cols>
  <sheetData>
    <row r="5" spans="3:24" x14ac:dyDescent="0.3">
      <c r="M5" t="s">
        <v>8</v>
      </c>
      <c r="N5" t="s">
        <v>9</v>
      </c>
      <c r="O5" t="s">
        <v>8</v>
      </c>
      <c r="P5" t="s">
        <v>9</v>
      </c>
      <c r="Q5" t="s">
        <v>8</v>
      </c>
      <c r="R5" t="s">
        <v>9</v>
      </c>
      <c r="U5" t="s">
        <v>10</v>
      </c>
    </row>
    <row r="6" spans="3:24" x14ac:dyDescent="0.3">
      <c r="J6">
        <v>6627.7772999999997</v>
      </c>
      <c r="K6">
        <v>-7717.5127000000002</v>
      </c>
      <c r="M6">
        <v>4197.5200000000004</v>
      </c>
      <c r="N6">
        <v>4195.2007000000003</v>
      </c>
      <c r="O6">
        <v>7.3327879999999999</v>
      </c>
      <c r="P6">
        <v>79.999989999999997</v>
      </c>
      <c r="Q6">
        <f>+O6+273.15</f>
        <v>280.48278799999997</v>
      </c>
      <c r="R6">
        <f>+P6+273.15</f>
        <v>353.14999</v>
      </c>
      <c r="S6">
        <f>+$X$6+Q6*($W$6+Q6*($V$6+Q6*$U$6))</f>
        <v>4197.5200941188095</v>
      </c>
      <c r="U6" s="2">
        <v>-7.9613160841788996E-5</v>
      </c>
      <c r="V6">
        <v>9.0325271418373002E-2</v>
      </c>
      <c r="W6">
        <v>-33.186924873704001</v>
      </c>
      <c r="X6">
        <v>8156.6624352754998</v>
      </c>
    </row>
    <row r="7" spans="3:24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  <c r="M7">
        <v>4196.0576000000001</v>
      </c>
      <c r="N7">
        <v>4192.9453000000003</v>
      </c>
      <c r="O7">
        <v>8.4746039999999994</v>
      </c>
      <c r="P7">
        <v>77.069450000000003</v>
      </c>
      <c r="Q7">
        <f t="shared" ref="Q7:R13" si="0">+O7+273.15</f>
        <v>281.62460399999998</v>
      </c>
      <c r="R7">
        <f t="shared" si="0"/>
        <v>350.21944999999999</v>
      </c>
      <c r="S7">
        <f t="shared" ref="S7:S13" si="1">+$X$6+Q7*($W$6+Q7*($V$6+Q7*$U$6))</f>
        <v>4196.0578153123297</v>
      </c>
    </row>
    <row r="8" spans="3:24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  <c r="M8">
        <v>4194.62</v>
      </c>
      <c r="N8">
        <v>4190.8257000000003</v>
      </c>
      <c r="O8">
        <v>9.6462040000000009</v>
      </c>
      <c r="P8">
        <v>74.210560000000001</v>
      </c>
      <c r="Q8">
        <f t="shared" si="0"/>
        <v>282.79620399999999</v>
      </c>
      <c r="R8">
        <f t="shared" si="0"/>
        <v>347.36055999999996</v>
      </c>
      <c r="S8">
        <f t="shared" si="1"/>
        <v>4194.6198946187096</v>
      </c>
    </row>
    <row r="9" spans="3:24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  <c r="M9">
        <v>4193.2094999999999</v>
      </c>
      <c r="N9">
        <v>4188.8469999999998</v>
      </c>
      <c r="O9">
        <v>10.848413000000001</v>
      </c>
      <c r="P9">
        <v>71.421775999999994</v>
      </c>
      <c r="Q9">
        <f t="shared" si="0"/>
        <v>283.99841299999997</v>
      </c>
      <c r="R9">
        <f t="shared" si="0"/>
        <v>344.571776</v>
      </c>
      <c r="S9">
        <f t="shared" si="1"/>
        <v>4193.2094167923105</v>
      </c>
    </row>
    <row r="10" spans="3:24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  <c r="M10">
        <v>4191.8296</v>
      </c>
      <c r="N10">
        <v>4187.0127000000002</v>
      </c>
      <c r="O10">
        <v>12.081903000000001</v>
      </c>
      <c r="P10">
        <v>68.701589999999996</v>
      </c>
      <c r="Q10">
        <f t="shared" si="0"/>
        <v>285.23190299999999</v>
      </c>
      <c r="R10">
        <f t="shared" si="0"/>
        <v>341.85158999999999</v>
      </c>
      <c r="S10">
        <f t="shared" si="1"/>
        <v>4191.8298163361069</v>
      </c>
    </row>
    <row r="11" spans="3:24" x14ac:dyDescent="0.3">
      <c r="J11">
        <v>7524.7124000000003</v>
      </c>
      <c r="K11">
        <v>-6798.5293000000001</v>
      </c>
      <c r="M11">
        <v>4190.4844000000003</v>
      </c>
      <c r="N11">
        <v>4185.3266999999996</v>
      </c>
      <c r="O11">
        <v>13.347498</v>
      </c>
      <c r="P11">
        <v>66.048454000000007</v>
      </c>
      <c r="Q11">
        <f t="shared" si="0"/>
        <v>286.49749799999995</v>
      </c>
      <c r="R11">
        <f t="shared" si="0"/>
        <v>339.19845399999997</v>
      </c>
      <c r="S11">
        <f t="shared" si="1"/>
        <v>4190.4845166768991</v>
      </c>
    </row>
    <row r="12" spans="3:24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  <c r="M12">
        <v>4189.1772000000001</v>
      </c>
      <c r="N12">
        <v>4183.7915000000003</v>
      </c>
      <c r="O12">
        <v>14.645989999999999</v>
      </c>
      <c r="P12">
        <v>63.460900000000002</v>
      </c>
      <c r="Q12">
        <f t="shared" si="0"/>
        <v>287.79598999999996</v>
      </c>
      <c r="R12">
        <f t="shared" si="0"/>
        <v>336.61089999999996</v>
      </c>
      <c r="S12">
        <f t="shared" si="1"/>
        <v>4189.177148918001</v>
      </c>
    </row>
    <row r="13" spans="3:24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  <c r="M13">
        <v>4187.9116000000004</v>
      </c>
      <c r="N13">
        <v>4182.4097000000002</v>
      </c>
      <c r="O13">
        <v>15.978144</v>
      </c>
      <c r="P13">
        <v>60.937460000000002</v>
      </c>
      <c r="Q13">
        <f t="shared" si="0"/>
        <v>289.12814399999996</v>
      </c>
      <c r="R13">
        <f t="shared" si="0"/>
        <v>334.08745999999996</v>
      </c>
      <c r="S13">
        <f t="shared" si="1"/>
        <v>4187.9115340050121</v>
      </c>
    </row>
    <row r="15" spans="3:24" x14ac:dyDescent="0.3">
      <c r="E15" t="s">
        <v>0</v>
      </c>
      <c r="F15" t="s">
        <v>1</v>
      </c>
      <c r="G15" t="s">
        <v>2</v>
      </c>
      <c r="H15" t="s">
        <v>2</v>
      </c>
    </row>
    <row r="16" spans="3:24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35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35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  <c r="R18" t="s">
        <v>19</v>
      </c>
    </row>
    <row r="20" spans="3:35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35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38</v>
      </c>
      <c r="S21" s="13"/>
      <c r="T21" s="13" t="s">
        <v>22</v>
      </c>
      <c r="U21" s="13"/>
      <c r="V21" s="13" t="s">
        <v>24</v>
      </c>
      <c r="W21" s="13"/>
      <c r="X21" s="13" t="s">
        <v>25</v>
      </c>
      <c r="Y21" s="13"/>
      <c r="Z21" s="13" t="s">
        <v>26</v>
      </c>
      <c r="AA21" s="13"/>
      <c r="AB21" s="13" t="s">
        <v>0</v>
      </c>
      <c r="AC21" s="13"/>
      <c r="AD21" s="13" t="s">
        <v>1</v>
      </c>
      <c r="AE21" s="13"/>
      <c r="AF21" s="13" t="s">
        <v>2</v>
      </c>
      <c r="AG21" s="13"/>
      <c r="AH21" s="13" t="s">
        <v>31</v>
      </c>
      <c r="AI21" s="13"/>
    </row>
    <row r="22" spans="3:35" x14ac:dyDescent="0.3">
      <c r="R22" s="3" t="s">
        <v>20</v>
      </c>
      <c r="S22" s="3" t="s">
        <v>21</v>
      </c>
      <c r="T22" s="3" t="s">
        <v>20</v>
      </c>
      <c r="U22" s="3" t="s">
        <v>21</v>
      </c>
      <c r="V22" s="3" t="s">
        <v>23</v>
      </c>
      <c r="W22" s="3" t="s">
        <v>21</v>
      </c>
      <c r="X22" s="3" t="s">
        <v>23</v>
      </c>
      <c r="Y22" s="3" t="s">
        <v>21</v>
      </c>
      <c r="Z22" s="3" t="s">
        <v>23</v>
      </c>
      <c r="AA22" s="3" t="s">
        <v>21</v>
      </c>
      <c r="AB22" s="3" t="s">
        <v>27</v>
      </c>
      <c r="AC22" s="3" t="s">
        <v>28</v>
      </c>
      <c r="AD22" s="3" t="s">
        <v>27</v>
      </c>
      <c r="AE22" s="3" t="s">
        <v>30</v>
      </c>
      <c r="AF22" s="3" t="s">
        <v>27</v>
      </c>
      <c r="AG22" s="3" t="s">
        <v>30</v>
      </c>
      <c r="AH22" s="3" t="s">
        <v>27</v>
      </c>
      <c r="AI22" s="3" t="s">
        <v>30</v>
      </c>
    </row>
    <row r="23" spans="3:35" x14ac:dyDescent="0.3">
      <c r="Q23" s="3" t="s">
        <v>32</v>
      </c>
    </row>
    <row r="24" spans="3:35" x14ac:dyDescent="0.3">
      <c r="C24" t="s">
        <v>13</v>
      </c>
      <c r="D24">
        <v>55.5</v>
      </c>
      <c r="E24" t="s">
        <v>14</v>
      </c>
      <c r="Q24" s="3" t="s">
        <v>33</v>
      </c>
      <c r="R24">
        <v>70.5</v>
      </c>
      <c r="S24">
        <v>80</v>
      </c>
      <c r="T24">
        <f>+S24</f>
        <v>80</v>
      </c>
      <c r="U24">
        <f>+S24</f>
        <v>80</v>
      </c>
      <c r="V24">
        <f>+S24</f>
        <v>80</v>
      </c>
      <c r="W24">
        <f>+S24</f>
        <v>80</v>
      </c>
      <c r="X24">
        <f>+S24</f>
        <v>80</v>
      </c>
      <c r="Y24">
        <f>+S24</f>
        <v>80</v>
      </c>
      <c r="Z24">
        <f>+S24</f>
        <v>80</v>
      </c>
      <c r="AA24">
        <f>+S24</f>
        <v>80</v>
      </c>
      <c r="AB24">
        <f>+S24</f>
        <v>80</v>
      </c>
      <c r="AC24" s="6">
        <f>+AB24+AB29*1000/(AB25*AB26)</f>
        <v>70.452222010726643</v>
      </c>
      <c r="AD24">
        <f>+AB24</f>
        <v>80</v>
      </c>
      <c r="AE24" s="6">
        <f>+AD24+AD29*1000/(AD25*AD26)</f>
        <v>70.452222010726643</v>
      </c>
      <c r="AF24">
        <f>+AB24</f>
        <v>80</v>
      </c>
      <c r="AG24" s="6">
        <f>+AF24+AF29*1000/(AF25*AF26)</f>
        <v>70.452222010726643</v>
      </c>
      <c r="AH24">
        <f>+AB24</f>
        <v>80</v>
      </c>
      <c r="AI24" s="6">
        <f>+AH24+AH29*1000/(AH25*AH26)</f>
        <v>70.452222010726643</v>
      </c>
    </row>
    <row r="25" spans="3:35" x14ac:dyDescent="0.3">
      <c r="Q25" s="3" t="s">
        <v>4</v>
      </c>
      <c r="R25">
        <v>4182</v>
      </c>
      <c r="AB25" s="1">
        <v>4161.072874194846</v>
      </c>
      <c r="AD25" s="1">
        <v>4161.072874194846</v>
      </c>
      <c r="AF25" s="1">
        <v>4161.072874194846</v>
      </c>
      <c r="AH25" s="1">
        <v>4161.072874194846</v>
      </c>
    </row>
    <row r="26" spans="3:35" x14ac:dyDescent="0.3">
      <c r="Q26" s="3" t="s">
        <v>5</v>
      </c>
      <c r="R26">
        <v>2.5</v>
      </c>
      <c r="T26">
        <v>2.5</v>
      </c>
      <c r="V26">
        <v>2.5</v>
      </c>
      <c r="X26">
        <v>2.5</v>
      </c>
      <c r="Z26">
        <v>2.5</v>
      </c>
      <c r="AB26">
        <f>+R26/4</f>
        <v>0.625</v>
      </c>
      <c r="AD26">
        <f>+T26/4</f>
        <v>0.625</v>
      </c>
      <c r="AF26">
        <f>+V26/4</f>
        <v>0.625</v>
      </c>
      <c r="AH26">
        <f>+X26/4</f>
        <v>0.625</v>
      </c>
    </row>
    <row r="27" spans="3:35" x14ac:dyDescent="0.3">
      <c r="C27" t="s">
        <v>15</v>
      </c>
      <c r="D27">
        <v>1.8071539999999999</v>
      </c>
      <c r="E27" t="s">
        <v>16</v>
      </c>
      <c r="Q27" s="3" t="s">
        <v>35</v>
      </c>
      <c r="R27">
        <f>+R26*R25*(S24-R24)/1000</f>
        <v>99.322500000000005</v>
      </c>
      <c r="AB27" s="7">
        <f>+AB26*AB25*(AB24-AC24)/1000</f>
        <v>24.830624999999987</v>
      </c>
      <c r="AC27" s="3"/>
      <c r="AD27" s="7">
        <f>+AD26*AD25*(AD24-AE24)/1000</f>
        <v>24.830624999999987</v>
      </c>
      <c r="AE27" s="3"/>
      <c r="AF27" s="7">
        <f>+AF26*AF25*(AF24-AG24)/1000</f>
        <v>24.830624999999987</v>
      </c>
      <c r="AG27" s="3"/>
      <c r="AH27" s="7">
        <f>+AH26*AH25*(AH24-AI24)/1000</f>
        <v>24.830624999999987</v>
      </c>
    </row>
    <row r="28" spans="3:35" ht="6" customHeight="1" x14ac:dyDescent="0.3">
      <c r="Q28" s="3"/>
    </row>
    <row r="29" spans="3:35" x14ac:dyDescent="0.3">
      <c r="C29" t="s">
        <v>17</v>
      </c>
      <c r="D29">
        <v>2.784992E-3</v>
      </c>
      <c r="E29" t="s">
        <v>16</v>
      </c>
      <c r="Q29" s="3" t="s">
        <v>34</v>
      </c>
      <c r="AB29" s="8">
        <f>+$R$27/-4</f>
        <v>-24.830625000000001</v>
      </c>
      <c r="AC29" s="3"/>
      <c r="AD29" s="8">
        <f>+$R$27/-4</f>
        <v>-24.830625000000001</v>
      </c>
      <c r="AE29" s="3"/>
      <c r="AF29" s="8">
        <f>+$R$27/-4</f>
        <v>-24.830625000000001</v>
      </c>
      <c r="AG29" s="3"/>
      <c r="AH29" s="8">
        <f>+$R$27/-4</f>
        <v>-24.830625000000001</v>
      </c>
    </row>
    <row r="30" spans="3:35" x14ac:dyDescent="0.3">
      <c r="Q30" s="3" t="s">
        <v>5</v>
      </c>
      <c r="AB30">
        <v>1.75</v>
      </c>
      <c r="AD30">
        <v>1.75</v>
      </c>
      <c r="AF30">
        <v>1.75</v>
      </c>
      <c r="AH30">
        <v>1.75</v>
      </c>
    </row>
    <row r="31" spans="3:35" x14ac:dyDescent="0.3">
      <c r="Q31" s="3" t="s">
        <v>4</v>
      </c>
      <c r="AB31" s="1">
        <v>4198.5741190523495</v>
      </c>
      <c r="AC31" s="1"/>
      <c r="AD31" s="1">
        <v>4198.5741190523495</v>
      </c>
      <c r="AE31" s="1"/>
      <c r="AF31" s="1">
        <v>4198.5741190523495</v>
      </c>
      <c r="AG31" s="1"/>
      <c r="AH31" s="1">
        <v>4198.5741190523495</v>
      </c>
      <c r="AI31" s="1"/>
    </row>
    <row r="32" spans="3:35" x14ac:dyDescent="0.3">
      <c r="C32" t="s">
        <v>15</v>
      </c>
      <c r="D32">
        <v>2.4095387000000001</v>
      </c>
      <c r="E32" t="s">
        <v>16</v>
      </c>
      <c r="Q32" s="3" t="s">
        <v>33</v>
      </c>
      <c r="AB32">
        <v>8</v>
      </c>
      <c r="AC32" s="10">
        <f>+AB32-AB29*1000/(AB30*AB31)</f>
        <v>11.379463639105916</v>
      </c>
      <c r="AD32">
        <v>8</v>
      </c>
      <c r="AE32" s="5">
        <f>+AD32-AD29*1000/(AD30*AD31)</f>
        <v>11.379463639105916</v>
      </c>
      <c r="AF32">
        <v>8</v>
      </c>
      <c r="AG32" s="5">
        <f>+AF32-AF29*1000/(AF30*AF31)</f>
        <v>11.379463639105916</v>
      </c>
      <c r="AH32">
        <v>8</v>
      </c>
      <c r="AI32" s="5">
        <f>+AH32-AH29*1000/(AH30*AH31)</f>
        <v>11.379463639105916</v>
      </c>
    </row>
    <row r="33" spans="3:35" x14ac:dyDescent="0.3">
      <c r="C33" t="s">
        <v>17</v>
      </c>
      <c r="D33">
        <v>3.7117425999999999E-3</v>
      </c>
      <c r="E33" t="s">
        <v>16</v>
      </c>
      <c r="AB33" s="3" t="s">
        <v>29</v>
      </c>
      <c r="AC33" s="3" t="s">
        <v>28</v>
      </c>
      <c r="AD33" s="3" t="s">
        <v>29</v>
      </c>
      <c r="AE33" s="3" t="s">
        <v>28</v>
      </c>
      <c r="AF33" s="3" t="s">
        <v>29</v>
      </c>
      <c r="AG33" s="3" t="s">
        <v>28</v>
      </c>
      <c r="AH33" s="3" t="s">
        <v>29</v>
      </c>
      <c r="AI33" s="3" t="s">
        <v>28</v>
      </c>
    </row>
    <row r="34" spans="3:35" x14ac:dyDescent="0.3">
      <c r="AB34" s="13" t="s">
        <v>0</v>
      </c>
      <c r="AC34" s="13"/>
      <c r="AD34" s="13" t="s">
        <v>1</v>
      </c>
      <c r="AE34" s="13"/>
      <c r="AF34" s="13" t="s">
        <v>2</v>
      </c>
      <c r="AG34" s="13"/>
      <c r="AH34" s="13" t="s">
        <v>31</v>
      </c>
      <c r="AI34" s="13"/>
    </row>
    <row r="35" spans="3:35" x14ac:dyDescent="0.3">
      <c r="AC35" t="s">
        <v>36</v>
      </c>
    </row>
    <row r="36" spans="3:35" x14ac:dyDescent="0.3">
      <c r="AC36" t="s">
        <v>37</v>
      </c>
    </row>
    <row r="37" spans="3:35" x14ac:dyDescent="0.3">
      <c r="E37" t="s">
        <v>0</v>
      </c>
      <c r="F37" t="s">
        <v>1</v>
      </c>
      <c r="G37" t="s">
        <v>2</v>
      </c>
      <c r="H37" t="s">
        <v>2</v>
      </c>
    </row>
    <row r="38" spans="3:35" x14ac:dyDescent="0.3">
      <c r="E38" t="s">
        <v>18</v>
      </c>
      <c r="F38" t="s">
        <v>18</v>
      </c>
      <c r="G38" t="s">
        <v>18</v>
      </c>
      <c r="H38" t="s">
        <v>18</v>
      </c>
    </row>
    <row r="39" spans="3:35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35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</row>
    <row r="43" spans="3:35" x14ac:dyDescent="0.3">
      <c r="C43" t="s">
        <v>12</v>
      </c>
      <c r="D43" t="s">
        <v>3</v>
      </c>
      <c r="E43">
        <v>20</v>
      </c>
    </row>
    <row r="44" spans="3:35" x14ac:dyDescent="0.3">
      <c r="D44" t="s">
        <v>4</v>
      </c>
      <c r="E44" s="1">
        <f>4161.07287419485/1000</f>
        <v>4.1610728741948497</v>
      </c>
      <c r="F44" s="1"/>
      <c r="G44" s="1"/>
      <c r="H44" s="1"/>
    </row>
    <row r="45" spans="3:35" x14ac:dyDescent="0.3">
      <c r="D45" t="s">
        <v>5</v>
      </c>
      <c r="E45">
        <f>0.6023847*2</f>
        <v>1.2047694</v>
      </c>
    </row>
    <row r="47" spans="3:35" x14ac:dyDescent="0.3">
      <c r="D47" t="s">
        <v>7</v>
      </c>
      <c r="E47" s="4">
        <f>+E45*E44*E43</f>
        <v>100.26266540000009</v>
      </c>
    </row>
    <row r="55" spans="38:42" x14ac:dyDescent="0.3">
      <c r="AL55" t="s">
        <v>51</v>
      </c>
      <c r="AM55" t="s">
        <v>52</v>
      </c>
      <c r="AN55" t="s">
        <v>53</v>
      </c>
      <c r="AO55" t="s">
        <v>54</v>
      </c>
      <c r="AP55" t="s">
        <v>55</v>
      </c>
    </row>
    <row r="56" spans="38:42" x14ac:dyDescent="0.3">
      <c r="AL56">
        <v>0</v>
      </c>
      <c r="AM56">
        <v>0</v>
      </c>
      <c r="AN56">
        <f t="shared" ref="AN56:AN63" si="2">+AL56*990/3600</f>
        <v>0</v>
      </c>
      <c r="AO56">
        <f t="shared" ref="AO56:AO63" si="3">+AM56*9806.65</f>
        <v>0</v>
      </c>
      <c r="AP56">
        <f>+AO56/100000</f>
        <v>0</v>
      </c>
    </row>
    <row r="57" spans="38:42" x14ac:dyDescent="0.3">
      <c r="AL57">
        <v>7</v>
      </c>
      <c r="AM57">
        <v>0.1</v>
      </c>
      <c r="AN57">
        <f t="shared" si="2"/>
        <v>1.925</v>
      </c>
      <c r="AO57">
        <f t="shared" si="3"/>
        <v>980.66499999999996</v>
      </c>
      <c r="AP57">
        <f t="shared" ref="AP57:AP63" si="4">+AO57/100000</f>
        <v>9.8066500000000001E-3</v>
      </c>
    </row>
    <row r="58" spans="38:42" x14ac:dyDescent="0.3">
      <c r="AL58">
        <v>13</v>
      </c>
      <c r="AM58">
        <v>0.2</v>
      </c>
      <c r="AN58">
        <f t="shared" si="2"/>
        <v>3.5750000000000002</v>
      </c>
      <c r="AO58">
        <f t="shared" si="3"/>
        <v>1961.33</v>
      </c>
      <c r="AP58">
        <f t="shared" si="4"/>
        <v>1.96133E-2</v>
      </c>
    </row>
    <row r="59" spans="38:42" x14ac:dyDescent="0.3">
      <c r="AL59">
        <v>18</v>
      </c>
      <c r="AM59">
        <v>0.3</v>
      </c>
      <c r="AN59">
        <f t="shared" si="2"/>
        <v>4.95</v>
      </c>
      <c r="AO59">
        <f t="shared" si="3"/>
        <v>2941.9949999999999</v>
      </c>
      <c r="AP59">
        <f t="shared" si="4"/>
        <v>2.941995E-2</v>
      </c>
    </row>
    <row r="60" spans="38:42" x14ac:dyDescent="0.3">
      <c r="AL60">
        <v>22</v>
      </c>
      <c r="AM60">
        <v>0.4</v>
      </c>
      <c r="AN60">
        <f t="shared" si="2"/>
        <v>6.05</v>
      </c>
      <c r="AO60">
        <f t="shared" si="3"/>
        <v>3922.66</v>
      </c>
      <c r="AP60">
        <f t="shared" si="4"/>
        <v>3.92266E-2</v>
      </c>
    </row>
    <row r="61" spans="38:42" x14ac:dyDescent="0.3">
      <c r="AL61">
        <v>34</v>
      </c>
      <c r="AM61">
        <v>0.8</v>
      </c>
      <c r="AN61">
        <f t="shared" si="2"/>
        <v>9.35</v>
      </c>
      <c r="AO61">
        <f t="shared" si="3"/>
        <v>7845.32</v>
      </c>
      <c r="AP61">
        <f t="shared" si="4"/>
        <v>7.8453200000000001E-2</v>
      </c>
    </row>
    <row r="62" spans="38:42" x14ac:dyDescent="0.3">
      <c r="AL62">
        <v>38</v>
      </c>
      <c r="AM62">
        <v>0.95</v>
      </c>
      <c r="AN62">
        <f t="shared" si="2"/>
        <v>10.45</v>
      </c>
      <c r="AO62">
        <f t="shared" si="3"/>
        <v>9316.3174999999992</v>
      </c>
      <c r="AP62">
        <f t="shared" si="4"/>
        <v>9.3163174999999987E-2</v>
      </c>
    </row>
    <row r="63" spans="38:42" x14ac:dyDescent="0.3">
      <c r="AL63">
        <v>40</v>
      </c>
      <c r="AM63">
        <v>1.0249999999999999</v>
      </c>
      <c r="AN63">
        <f t="shared" si="2"/>
        <v>11</v>
      </c>
      <c r="AO63">
        <f t="shared" si="3"/>
        <v>10051.816249999998</v>
      </c>
      <c r="AP63">
        <f t="shared" si="4"/>
        <v>0.10051816249999998</v>
      </c>
    </row>
  </sheetData>
  <mergeCells count="13">
    <mergeCell ref="AB34:AC34"/>
    <mergeCell ref="AD34:AE34"/>
    <mergeCell ref="AF34:AG34"/>
    <mergeCell ref="AH34:AI34"/>
    <mergeCell ref="AH21:AI21"/>
    <mergeCell ref="AF21:AG21"/>
    <mergeCell ref="AD21:AE21"/>
    <mergeCell ref="AB21:AC21"/>
    <mergeCell ref="Z21:AA21"/>
    <mergeCell ref="X21:Y21"/>
    <mergeCell ref="V21:W21"/>
    <mergeCell ref="T21:U21"/>
    <mergeCell ref="R21:S21"/>
  </mergeCells>
  <pageMargins left="0.7" right="0.7" top="0.75" bottom="0.75" header="0.3" footer="0.3"/>
  <pageSetup paperSize="9" orientation="portrait" r:id="rId1"/>
  <ignoredErrors>
    <ignoredError sqref="AD24 AF24 AH2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FF71-5ECB-45D3-87F0-56F60D453101}">
  <dimension ref="C6:AO55"/>
  <sheetViews>
    <sheetView topLeftCell="O20" zoomScaleNormal="100" workbookViewId="0">
      <selection activeCell="AH49" sqref="AH49:AN49"/>
    </sheetView>
  </sheetViews>
  <sheetFormatPr defaultRowHeight="14.4" x14ac:dyDescent="0.3"/>
  <cols>
    <col min="4" max="4" width="12.6640625" customWidth="1"/>
    <col min="17" max="17" width="11.33203125" bestFit="1" customWidth="1"/>
    <col min="18" max="23" width="11.33203125" customWidth="1"/>
  </cols>
  <sheetData>
    <row r="6" spans="3:27" x14ac:dyDescent="0.3">
      <c r="J6">
        <v>6627.7772999999997</v>
      </c>
      <c r="K6">
        <v>-7717.5127000000002</v>
      </c>
      <c r="AA6" s="2"/>
    </row>
    <row r="7" spans="3:27" x14ac:dyDescent="0.3">
      <c r="E7" t="s">
        <v>0</v>
      </c>
      <c r="F7" t="s">
        <v>1</v>
      </c>
      <c r="G7" t="s">
        <v>2</v>
      </c>
      <c r="H7" t="s">
        <v>2</v>
      </c>
      <c r="J7">
        <v>6798.5244000000002</v>
      </c>
      <c r="K7">
        <v>-7524.7173000000003</v>
      </c>
    </row>
    <row r="8" spans="3:27" x14ac:dyDescent="0.3">
      <c r="C8" s="3" t="s">
        <v>11</v>
      </c>
      <c r="D8" t="s">
        <v>3</v>
      </c>
      <c r="E8">
        <f>15.6-7</f>
        <v>8.6</v>
      </c>
      <c r="F8">
        <f>15.6-7</f>
        <v>8.6</v>
      </c>
      <c r="G8">
        <f>15.6-7</f>
        <v>8.6</v>
      </c>
      <c r="H8">
        <f>15.6-7</f>
        <v>8.6</v>
      </c>
      <c r="J8">
        <v>6973.5029999999997</v>
      </c>
      <c r="K8">
        <v>-7336.5117</v>
      </c>
    </row>
    <row r="9" spans="3:27" x14ac:dyDescent="0.3">
      <c r="D9" t="s">
        <v>4</v>
      </c>
      <c r="E9" s="1">
        <v>4198.5741190523495</v>
      </c>
      <c r="F9" s="1">
        <v>4198.5741190523495</v>
      </c>
      <c r="G9" s="1">
        <v>4198.5741190523495</v>
      </c>
      <c r="H9" s="1">
        <v>4198.5741190523495</v>
      </c>
      <c r="J9">
        <v>7152.8010000000004</v>
      </c>
      <c r="K9">
        <v>-7152.8056999999999</v>
      </c>
    </row>
    <row r="10" spans="3:27" x14ac:dyDescent="0.3">
      <c r="D10" t="s">
        <v>5</v>
      </c>
      <c r="E10">
        <f>5.553528/4</f>
        <v>1.388382</v>
      </c>
      <c r="F10">
        <f>5.553528/4</f>
        <v>1.388382</v>
      </c>
      <c r="G10">
        <f>5.553528/4</f>
        <v>1.388382</v>
      </c>
      <c r="H10">
        <f>5.553528/4</f>
        <v>1.388382</v>
      </c>
      <c r="J10">
        <v>7336.5073000000002</v>
      </c>
      <c r="K10">
        <v>-6973.5079999999998</v>
      </c>
    </row>
    <row r="11" spans="3:27" x14ac:dyDescent="0.3">
      <c r="J11">
        <v>7524.7124000000003</v>
      </c>
      <c r="K11">
        <v>-6798.5293000000001</v>
      </c>
    </row>
    <row r="12" spans="3:27" x14ac:dyDescent="0.3">
      <c r="D12" t="s">
        <v>6</v>
      </c>
      <c r="E12">
        <f>+E10*E9*E8</f>
        <v>50131.332699999999</v>
      </c>
      <c r="F12">
        <f>+F10*F9*F8</f>
        <v>50131.332699999999</v>
      </c>
      <c r="G12">
        <f>+G10*G9*G8</f>
        <v>50131.332699999999</v>
      </c>
      <c r="H12">
        <f>+H10*H9*H8</f>
        <v>50131.332699999999</v>
      </c>
      <c r="J12">
        <v>7717.5073000000002</v>
      </c>
      <c r="K12">
        <v>-6627.7816999999995</v>
      </c>
    </row>
    <row r="13" spans="3:27" x14ac:dyDescent="0.3">
      <c r="D13" t="s">
        <v>7</v>
      </c>
      <c r="E13">
        <f>+E12/1000</f>
        <v>50.131332700000002</v>
      </c>
      <c r="F13">
        <f>+F12/1000</f>
        <v>50.131332700000002</v>
      </c>
      <c r="G13">
        <f>+G12/1000</f>
        <v>50.131332700000002</v>
      </c>
      <c r="H13">
        <f>+H12/1000</f>
        <v>50.131332700000002</v>
      </c>
      <c r="J13">
        <f>+SUM(J6:J12)</f>
        <v>50131.332699999999</v>
      </c>
      <c r="K13">
        <f>+SUM(K6:K12)</f>
        <v>-50131.366399999999</v>
      </c>
    </row>
    <row r="15" spans="3:27" x14ac:dyDescent="0.3">
      <c r="E15" t="s">
        <v>0</v>
      </c>
      <c r="F15" t="s">
        <v>1</v>
      </c>
      <c r="G15" t="s">
        <v>2</v>
      </c>
      <c r="H15" t="s">
        <v>2</v>
      </c>
    </row>
    <row r="16" spans="3:27" x14ac:dyDescent="0.3">
      <c r="C16" t="s">
        <v>12</v>
      </c>
      <c r="D16" t="s">
        <v>3</v>
      </c>
      <c r="E16">
        <v>20</v>
      </c>
      <c r="F16">
        <v>20</v>
      </c>
      <c r="G16">
        <v>20</v>
      </c>
      <c r="H16">
        <v>20</v>
      </c>
    </row>
    <row r="17" spans="3:41" x14ac:dyDescent="0.3">
      <c r="D17" t="s">
        <v>4</v>
      </c>
      <c r="E17" s="1">
        <v>4161.072874194846</v>
      </c>
      <c r="F17" s="1">
        <v>4161.072874194846</v>
      </c>
      <c r="G17" s="1">
        <v>4161.072874194846</v>
      </c>
      <c r="H17" s="1">
        <v>4161.072874194846</v>
      </c>
    </row>
    <row r="18" spans="3:41" x14ac:dyDescent="0.3">
      <c r="D18" t="s">
        <v>5</v>
      </c>
      <c r="E18">
        <v>0.6023847</v>
      </c>
      <c r="F18">
        <v>0.6023847</v>
      </c>
      <c r="G18">
        <v>0.6023847</v>
      </c>
      <c r="H18">
        <v>0.6023847</v>
      </c>
    </row>
    <row r="20" spans="3:41" x14ac:dyDescent="0.3">
      <c r="D20" t="s">
        <v>6</v>
      </c>
      <c r="E20">
        <f>+E18*E17*E16</f>
        <v>50131.332699999999</v>
      </c>
      <c r="F20">
        <f>+F18*F17*F16</f>
        <v>50131.332699999999</v>
      </c>
      <c r="G20">
        <f>+G18*G17*G16</f>
        <v>50131.332699999999</v>
      </c>
      <c r="H20">
        <f>+H18*H17*H16</f>
        <v>50131.332699999999</v>
      </c>
      <c r="J20">
        <f>+J13/E8/E10</f>
        <v>4198.5741190523495</v>
      </c>
      <c r="K20">
        <f>+J13/E18/E16</f>
        <v>4161.072874194846</v>
      </c>
    </row>
    <row r="21" spans="3:41" x14ac:dyDescent="0.3">
      <c r="D21" t="s">
        <v>7</v>
      </c>
      <c r="E21">
        <f>+E20/1000</f>
        <v>50.131332700000002</v>
      </c>
      <c r="F21">
        <f>+F20/1000</f>
        <v>50.131332700000002</v>
      </c>
      <c r="G21">
        <f>+G20/1000</f>
        <v>50.131332700000002</v>
      </c>
      <c r="H21">
        <f>+H20/1000</f>
        <v>50.131332700000002</v>
      </c>
      <c r="R21" s="13" t="s">
        <v>39</v>
      </c>
      <c r="S21" s="13"/>
      <c r="T21" s="13" t="s">
        <v>40</v>
      </c>
      <c r="U21" s="13"/>
      <c r="V21" s="13" t="s">
        <v>41</v>
      </c>
      <c r="W21" s="13"/>
      <c r="X21" s="13" t="s">
        <v>38</v>
      </c>
      <c r="Y21" s="13"/>
      <c r="Z21" s="13" t="s">
        <v>22</v>
      </c>
      <c r="AA21" s="13"/>
      <c r="AB21" s="13" t="s">
        <v>24</v>
      </c>
      <c r="AC21" s="13"/>
      <c r="AD21" s="13" t="s">
        <v>25</v>
      </c>
      <c r="AE21" s="13"/>
      <c r="AF21" s="13" t="s">
        <v>26</v>
      </c>
      <c r="AG21" s="13"/>
      <c r="AH21" s="13" t="s">
        <v>0</v>
      </c>
      <c r="AI21" s="13"/>
      <c r="AJ21" s="13" t="s">
        <v>1</v>
      </c>
      <c r="AK21" s="13"/>
      <c r="AL21" s="13" t="s">
        <v>2</v>
      </c>
      <c r="AM21" s="13"/>
      <c r="AN21" s="13" t="s">
        <v>31</v>
      </c>
      <c r="AO21" s="13"/>
    </row>
    <row r="22" spans="3:41" x14ac:dyDescent="0.3">
      <c r="R22" t="s">
        <v>20</v>
      </c>
      <c r="S22" t="s">
        <v>21</v>
      </c>
      <c r="T22" t="s">
        <v>20</v>
      </c>
      <c r="U22" t="s">
        <v>21</v>
      </c>
      <c r="V22" t="s">
        <v>20</v>
      </c>
      <c r="W22" t="s">
        <v>21</v>
      </c>
      <c r="X22" s="3" t="s">
        <v>20</v>
      </c>
      <c r="Y22" s="3" t="s">
        <v>21</v>
      </c>
      <c r="Z22" s="3" t="s">
        <v>20</v>
      </c>
      <c r="AA22" s="3" t="s">
        <v>21</v>
      </c>
      <c r="AB22" s="3" t="s">
        <v>23</v>
      </c>
      <c r="AC22" s="3" t="s">
        <v>21</v>
      </c>
      <c r="AD22" s="3" t="s">
        <v>23</v>
      </c>
      <c r="AE22" s="3" t="s">
        <v>21</v>
      </c>
      <c r="AF22" s="3" t="s">
        <v>23</v>
      </c>
      <c r="AG22" s="3" t="s">
        <v>21</v>
      </c>
      <c r="AH22" s="3" t="s">
        <v>27</v>
      </c>
      <c r="AI22" s="3" t="s">
        <v>28</v>
      </c>
      <c r="AJ22" s="3" t="s">
        <v>27</v>
      </c>
      <c r="AK22" s="3" t="s">
        <v>30</v>
      </c>
      <c r="AL22" s="3" t="s">
        <v>27</v>
      </c>
      <c r="AM22" s="3" t="s">
        <v>30</v>
      </c>
      <c r="AN22" s="3" t="s">
        <v>27</v>
      </c>
      <c r="AO22" s="3" t="s">
        <v>30</v>
      </c>
    </row>
    <row r="23" spans="3:41" x14ac:dyDescent="0.3">
      <c r="Q23" s="3" t="s">
        <v>32</v>
      </c>
      <c r="R23" s="3"/>
      <c r="S23" s="3"/>
      <c r="T23" s="9"/>
      <c r="U23" s="9"/>
      <c r="V23" s="9"/>
      <c r="W23" s="9"/>
      <c r="X23" s="9"/>
    </row>
    <row r="24" spans="3:41" x14ac:dyDescent="0.3">
      <c r="C24" t="s">
        <v>13</v>
      </c>
      <c r="D24">
        <v>55.5</v>
      </c>
      <c r="E24" t="s">
        <v>14</v>
      </c>
      <c r="Q24" s="3" t="s">
        <v>33</v>
      </c>
      <c r="R24" s="9">
        <v>70.5</v>
      </c>
      <c r="S24" s="9">
        <v>80</v>
      </c>
      <c r="T24" s="9">
        <f>+S24</f>
        <v>80</v>
      </c>
      <c r="U24" s="9">
        <f>+S24</f>
        <v>80</v>
      </c>
      <c r="V24" s="9">
        <f>+S24</f>
        <v>80</v>
      </c>
      <c r="W24" s="9">
        <f>+S24</f>
        <v>80</v>
      </c>
      <c r="X24" s="9">
        <v>70.5</v>
      </c>
      <c r="Y24">
        <v>80</v>
      </c>
      <c r="Z24">
        <f>+Y24</f>
        <v>80</v>
      </c>
      <c r="AA24">
        <f>+Y24</f>
        <v>80</v>
      </c>
      <c r="AB24">
        <f>+Y24</f>
        <v>80</v>
      </c>
      <c r="AC24">
        <f>+Y24</f>
        <v>80</v>
      </c>
      <c r="AD24">
        <f>+Y24</f>
        <v>80</v>
      </c>
      <c r="AE24">
        <f>+Y24</f>
        <v>80</v>
      </c>
      <c r="AF24">
        <f>+Y24</f>
        <v>80</v>
      </c>
      <c r="AG24">
        <f>+Y24</f>
        <v>80</v>
      </c>
      <c r="AH24">
        <f>+Y24</f>
        <v>80</v>
      </c>
      <c r="AI24" s="10">
        <f>+AH24+AH29*1000/(AH25*AH26)</f>
        <v>70.452222010726643</v>
      </c>
      <c r="AJ24">
        <f>+AH24</f>
        <v>80</v>
      </c>
      <c r="AK24" s="6">
        <f>+AJ24+AJ29*1000/(AJ25*AJ26)</f>
        <v>70.452222010726643</v>
      </c>
      <c r="AL24">
        <f>+AH24</f>
        <v>80</v>
      </c>
      <c r="AM24" s="6">
        <f>+AL24+AL29*1000/(AL25*AL26)</f>
        <v>70.452222010726643</v>
      </c>
      <c r="AN24">
        <f>+AH24</f>
        <v>80</v>
      </c>
      <c r="AO24" s="6">
        <f>+AN24+AN29*1000/(AN25*AN26)</f>
        <v>70.452222010726643</v>
      </c>
    </row>
    <row r="25" spans="3:41" x14ac:dyDescent="0.3">
      <c r="Q25" s="3" t="s">
        <v>4</v>
      </c>
      <c r="R25" s="9">
        <v>4182</v>
      </c>
      <c r="S25" s="3"/>
      <c r="T25" s="9"/>
      <c r="U25" s="9"/>
      <c r="V25" s="9"/>
      <c r="W25" s="9"/>
      <c r="X25" s="9">
        <v>4182</v>
      </c>
      <c r="AH25" s="1">
        <v>4161.0728741948496</v>
      </c>
      <c r="AJ25" s="1">
        <v>4161.072874194846</v>
      </c>
      <c r="AL25" s="1">
        <v>4161.072874194846</v>
      </c>
      <c r="AN25" s="1">
        <v>4161.072874194846</v>
      </c>
    </row>
    <row r="26" spans="3:41" x14ac:dyDescent="0.3">
      <c r="Q26" s="3" t="s">
        <v>5</v>
      </c>
      <c r="R26" s="9">
        <f>+R27*1000/(R25*(S24-R24))</f>
        <v>1.2585265171537163</v>
      </c>
      <c r="S26" s="3"/>
      <c r="T26" s="9">
        <f>+R26</f>
        <v>1.2585265171537163</v>
      </c>
      <c r="U26" s="9"/>
      <c r="V26" s="9">
        <f>+T26</f>
        <v>1.2585265171537163</v>
      </c>
      <c r="W26" s="9"/>
      <c r="X26" s="9">
        <v>2.5</v>
      </c>
      <c r="Z26">
        <v>2.5</v>
      </c>
      <c r="AB26">
        <v>2.5</v>
      </c>
      <c r="AD26">
        <f>+X26+R26</f>
        <v>3.7585265171537161</v>
      </c>
      <c r="AF26">
        <f>+AD26</f>
        <v>3.7585265171537161</v>
      </c>
      <c r="AH26">
        <f>+AD26/4</f>
        <v>0.93963162928842903</v>
      </c>
      <c r="AJ26">
        <f>+AH26</f>
        <v>0.93963162928842903</v>
      </c>
      <c r="AL26">
        <f>+AJ26</f>
        <v>0.93963162928842903</v>
      </c>
      <c r="AN26">
        <f>+AL26</f>
        <v>0.93963162928842903</v>
      </c>
    </row>
    <row r="27" spans="3:41" x14ac:dyDescent="0.3">
      <c r="C27" t="s">
        <v>15</v>
      </c>
      <c r="D27">
        <v>1.8071539999999999</v>
      </c>
      <c r="E27" t="s">
        <v>16</v>
      </c>
      <c r="Q27" s="3" t="s">
        <v>35</v>
      </c>
      <c r="R27" s="9">
        <v>50</v>
      </c>
      <c r="S27" s="3"/>
      <c r="T27" s="9"/>
      <c r="U27" s="9"/>
      <c r="V27" s="9"/>
      <c r="W27" s="9"/>
      <c r="X27" s="9">
        <f>+X26*X25*(Y24-X24)/1000</f>
        <v>99.322500000000005</v>
      </c>
      <c r="AH27" s="11">
        <f>+AH26*AH25*(AH24-AI24)/1000</f>
        <v>37.330625000000005</v>
      </c>
      <c r="AI27" s="3"/>
      <c r="AJ27" s="7">
        <f>+AJ26*AJ25*(AJ24-AK24)/1000</f>
        <v>37.330624999999969</v>
      </c>
      <c r="AK27" s="3"/>
      <c r="AL27" s="7">
        <f>+AL26*AL25*(AL24-AM24)/1000</f>
        <v>37.330624999999969</v>
      </c>
      <c r="AM27" s="3"/>
      <c r="AN27" s="7">
        <f>+AN26*AN25*(AN24-AO24)/1000</f>
        <v>37.330624999999969</v>
      </c>
    </row>
    <row r="28" spans="3:41" ht="6" customHeight="1" x14ac:dyDescent="0.3">
      <c r="Q28" s="3"/>
      <c r="R28" s="3"/>
      <c r="S28" s="3"/>
      <c r="T28" s="9"/>
      <c r="U28" s="9"/>
      <c r="V28" s="9"/>
      <c r="W28" s="9"/>
      <c r="X28" s="9"/>
    </row>
    <row r="29" spans="3:41" x14ac:dyDescent="0.3">
      <c r="C29" t="s">
        <v>17</v>
      </c>
      <c r="D29">
        <v>2.784992E-3</v>
      </c>
      <c r="E29" t="s">
        <v>16</v>
      </c>
      <c r="Q29" s="3" t="s">
        <v>34</v>
      </c>
      <c r="R29" s="3"/>
      <c r="S29" s="3"/>
      <c r="T29" s="3"/>
      <c r="U29" s="3"/>
      <c r="V29" s="3"/>
      <c r="W29" s="3"/>
      <c r="AH29" s="8">
        <f>+($X$27+$R$27)/-4</f>
        <v>-37.330624999999998</v>
      </c>
      <c r="AI29" s="3"/>
      <c r="AJ29" s="8">
        <f>+AH29</f>
        <v>-37.330624999999998</v>
      </c>
      <c r="AK29" s="3"/>
      <c r="AL29" s="8">
        <f>+AJ29</f>
        <v>-37.330624999999998</v>
      </c>
      <c r="AM29" s="3"/>
      <c r="AN29" s="8">
        <f>+AL29</f>
        <v>-37.330624999999998</v>
      </c>
    </row>
    <row r="30" spans="3:41" x14ac:dyDescent="0.3">
      <c r="Q30" s="3" t="s">
        <v>5</v>
      </c>
      <c r="R30" s="3"/>
      <c r="S30" s="3"/>
      <c r="T30" s="3"/>
      <c r="U30" s="3"/>
      <c r="V30" s="3"/>
      <c r="W30" s="3"/>
      <c r="AH30">
        <v>1.75</v>
      </c>
      <c r="AJ30">
        <v>1.75</v>
      </c>
      <c r="AL30">
        <v>1.75</v>
      </c>
      <c r="AN30">
        <v>1.75</v>
      </c>
    </row>
    <row r="31" spans="3:41" x14ac:dyDescent="0.3">
      <c r="Q31" s="3" t="s">
        <v>4</v>
      </c>
      <c r="R31" s="3"/>
      <c r="S31" s="3"/>
      <c r="T31" s="3"/>
      <c r="U31" s="3"/>
      <c r="V31" s="3"/>
      <c r="W31" s="3"/>
      <c r="AH31" s="1">
        <v>4198.5741190523495</v>
      </c>
      <c r="AI31" s="1"/>
      <c r="AJ31" s="1">
        <v>4198.5741190523495</v>
      </c>
      <c r="AK31" s="1"/>
      <c r="AL31" s="1">
        <v>4198.5741190523495</v>
      </c>
      <c r="AM31" s="1"/>
      <c r="AN31" s="1">
        <v>4198.5741190523495</v>
      </c>
      <c r="AO31" s="1"/>
    </row>
    <row r="32" spans="3:41" x14ac:dyDescent="0.3">
      <c r="C32" t="s">
        <v>15</v>
      </c>
      <c r="D32">
        <v>2.4095387000000001</v>
      </c>
      <c r="E32" t="s">
        <v>16</v>
      </c>
      <c r="Q32" s="3" t="s">
        <v>33</v>
      </c>
      <c r="R32" s="3"/>
      <c r="S32" s="3"/>
      <c r="T32" s="3"/>
      <c r="U32" s="3"/>
      <c r="V32" s="3"/>
      <c r="W32" s="3"/>
      <c r="AH32">
        <v>8</v>
      </c>
      <c r="AI32" s="5">
        <f>+AH32-AH29*1000/(AH30*AH31)</f>
        <v>13.080721480534553</v>
      </c>
      <c r="AJ32">
        <v>8</v>
      </c>
      <c r="AK32" s="5">
        <f>+AJ32-AJ29*1000/(AJ30*AJ31)</f>
        <v>13.080721480534553</v>
      </c>
      <c r="AL32">
        <v>8</v>
      </c>
      <c r="AM32" s="5">
        <f>+AL32-AL29*1000/(AL30*AL31)</f>
        <v>13.080721480534553</v>
      </c>
      <c r="AN32">
        <v>8</v>
      </c>
      <c r="AO32" s="5">
        <f>+AN32-AN29*1000/(AN30*AN31)</f>
        <v>13.080721480534553</v>
      </c>
    </row>
    <row r="33" spans="3:41" x14ac:dyDescent="0.3">
      <c r="C33" t="s">
        <v>17</v>
      </c>
      <c r="D33">
        <v>3.7117425999999999E-3</v>
      </c>
      <c r="E33" t="s">
        <v>16</v>
      </c>
      <c r="AH33" s="3" t="s">
        <v>29</v>
      </c>
      <c r="AI33" s="3" t="s">
        <v>28</v>
      </c>
      <c r="AJ33" s="3" t="s">
        <v>29</v>
      </c>
      <c r="AK33" s="3" t="s">
        <v>28</v>
      </c>
      <c r="AL33" s="3" t="s">
        <v>29</v>
      </c>
      <c r="AM33" s="3" t="s">
        <v>28</v>
      </c>
      <c r="AN33" s="3" t="s">
        <v>29</v>
      </c>
      <c r="AO33" s="3" t="s">
        <v>28</v>
      </c>
    </row>
    <row r="34" spans="3:41" x14ac:dyDescent="0.3">
      <c r="AH34" s="13" t="s">
        <v>0</v>
      </c>
      <c r="AI34" s="13"/>
      <c r="AJ34" s="13" t="s">
        <v>1</v>
      </c>
      <c r="AK34" s="13"/>
      <c r="AL34" s="13" t="s">
        <v>2</v>
      </c>
      <c r="AM34" s="13"/>
      <c r="AN34" s="13" t="s">
        <v>31</v>
      </c>
      <c r="AO34" s="13"/>
    </row>
    <row r="35" spans="3:41" x14ac:dyDescent="0.3">
      <c r="AI35" t="s">
        <v>36</v>
      </c>
    </row>
    <row r="36" spans="3:41" x14ac:dyDescent="0.3">
      <c r="AI36" t="s">
        <v>37</v>
      </c>
    </row>
    <row r="37" spans="3:41" x14ac:dyDescent="0.3">
      <c r="E37" t="s">
        <v>0</v>
      </c>
      <c r="F37" t="s">
        <v>1</v>
      </c>
      <c r="G37" t="s">
        <v>2</v>
      </c>
      <c r="H37" t="s">
        <v>2</v>
      </c>
    </row>
    <row r="38" spans="3:41" x14ac:dyDescent="0.3">
      <c r="E38" t="s">
        <v>18</v>
      </c>
      <c r="F38" t="s">
        <v>18</v>
      </c>
      <c r="G38" t="s">
        <v>18</v>
      </c>
      <c r="H38" t="s">
        <v>18</v>
      </c>
    </row>
    <row r="39" spans="3:41" x14ac:dyDescent="0.3">
      <c r="C39" t="s">
        <v>11</v>
      </c>
      <c r="D39" t="s">
        <v>7</v>
      </c>
      <c r="E39">
        <v>25</v>
      </c>
      <c r="F39">
        <v>25</v>
      </c>
      <c r="G39">
        <v>25</v>
      </c>
      <c r="H39">
        <v>25</v>
      </c>
    </row>
    <row r="40" spans="3:41" x14ac:dyDescent="0.3">
      <c r="D40" t="s">
        <v>4</v>
      </c>
      <c r="E40" s="1">
        <v>4198.5741190523495</v>
      </c>
      <c r="F40" s="1">
        <v>4198.5741190523495</v>
      </c>
      <c r="G40" s="1">
        <v>4198.5741190523495</v>
      </c>
      <c r="H40" s="1">
        <v>4198.5741190523495</v>
      </c>
      <c r="R40" s="13" t="s">
        <v>39</v>
      </c>
      <c r="S40" s="13"/>
      <c r="T40" s="13" t="s">
        <v>40</v>
      </c>
      <c r="U40" s="13"/>
      <c r="V40" s="13" t="s">
        <v>41</v>
      </c>
      <c r="W40" s="13"/>
      <c r="X40" s="13" t="s">
        <v>38</v>
      </c>
      <c r="Y40" s="13"/>
      <c r="Z40" s="13" t="s">
        <v>22</v>
      </c>
      <c r="AA40" s="13"/>
      <c r="AB40" s="13" t="s">
        <v>24</v>
      </c>
      <c r="AC40" s="13"/>
      <c r="AD40" s="13" t="s">
        <v>25</v>
      </c>
      <c r="AE40" s="13"/>
      <c r="AF40" s="13" t="s">
        <v>26</v>
      </c>
      <c r="AG40" s="13"/>
      <c r="AH40" s="13" t="s">
        <v>0</v>
      </c>
      <c r="AI40" s="13"/>
      <c r="AJ40" s="13" t="s">
        <v>1</v>
      </c>
      <c r="AK40" s="13"/>
      <c r="AL40" s="13" t="s">
        <v>2</v>
      </c>
      <c r="AM40" s="13"/>
      <c r="AN40" s="13" t="s">
        <v>31</v>
      </c>
      <c r="AO40" s="13"/>
    </row>
    <row r="41" spans="3:41" x14ac:dyDescent="0.3">
      <c r="R41" t="s">
        <v>20</v>
      </c>
      <c r="S41" t="s">
        <v>21</v>
      </c>
      <c r="T41" t="s">
        <v>20</v>
      </c>
      <c r="U41" t="s">
        <v>21</v>
      </c>
      <c r="V41" t="s">
        <v>20</v>
      </c>
      <c r="W41" t="s">
        <v>21</v>
      </c>
      <c r="X41" s="3" t="s">
        <v>20</v>
      </c>
      <c r="Y41" s="3" t="s">
        <v>21</v>
      </c>
      <c r="Z41" s="3" t="s">
        <v>20</v>
      </c>
      <c r="AA41" s="3" t="s">
        <v>21</v>
      </c>
      <c r="AB41" s="3" t="s">
        <v>23</v>
      </c>
      <c r="AC41" s="3" t="s">
        <v>21</v>
      </c>
      <c r="AD41" s="3" t="s">
        <v>23</v>
      </c>
      <c r="AE41" s="3" t="s">
        <v>21</v>
      </c>
      <c r="AF41" s="3" t="s">
        <v>23</v>
      </c>
      <c r="AG41" s="3" t="s">
        <v>21</v>
      </c>
      <c r="AH41" s="3" t="s">
        <v>27</v>
      </c>
      <c r="AI41" s="3" t="s">
        <v>28</v>
      </c>
      <c r="AJ41" s="3" t="s">
        <v>27</v>
      </c>
      <c r="AK41" s="3" t="s">
        <v>30</v>
      </c>
      <c r="AL41" s="3" t="s">
        <v>27</v>
      </c>
      <c r="AM41" s="3" t="s">
        <v>30</v>
      </c>
      <c r="AN41" s="3" t="s">
        <v>27</v>
      </c>
      <c r="AO41" s="3" t="s">
        <v>30</v>
      </c>
    </row>
    <row r="42" spans="3:41" x14ac:dyDescent="0.3">
      <c r="Q42" s="3" t="s">
        <v>32</v>
      </c>
      <c r="R42" s="3"/>
      <c r="S42" s="3"/>
      <c r="T42" s="9"/>
      <c r="U42" s="9"/>
      <c r="V42" s="9"/>
      <c r="W42" s="9"/>
      <c r="X42" s="9"/>
    </row>
    <row r="43" spans="3:41" x14ac:dyDescent="0.3">
      <c r="C43" t="s">
        <v>12</v>
      </c>
      <c r="D43" t="s">
        <v>3</v>
      </c>
      <c r="E43">
        <v>20</v>
      </c>
      <c r="Q43" s="3" t="s">
        <v>33</v>
      </c>
      <c r="R43" s="9">
        <v>65</v>
      </c>
      <c r="S43" s="9">
        <v>80</v>
      </c>
      <c r="T43" s="9">
        <f>+S43</f>
        <v>80</v>
      </c>
      <c r="U43" s="9">
        <f>+S43</f>
        <v>80</v>
      </c>
      <c r="V43" s="9">
        <f>+S43</f>
        <v>80</v>
      </c>
      <c r="W43" s="9">
        <f>+S43</f>
        <v>80</v>
      </c>
      <c r="X43" s="9">
        <v>65</v>
      </c>
      <c r="Y43">
        <v>80</v>
      </c>
      <c r="Z43">
        <f>+Y43</f>
        <v>80</v>
      </c>
      <c r="AA43">
        <f>+Y43</f>
        <v>80</v>
      </c>
      <c r="AB43">
        <f>+Y43</f>
        <v>80</v>
      </c>
      <c r="AC43">
        <f>+Y43</f>
        <v>80</v>
      </c>
      <c r="AD43">
        <f>+Y43</f>
        <v>80</v>
      </c>
      <c r="AE43">
        <f>+Y43</f>
        <v>80</v>
      </c>
      <c r="AF43">
        <f>+Y43</f>
        <v>80</v>
      </c>
      <c r="AG43">
        <f>+Y43</f>
        <v>80</v>
      </c>
      <c r="AH43">
        <f>+Y43</f>
        <v>80</v>
      </c>
      <c r="AI43" s="5">
        <f>+AH43+AH48*1000/(AH44*AH45)</f>
        <v>64.924561069568384</v>
      </c>
      <c r="AJ43">
        <f>+AH43</f>
        <v>80</v>
      </c>
      <c r="AK43" s="6">
        <f>+AJ43+AJ48*1000/(AJ44*AJ45)</f>
        <v>64.924561069568369</v>
      </c>
      <c r="AL43">
        <f>+AH43</f>
        <v>80</v>
      </c>
      <c r="AM43" s="6">
        <f>+AL43+AL48*1000/(AL44*AL45)</f>
        <v>64.924561069568369</v>
      </c>
      <c r="AN43">
        <f>+AH43</f>
        <v>80</v>
      </c>
      <c r="AO43" s="6">
        <f>+AN43+AN48*1000/(AN44*AN45)</f>
        <v>64.924561069568369</v>
      </c>
    </row>
    <row r="44" spans="3:41" x14ac:dyDescent="0.3">
      <c r="D44" t="s">
        <v>4</v>
      </c>
      <c r="E44" s="1">
        <f>4161.07287419485/1000</f>
        <v>4.1610728741948497</v>
      </c>
      <c r="F44" s="1"/>
      <c r="G44" s="1"/>
      <c r="H44" s="1"/>
      <c r="Q44" s="3" t="s">
        <v>4</v>
      </c>
      <c r="R44" s="9">
        <v>4182</v>
      </c>
      <c r="S44" s="3"/>
      <c r="T44" s="9"/>
      <c r="U44" s="9"/>
      <c r="V44" s="9"/>
      <c r="W44" s="9"/>
      <c r="X44" s="9">
        <v>4182</v>
      </c>
      <c r="AH44" s="1">
        <v>4161.0728741948496</v>
      </c>
      <c r="AJ44" s="1">
        <v>4161.072874194846</v>
      </c>
      <c r="AL44" s="1">
        <v>4161.072874194846</v>
      </c>
      <c r="AN44" s="1">
        <v>4161.072874194846</v>
      </c>
    </row>
    <row r="45" spans="3:41" x14ac:dyDescent="0.3">
      <c r="D45" t="s">
        <v>5</v>
      </c>
      <c r="E45">
        <f>0.6023847*2</f>
        <v>1.2047694</v>
      </c>
      <c r="Q45" s="3" t="s">
        <v>5</v>
      </c>
      <c r="R45" s="9">
        <f>+R46*1000/(R44*(S43-R43))</f>
        <v>0.79706679419735371</v>
      </c>
      <c r="S45" s="3"/>
      <c r="T45" s="9">
        <f>+R45</f>
        <v>0.79706679419735371</v>
      </c>
      <c r="U45" s="9"/>
      <c r="V45" s="9">
        <f>+T45</f>
        <v>0.79706679419735371</v>
      </c>
      <c r="W45" s="9"/>
      <c r="X45" s="9">
        <v>2.2999999999999998</v>
      </c>
      <c r="Z45">
        <f>+X45</f>
        <v>2.2999999999999998</v>
      </c>
      <c r="AB45">
        <f>+X45</f>
        <v>2.2999999999999998</v>
      </c>
      <c r="AD45">
        <f>+X45+R45</f>
        <v>3.0970667941973535</v>
      </c>
      <c r="AF45">
        <f>+AD45</f>
        <v>3.0970667941973535</v>
      </c>
      <c r="AH45">
        <f>+AD45/4</f>
        <v>0.77426669854933838</v>
      </c>
      <c r="AJ45">
        <f>+AH45</f>
        <v>0.77426669854933838</v>
      </c>
      <c r="AL45">
        <f>+AJ45</f>
        <v>0.77426669854933838</v>
      </c>
      <c r="AN45">
        <f>+AL45</f>
        <v>0.77426669854933838</v>
      </c>
    </row>
    <row r="46" spans="3:41" x14ac:dyDescent="0.3">
      <c r="Q46" s="3" t="s">
        <v>35</v>
      </c>
      <c r="R46" s="9">
        <v>50</v>
      </c>
      <c r="S46" s="3"/>
      <c r="T46" s="9"/>
      <c r="U46" s="9"/>
      <c r="V46" s="9"/>
      <c r="W46" s="9"/>
      <c r="X46" s="9">
        <f>+X45*X44*(Y43-X43)/1000</f>
        <v>144.27899999999997</v>
      </c>
      <c r="AH46" s="11">
        <f>+AH45*AH44*(AH43-AI43)/1000</f>
        <v>48.569750000000006</v>
      </c>
      <c r="AI46" s="3"/>
      <c r="AJ46" s="7">
        <f>+AJ45*AJ44*(AJ43-AK43)/1000</f>
        <v>48.569750000000013</v>
      </c>
      <c r="AK46" s="3"/>
      <c r="AL46" s="7">
        <f>+AL45*AL44*(AL43-AM43)/1000</f>
        <v>48.569750000000013</v>
      </c>
      <c r="AM46" s="3"/>
      <c r="AN46" s="7">
        <f>+AN45*AN44*(AN43-AO43)/1000</f>
        <v>48.569750000000013</v>
      </c>
    </row>
    <row r="47" spans="3:41" ht="6.6" customHeight="1" x14ac:dyDescent="0.3">
      <c r="D47" t="s">
        <v>7</v>
      </c>
      <c r="E47" s="4">
        <f>+E45*E44*E43</f>
        <v>100.26266540000009</v>
      </c>
      <c r="Q47" s="3"/>
      <c r="R47" s="3"/>
      <c r="S47" s="3"/>
      <c r="T47" s="9"/>
      <c r="U47" s="9"/>
      <c r="V47" s="9"/>
      <c r="W47" s="9"/>
      <c r="X47" s="9"/>
    </row>
    <row r="48" spans="3:41" x14ac:dyDescent="0.3">
      <c r="Q48" s="3" t="s">
        <v>34</v>
      </c>
      <c r="R48" s="3"/>
      <c r="S48" s="3"/>
      <c r="T48" s="3"/>
      <c r="U48" s="3"/>
      <c r="V48" s="3"/>
      <c r="W48" s="3"/>
      <c r="AH48" s="8">
        <f>+($X$46+$R$46)/-4</f>
        <v>-48.569749999999992</v>
      </c>
      <c r="AI48" s="3"/>
      <c r="AJ48" s="8">
        <f>+AH48</f>
        <v>-48.569749999999992</v>
      </c>
      <c r="AK48" s="3"/>
      <c r="AL48" s="8">
        <f>+AJ48</f>
        <v>-48.569749999999992</v>
      </c>
      <c r="AM48" s="3"/>
      <c r="AN48" s="8">
        <f>+AL48</f>
        <v>-48.569749999999992</v>
      </c>
    </row>
    <row r="49" spans="17:41" x14ac:dyDescent="0.3">
      <c r="Q49" s="3" t="s">
        <v>5</v>
      </c>
      <c r="R49" s="3"/>
      <c r="S49" s="3"/>
      <c r="T49" s="3"/>
      <c r="U49" s="3"/>
      <c r="V49" s="3"/>
      <c r="W49" s="3"/>
      <c r="AH49">
        <v>1.75</v>
      </c>
      <c r="AJ49">
        <v>1.75</v>
      </c>
      <c r="AL49">
        <v>1.75</v>
      </c>
      <c r="AN49">
        <v>1.75</v>
      </c>
    </row>
    <row r="50" spans="17:41" x14ac:dyDescent="0.3">
      <c r="Q50" s="3" t="s">
        <v>4</v>
      </c>
      <c r="R50" s="3"/>
      <c r="S50" s="3"/>
      <c r="T50" s="3"/>
      <c r="U50" s="3"/>
      <c r="V50" s="3"/>
      <c r="W50" s="3"/>
      <c r="AH50" s="1">
        <v>4198.5741190523495</v>
      </c>
      <c r="AI50" s="1"/>
      <c r="AJ50" s="1">
        <v>4198.5741190523495</v>
      </c>
      <c r="AK50" s="1"/>
      <c r="AL50" s="1">
        <v>4198.5741190523495</v>
      </c>
      <c r="AM50" s="1"/>
      <c r="AN50" s="1">
        <v>4198.5741190523495</v>
      </c>
      <c r="AO50" s="1"/>
    </row>
    <row r="51" spans="17:41" x14ac:dyDescent="0.3">
      <c r="Q51" s="3" t="s">
        <v>33</v>
      </c>
      <c r="R51" s="3"/>
      <c r="S51" s="3"/>
      <c r="T51" s="3"/>
      <c r="U51" s="3"/>
      <c r="V51" s="3"/>
      <c r="W51" s="3"/>
      <c r="AH51">
        <v>8</v>
      </c>
      <c r="AI51" s="5">
        <f>+AH51-AH48*1000/(AH49*AH50)</f>
        <v>14.610373443498283</v>
      </c>
      <c r="AJ51">
        <v>8</v>
      </c>
      <c r="AK51" s="5">
        <f>+AJ51-AJ48*1000/(AJ49*AJ50)</f>
        <v>14.610373443498283</v>
      </c>
      <c r="AL51">
        <v>8</v>
      </c>
      <c r="AM51" s="5">
        <f>+AL51-AL48*1000/(AL49*AL50)</f>
        <v>14.610373443498283</v>
      </c>
      <c r="AN51">
        <v>8</v>
      </c>
      <c r="AO51" s="5">
        <f>+AN51-AN48*1000/(AN49*AN50)</f>
        <v>14.610373443498283</v>
      </c>
    </row>
    <row r="52" spans="17:41" x14ac:dyDescent="0.3">
      <c r="AH52" s="3" t="s">
        <v>29</v>
      </c>
      <c r="AI52" s="3" t="s">
        <v>28</v>
      </c>
      <c r="AJ52" s="3" t="s">
        <v>29</v>
      </c>
      <c r="AK52" s="3" t="s">
        <v>28</v>
      </c>
      <c r="AL52" s="3" t="s">
        <v>29</v>
      </c>
      <c r="AM52" s="3" t="s">
        <v>28</v>
      </c>
      <c r="AN52" s="3" t="s">
        <v>29</v>
      </c>
      <c r="AO52" s="3" t="s">
        <v>28</v>
      </c>
    </row>
    <row r="53" spans="17:41" x14ac:dyDescent="0.3">
      <c r="AH53" s="13" t="s">
        <v>0</v>
      </c>
      <c r="AI53" s="13"/>
      <c r="AJ53" s="13" t="s">
        <v>1</v>
      </c>
      <c r="AK53" s="13"/>
      <c r="AL53" s="13" t="s">
        <v>2</v>
      </c>
      <c r="AM53" s="13"/>
      <c r="AN53" s="13" t="s">
        <v>31</v>
      </c>
      <c r="AO53" s="13"/>
    </row>
    <row r="54" spans="17:41" x14ac:dyDescent="0.3">
      <c r="AI54" t="s">
        <v>36</v>
      </c>
    </row>
    <row r="55" spans="17:41" x14ac:dyDescent="0.3">
      <c r="AI55" t="s">
        <v>37</v>
      </c>
    </row>
  </sheetData>
  <mergeCells count="32">
    <mergeCell ref="X21:Y21"/>
    <mergeCell ref="Z21:AA21"/>
    <mergeCell ref="AB21:AC21"/>
    <mergeCell ref="AD21:AE21"/>
    <mergeCell ref="AF21:AG21"/>
    <mergeCell ref="AJ21:AK21"/>
    <mergeCell ref="AL21:AM21"/>
    <mergeCell ref="AN21:AO21"/>
    <mergeCell ref="AH34:AI34"/>
    <mergeCell ref="AJ34:AK34"/>
    <mergeCell ref="AL34:AM34"/>
    <mergeCell ref="AN34:AO34"/>
    <mergeCell ref="AH21:AI21"/>
    <mergeCell ref="T21:U21"/>
    <mergeCell ref="V21:W21"/>
    <mergeCell ref="R21:S21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J40:AK40"/>
    <mergeCell ref="AL40:AM40"/>
    <mergeCell ref="AN40:AO40"/>
    <mergeCell ref="AH53:AI53"/>
    <mergeCell ref="AJ53:AK53"/>
    <mergeCell ref="AL53:AM53"/>
    <mergeCell ref="AN53:AO53"/>
    <mergeCell ref="AH40:AI40"/>
  </mergeCells>
  <pageMargins left="0.7" right="0.7" top="0.75" bottom="0.75" header="0.3" footer="0.3"/>
  <pageSetup paperSize="9" orientation="portrait" r:id="rId1"/>
  <ignoredErrors>
    <ignoredError sqref="AN24 AL24 AJ2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9D2E-7548-4626-9DF2-4D26D6F180DF}">
  <dimension ref="C6:R16"/>
  <sheetViews>
    <sheetView topLeftCell="B1" zoomScale="160" zoomScaleNormal="160" workbookViewId="0">
      <selection activeCell="L15" sqref="L15"/>
    </sheetView>
  </sheetViews>
  <sheetFormatPr defaultRowHeight="14.4" x14ac:dyDescent="0.3"/>
  <sheetData>
    <row r="6" spans="3:18" x14ac:dyDescent="0.3">
      <c r="D6" t="s">
        <v>42</v>
      </c>
      <c r="E6" t="s">
        <v>43</v>
      </c>
      <c r="F6" t="s">
        <v>44</v>
      </c>
      <c r="H6" t="s">
        <v>45</v>
      </c>
      <c r="I6" t="s">
        <v>46</v>
      </c>
      <c r="J6" t="s">
        <v>47</v>
      </c>
      <c r="O6" s="1">
        <v>20000</v>
      </c>
      <c r="P6" s="12">
        <v>2.4444444440000002</v>
      </c>
      <c r="Q6">
        <f>+O6/P6</f>
        <v>8181.8181833057843</v>
      </c>
    </row>
    <row r="7" spans="3:18" x14ac:dyDescent="0.3">
      <c r="C7" t="s">
        <v>48</v>
      </c>
      <c r="D7">
        <v>17</v>
      </c>
      <c r="I7">
        <v>14</v>
      </c>
    </row>
    <row r="9" spans="3:18" x14ac:dyDescent="0.3">
      <c r="D9">
        <v>17</v>
      </c>
      <c r="E9">
        <v>14.7</v>
      </c>
      <c r="F9">
        <f>15*1000/3600</f>
        <v>4.166666666666667</v>
      </c>
      <c r="H9">
        <v>7</v>
      </c>
      <c r="I9">
        <v>14</v>
      </c>
      <c r="J9">
        <f>+F9*(D9-E9)/(I9-H9)</f>
        <v>1.3690476190476197</v>
      </c>
      <c r="L9">
        <f>+J9*36/10</f>
        <v>4.9285714285714315</v>
      </c>
    </row>
    <row r="11" spans="3:18" x14ac:dyDescent="0.3">
      <c r="H11" t="s">
        <v>45</v>
      </c>
      <c r="I11" t="s">
        <v>46</v>
      </c>
      <c r="J11" t="s">
        <v>47</v>
      </c>
      <c r="L11" t="s">
        <v>42</v>
      </c>
      <c r="M11" t="s">
        <v>43</v>
      </c>
      <c r="N11" t="s">
        <v>44</v>
      </c>
    </row>
    <row r="12" spans="3:18" x14ac:dyDescent="0.3">
      <c r="C12" t="s">
        <v>49</v>
      </c>
      <c r="H12">
        <v>7</v>
      </c>
      <c r="I12">
        <v>14</v>
      </c>
      <c r="J12">
        <f>+J9</f>
        <v>1.3690476190476197</v>
      </c>
      <c r="L12">
        <f>+J12*(I12-H12)/N12 +M12</f>
        <v>48.920454545454547</v>
      </c>
      <c r="M12">
        <v>45</v>
      </c>
      <c r="N12">
        <f>8.8*1000/3600</f>
        <v>2.4444444444444446</v>
      </c>
    </row>
    <row r="15" spans="3:18" x14ac:dyDescent="0.3">
      <c r="C15" t="s">
        <v>50</v>
      </c>
    </row>
    <row r="16" spans="3:18" x14ac:dyDescent="0.3">
      <c r="L16">
        <f>+L12</f>
        <v>48.920454545454547</v>
      </c>
      <c r="M16">
        <f>+M12</f>
        <v>45</v>
      </c>
      <c r="N16">
        <f>+N12</f>
        <v>2.4444444444444446</v>
      </c>
      <c r="P16">
        <v>60</v>
      </c>
      <c r="Q16">
        <v>80</v>
      </c>
      <c r="R16">
        <f>+N16*(L16-M16)/(Q16-P16)</f>
        <v>0.47916666666666685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Mass_Energy Balance</vt:lpstr>
      <vt:lpstr>Only Boiler</vt:lpstr>
      <vt:lpstr>GBoiler &amp; ElectricB</vt:lpstr>
      <vt:lpstr>HeatPumps</vt:lpstr>
    </vt:vector>
  </TitlesOfParts>
  <Company>RSE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Muro Alvarado Marcelo Andre (RSE)</dc:creator>
  <cp:lastModifiedBy>Muro Alvarado Marcelo Andre (RSE)</cp:lastModifiedBy>
  <dcterms:created xsi:type="dcterms:W3CDTF">2023-11-03T07:10:08Z</dcterms:created>
  <dcterms:modified xsi:type="dcterms:W3CDTF">2024-04-21T17:24:29Z</dcterms:modified>
</cp:coreProperties>
</file>