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0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1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2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3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4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15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rsericerca-my.sharepoint.com/personal/muro_rse-web_it/Documents/"/>
    </mc:Choice>
  </mc:AlternateContent>
  <xr:revisionPtr revIDLastSave="2023" documentId="8_{7633F47F-8DB0-4BB6-9720-1A489288FDB9}" xr6:coauthVersionLast="47" xr6:coauthVersionMax="47" xr10:uidLastSave="{E715B3AF-5343-4B98-BD5F-5A225C4C8501}"/>
  <bookViews>
    <workbookView xWindow="-108" yWindow="-108" windowWidth="23256" windowHeight="12576" tabRatio="683" firstSheet="4" activeTab="13" xr2:uid="{4119C288-BE25-4E3B-9B9B-25A3EA8D7C7F}"/>
  </bookViews>
  <sheets>
    <sheet name="Foglio1" sheetId="1" r:id="rId1"/>
    <sheet name="Foglio2" sheetId="2" r:id="rId2"/>
    <sheet name="Foglio3" sheetId="3" r:id="rId3"/>
    <sheet name="Nominal" sheetId="10" r:id="rId4"/>
    <sheet name="P101" sheetId="4" r:id="rId5"/>
    <sheet name="P101_points" sheetId="5" r:id="rId6"/>
    <sheet name="P202-P606" sheetId="6" r:id="rId7"/>
    <sheet name="P202_point" sheetId="7" r:id="rId8"/>
    <sheet name="PR01" sheetId="8" r:id="rId9"/>
    <sheet name="PR01_points" sheetId="9" r:id="rId10"/>
    <sheet name="P901" sheetId="11" r:id="rId11"/>
    <sheet name="P301" sheetId="12" r:id="rId12"/>
    <sheet name="P302" sheetId="13" r:id="rId13"/>
    <sheet name="P302_points" sheetId="15" r:id="rId14"/>
    <sheet name="P701" sheetId="16" r:id="rId15"/>
    <sheet name="P701_points" sheetId="17" r:id="rId16"/>
  </sheets>
  <externalReferences>
    <externalReference r:id="rId17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S82" i="16" l="1"/>
  <c r="AS80" i="16"/>
  <c r="AS79" i="16"/>
  <c r="AR79" i="16"/>
  <c r="AS78" i="16"/>
  <c r="AS77" i="16"/>
  <c r="AR77" i="16"/>
  <c r="AS76" i="16"/>
  <c r="AS75" i="16"/>
  <c r="AS74" i="16"/>
  <c r="AS73" i="16"/>
  <c r="G29" i="15"/>
  <c r="G26" i="15"/>
  <c r="G12" i="15"/>
  <c r="AS82" i="13"/>
  <c r="AS80" i="13"/>
  <c r="AS79" i="13"/>
  <c r="AR79" i="13"/>
  <c r="AS78" i="13"/>
  <c r="AS77" i="13"/>
  <c r="AR77" i="13"/>
  <c r="AS76" i="13"/>
  <c r="AS75" i="13"/>
  <c r="AS74" i="13"/>
  <c r="AS73" i="13"/>
  <c r="AS82" i="12"/>
  <c r="AS78" i="12"/>
  <c r="AR79" i="12"/>
  <c r="AS79" i="12"/>
  <c r="AS80" i="12"/>
  <c r="AS73" i="12"/>
  <c r="AS74" i="12"/>
  <c r="AS75" i="12"/>
  <c r="AS76" i="12"/>
  <c r="AS77" i="12"/>
  <c r="AR77" i="12"/>
  <c r="F24" i="7" l="1"/>
  <c r="F25" i="7"/>
  <c r="F26" i="7"/>
  <c r="F27" i="7"/>
  <c r="F28" i="7"/>
  <c r="F29" i="7"/>
  <c r="F30" i="7"/>
  <c r="F23" i="7"/>
  <c r="F7" i="7"/>
  <c r="F8" i="7"/>
  <c r="F9" i="7"/>
  <c r="F10" i="7"/>
  <c r="F11" i="7"/>
  <c r="F12" i="7"/>
  <c r="F13" i="7"/>
  <c r="F6" i="7"/>
  <c r="AS77" i="11"/>
  <c r="AS78" i="11"/>
  <c r="AS79" i="11"/>
  <c r="AS80" i="11"/>
  <c r="AS81" i="11"/>
  <c r="AS76" i="11"/>
  <c r="AS75" i="11"/>
  <c r="AS74" i="11"/>
  <c r="AS73" i="11"/>
  <c r="F20" i="10"/>
  <c r="K13" i="10"/>
  <c r="L13" i="10" s="1"/>
  <c r="H13" i="10"/>
  <c r="I13" i="10" s="1"/>
  <c r="K12" i="10"/>
  <c r="H20" i="10" s="1"/>
  <c r="I12" i="10"/>
  <c r="H12" i="10"/>
  <c r="G6" i="10"/>
  <c r="H6" i="10" s="1"/>
  <c r="G5" i="10"/>
  <c r="H5" i="10" s="1"/>
  <c r="F9" i="9"/>
  <c r="F10" i="9"/>
  <c r="F11" i="9"/>
  <c r="F12" i="9"/>
  <c r="F13" i="9"/>
  <c r="F14" i="9"/>
  <c r="F15" i="9"/>
  <c r="F16" i="9"/>
  <c r="F17" i="9"/>
  <c r="F8" i="9"/>
  <c r="E41" i="5"/>
  <c r="E42" i="5"/>
  <c r="E43" i="5"/>
  <c r="E44" i="5"/>
  <c r="E45" i="5"/>
  <c r="E46" i="5"/>
  <c r="E47" i="5"/>
  <c r="E40" i="5"/>
  <c r="E6" i="5"/>
  <c r="E7" i="5"/>
  <c r="E8" i="5"/>
  <c r="E9" i="5"/>
  <c r="E10" i="5"/>
  <c r="E11" i="5"/>
  <c r="E12" i="5"/>
  <c r="E13" i="5"/>
  <c r="E26" i="5"/>
  <c r="E27" i="5"/>
  <c r="E28" i="5"/>
  <c r="E29" i="5"/>
  <c r="E30" i="5"/>
  <c r="E31" i="5"/>
  <c r="E32" i="5"/>
  <c r="E25" i="5"/>
  <c r="G13" i="9"/>
  <c r="G17" i="9"/>
  <c r="G10" i="9"/>
  <c r="G11" i="9"/>
  <c r="G16" i="9"/>
  <c r="G8" i="9"/>
  <c r="G15" i="9"/>
  <c r="G14" i="9"/>
  <c r="G12" i="9"/>
  <c r="G9" i="9"/>
  <c r="K20" i="10" l="1"/>
  <c r="I20" i="10"/>
  <c r="N13" i="10"/>
  <c r="M13" i="10"/>
  <c r="L12" i="10"/>
  <c r="N12" i="10" l="1"/>
  <c r="M12" i="10"/>
  <c r="F46" i="5" l="1"/>
  <c r="J41" i="5"/>
  <c r="J42" i="5"/>
  <c r="J43" i="5"/>
  <c r="J44" i="5"/>
  <c r="J45" i="5"/>
  <c r="J46" i="5"/>
  <c r="J47" i="5"/>
  <c r="J40" i="5"/>
  <c r="H26" i="5"/>
  <c r="H27" i="5"/>
  <c r="H28" i="5"/>
  <c r="H29" i="5"/>
  <c r="H30" i="5"/>
  <c r="H31" i="5"/>
  <c r="H32" i="5"/>
  <c r="H25" i="5"/>
  <c r="H22" i="5"/>
  <c r="I41" i="5"/>
  <c r="I42" i="5"/>
  <c r="I43" i="5"/>
  <c r="I44" i="5"/>
  <c r="I45" i="5"/>
  <c r="I46" i="5"/>
  <c r="I47" i="5"/>
  <c r="I40" i="5"/>
  <c r="J26" i="5"/>
  <c r="J27" i="5"/>
  <c r="J28" i="5"/>
  <c r="J29" i="5"/>
  <c r="J30" i="5"/>
  <c r="J31" i="5"/>
  <c r="J32" i="5"/>
  <c r="J25" i="5"/>
  <c r="I26" i="5"/>
  <c r="I27" i="5"/>
  <c r="I28" i="5"/>
  <c r="I29" i="5"/>
  <c r="I30" i="5"/>
  <c r="I31" i="5"/>
  <c r="I32" i="5"/>
  <c r="I25" i="5"/>
  <c r="J22" i="5"/>
  <c r="I22" i="5"/>
  <c r="G25" i="5"/>
  <c r="H40" i="5"/>
  <c r="G24" i="7"/>
  <c r="G25" i="7"/>
  <c r="G26" i="7"/>
  <c r="G27" i="7"/>
  <c r="G28" i="7"/>
  <c r="G29" i="7"/>
  <c r="G30" i="7"/>
  <c r="G23" i="7"/>
  <c r="E23" i="7"/>
  <c r="E24" i="7"/>
  <c r="E25" i="7"/>
  <c r="E26" i="7"/>
  <c r="E27" i="7"/>
  <c r="E29" i="7"/>
  <c r="E30" i="7"/>
  <c r="B18" i="7"/>
  <c r="E7" i="7"/>
  <c r="G7" i="7" s="1"/>
  <c r="D23" i="7"/>
  <c r="G11" i="7"/>
  <c r="E13" i="7"/>
  <c r="E12" i="7"/>
  <c r="E11" i="7"/>
  <c r="E10" i="7"/>
  <c r="E9" i="7"/>
  <c r="E8" i="7"/>
  <c r="G8" i="7" s="1"/>
  <c r="E6" i="7"/>
  <c r="B2" i="7"/>
  <c r="D11" i="7"/>
  <c r="D6" i="7"/>
  <c r="A2" i="7"/>
  <c r="G13" i="7"/>
  <c r="G12" i="7"/>
  <c r="G10" i="7"/>
  <c r="G9" i="7"/>
  <c r="G6" i="7"/>
  <c r="H59" i="5"/>
  <c r="H41" i="5"/>
  <c r="H42" i="5"/>
  <c r="H43" i="5"/>
  <c r="H44" i="5"/>
  <c r="H45" i="5"/>
  <c r="H46" i="5"/>
  <c r="H47" i="5"/>
  <c r="G26" i="5"/>
  <c r="G27" i="5"/>
  <c r="G28" i="5"/>
  <c r="G29" i="5"/>
  <c r="G30" i="5"/>
  <c r="G31" i="5"/>
  <c r="G32" i="5"/>
  <c r="H52" i="5"/>
  <c r="H51" i="5"/>
  <c r="F47" i="5"/>
  <c r="F45" i="5"/>
  <c r="F44" i="5"/>
  <c r="F43" i="5"/>
  <c r="F42" i="5"/>
  <c r="F41" i="5"/>
  <c r="F40" i="5"/>
  <c r="D45" i="5"/>
  <c r="D46" i="5"/>
  <c r="D44" i="5"/>
  <c r="D43" i="5"/>
  <c r="D42" i="5"/>
  <c r="D41" i="5"/>
  <c r="D40" i="5"/>
  <c r="C47" i="5"/>
  <c r="C40" i="5"/>
  <c r="A22" i="5"/>
  <c r="D30" i="5" s="1"/>
  <c r="F30" i="5" s="1"/>
  <c r="A21" i="5"/>
  <c r="F29" i="5"/>
  <c r="C32" i="5"/>
  <c r="F13" i="5"/>
  <c r="F12" i="5"/>
  <c r="F11" i="5"/>
  <c r="F10" i="5"/>
  <c r="F9" i="5"/>
  <c r="F8" i="5"/>
  <c r="F7" i="5"/>
  <c r="F6" i="5"/>
  <c r="G6" i="5" s="1"/>
  <c r="B2" i="5"/>
  <c r="A1" i="5"/>
  <c r="A2" i="5" s="1"/>
  <c r="C6" i="5" s="1"/>
  <c r="B49" i="3"/>
  <c r="B48" i="3"/>
  <c r="B45" i="3"/>
  <c r="B44" i="3"/>
  <c r="B116" i="2"/>
  <c r="B115" i="2"/>
  <c r="B112" i="2"/>
  <c r="B113" i="2"/>
  <c r="B114" i="2"/>
  <c r="B117" i="2"/>
  <c r="B118" i="2"/>
  <c r="B111" i="2"/>
  <c r="D106" i="2"/>
  <c r="B103" i="2"/>
  <c r="D103" i="2" s="1"/>
  <c r="B104" i="2"/>
  <c r="D104" i="2" s="1"/>
  <c r="B105" i="2"/>
  <c r="D105" i="2" s="1"/>
  <c r="B106" i="2"/>
  <c r="B107" i="2"/>
  <c r="D107" i="2" s="1"/>
  <c r="B102" i="2"/>
  <c r="D102" i="2" s="1"/>
  <c r="P13" i="1"/>
  <c r="C93" i="2"/>
  <c r="C94" i="2"/>
  <c r="C95" i="2"/>
  <c r="C96" i="2"/>
  <c r="C97" i="2"/>
  <c r="C98" i="2"/>
  <c r="C99" i="2"/>
  <c r="C100" i="2"/>
  <c r="C92" i="2"/>
  <c r="B81" i="2"/>
  <c r="B82" i="2"/>
  <c r="B83" i="2"/>
  <c r="B84" i="2"/>
  <c r="B85" i="2"/>
  <c r="B86" i="2"/>
  <c r="B87" i="2"/>
  <c r="B88" i="2"/>
  <c r="B80" i="2"/>
  <c r="I80" i="2" s="1"/>
  <c r="O36" i="1"/>
  <c r="O35" i="1"/>
  <c r="O34" i="1"/>
  <c r="O33" i="1"/>
  <c r="O32" i="1"/>
  <c r="O31" i="1"/>
  <c r="O24" i="1"/>
  <c r="O25" i="1"/>
  <c r="O26" i="1"/>
  <c r="O27" i="1"/>
  <c r="O28" i="1"/>
  <c r="O29" i="1"/>
  <c r="O30" i="1"/>
  <c r="O23" i="1"/>
  <c r="I13" i="1"/>
  <c r="I14" i="1"/>
  <c r="I15" i="1"/>
  <c r="I16" i="1"/>
  <c r="I17" i="1"/>
  <c r="I47" i="1" s="1"/>
  <c r="I18" i="1"/>
  <c r="I19" i="1"/>
  <c r="I49" i="1" s="1"/>
  <c r="I20" i="1"/>
  <c r="I50" i="1" s="1"/>
  <c r="I21" i="1"/>
  <c r="I22" i="1"/>
  <c r="I23" i="1"/>
  <c r="I24" i="1"/>
  <c r="I25" i="1"/>
  <c r="I55" i="1" s="1"/>
  <c r="I26" i="1"/>
  <c r="I56" i="1" s="1"/>
  <c r="I27" i="1"/>
  <c r="I57" i="1" s="1"/>
  <c r="I28" i="1"/>
  <c r="I29" i="1"/>
  <c r="I30" i="1"/>
  <c r="I31" i="1"/>
  <c r="I32" i="1"/>
  <c r="I62" i="1" s="1"/>
  <c r="I33" i="1"/>
  <c r="I34" i="1"/>
  <c r="I64" i="1" s="1"/>
  <c r="I35" i="1"/>
  <c r="I65" i="1" s="1"/>
  <c r="I36" i="1"/>
  <c r="I66" i="1" s="1"/>
  <c r="I43" i="1"/>
  <c r="I61" i="1"/>
  <c r="I54" i="1"/>
  <c r="I5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43" i="1"/>
  <c r="I44" i="1"/>
  <c r="J44" i="1"/>
  <c r="I45" i="1"/>
  <c r="J45" i="1"/>
  <c r="I46" i="1"/>
  <c r="J46" i="1"/>
  <c r="J47" i="1"/>
  <c r="I48" i="1"/>
  <c r="J48" i="1"/>
  <c r="J49" i="1"/>
  <c r="J50" i="1"/>
  <c r="I51" i="1"/>
  <c r="J51" i="1"/>
  <c r="I52" i="1"/>
  <c r="J52" i="1"/>
  <c r="J53" i="1"/>
  <c r="J54" i="1"/>
  <c r="J55" i="1"/>
  <c r="J56" i="1"/>
  <c r="J57" i="1"/>
  <c r="I58" i="1"/>
  <c r="J58" i="1"/>
  <c r="I59" i="1"/>
  <c r="J59" i="1"/>
  <c r="I60" i="1"/>
  <c r="J60" i="1"/>
  <c r="J61" i="1"/>
  <c r="J62" i="1"/>
  <c r="I63" i="1"/>
  <c r="J63" i="1"/>
  <c r="J64" i="1"/>
  <c r="J65" i="1"/>
  <c r="J66" i="1"/>
  <c r="J43" i="1"/>
  <c r="F36" i="1"/>
  <c r="F35" i="1"/>
  <c r="F34" i="1"/>
  <c r="F33" i="1"/>
  <c r="F32" i="1"/>
  <c r="F31" i="1"/>
  <c r="F29" i="1"/>
  <c r="F28" i="1"/>
  <c r="F27" i="1"/>
  <c r="F26" i="1"/>
  <c r="F25" i="1"/>
  <c r="F24" i="1"/>
  <c r="F30" i="1"/>
  <c r="F23" i="1"/>
  <c r="F22" i="1"/>
  <c r="F21" i="1"/>
  <c r="F20" i="1"/>
  <c r="F19" i="1"/>
  <c r="J22" i="1"/>
  <c r="O22" i="1" s="1"/>
  <c r="P22" i="1" s="1"/>
  <c r="J21" i="1"/>
  <c r="O21" i="1" s="1"/>
  <c r="P21" i="1" s="1"/>
  <c r="J20" i="1"/>
  <c r="O20" i="1" s="1"/>
  <c r="P20" i="1" s="1"/>
  <c r="J19" i="1"/>
  <c r="O19" i="1" s="1"/>
  <c r="P19" i="1" s="1"/>
  <c r="J18" i="1"/>
  <c r="O18" i="1" s="1"/>
  <c r="P18" i="1" s="1"/>
  <c r="J17" i="1"/>
  <c r="O17" i="1" s="1"/>
  <c r="P17" i="1" s="1"/>
  <c r="J16" i="1"/>
  <c r="O16" i="1" s="1"/>
  <c r="P16" i="1" s="1"/>
  <c r="J15" i="1"/>
  <c r="O15" i="1" s="1"/>
  <c r="P15" i="1" s="1"/>
  <c r="J14" i="1"/>
  <c r="O14" i="1" s="1"/>
  <c r="P14" i="1" s="1"/>
  <c r="J13" i="1"/>
  <c r="O13" i="1" s="1"/>
  <c r="F15" i="1"/>
  <c r="F16" i="1"/>
  <c r="F17" i="1"/>
  <c r="F18" i="1"/>
  <c r="F14" i="1"/>
  <c r="F13" i="1"/>
  <c r="K27" i="5" l="1"/>
  <c r="C25" i="5"/>
  <c r="K28" i="5"/>
  <c r="D28" i="5"/>
  <c r="F28" i="5" s="1"/>
  <c r="D27" i="5"/>
  <c r="F27" i="5" s="1"/>
  <c r="D25" i="5"/>
  <c r="F25" i="5" s="1"/>
  <c r="D32" i="5"/>
  <c r="F32" i="5" s="1"/>
  <c r="D31" i="5"/>
  <c r="F31" i="5" s="1"/>
  <c r="D26" i="5"/>
  <c r="F26" i="5" s="1"/>
  <c r="C13" i="5"/>
  <c r="I70" i="1" a="1"/>
  <c r="I70" i="1" s="1"/>
  <c r="O70" i="1" s="1" a="1"/>
  <c r="O70" i="1" s="1"/>
  <c r="N43" i="1" s="1" a="1"/>
  <c r="N43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<sst xmlns="http://schemas.openxmlformats.org/spreadsheetml/2006/main" count="134" uniqueCount="64">
  <si>
    <t>speed (rad/s)</t>
  </si>
  <si>
    <t>speed rpm</t>
  </si>
  <si>
    <t>q (m3/h)</t>
  </si>
  <si>
    <t>q (m3/s)</t>
  </si>
  <si>
    <t>H1</t>
  </si>
  <si>
    <t>H2</t>
  </si>
  <si>
    <t>H3</t>
  </si>
  <si>
    <t>B</t>
  </si>
  <si>
    <t>speed (rpm)</t>
  </si>
  <si>
    <t>H (m)</t>
  </si>
  <si>
    <t>q</t>
  </si>
  <si>
    <t>eta</t>
  </si>
  <si>
    <t>eta (40)</t>
  </si>
  <si>
    <t>eta (50)</t>
  </si>
  <si>
    <t>f</t>
  </si>
  <si>
    <t>P</t>
  </si>
  <si>
    <t>Power Characteristic</t>
  </si>
  <si>
    <t>P(kW)</t>
  </si>
  <si>
    <t>rho</t>
  </si>
  <si>
    <t>eta(%)</t>
  </si>
  <si>
    <t>Efficiency Characteristic (no sirve)</t>
  </si>
  <si>
    <t>Head Characteristic</t>
  </si>
  <si>
    <t>a = { 431,391174 71.019,165026 }</t>
  </si>
  <si>
    <t>b = { 12,235634 902,886310 -300.017,452735}</t>
  </si>
  <si>
    <t>dpnom</t>
  </si>
  <si>
    <t>H(m)</t>
  </si>
  <si>
    <t>head = dp / (rhoin * g);</t>
  </si>
  <si>
    <t>a = {439.531816, 97794.102431}</t>
  </si>
  <si>
    <t>b = {14.230465 650.687103  -229082.650277}</t>
  </si>
  <si>
    <t>H</t>
  </si>
  <si>
    <t>linear</t>
  </si>
  <si>
    <t>quadratic</t>
  </si>
  <si>
    <t>omeganom/omega</t>
  </si>
  <si>
    <t>F=50</t>
  </si>
  <si>
    <t>f=40</t>
  </si>
  <si>
    <t>f=30</t>
  </si>
  <si>
    <t>a = {388.549620, 131794.193604, -4853678.406628}</t>
  </si>
  <si>
    <t>P(W)</t>
  </si>
  <si>
    <t>Valves</t>
  </si>
  <si>
    <t>dp_nom</t>
  </si>
  <si>
    <t>rho_nom</t>
  </si>
  <si>
    <t>w_nom</t>
  </si>
  <si>
    <t>Av_nom</t>
  </si>
  <si>
    <t>Kv_nom</t>
  </si>
  <si>
    <t>Pump</t>
  </si>
  <si>
    <t>Tnom</t>
  </si>
  <si>
    <t>p</t>
  </si>
  <si>
    <t>FCV101</t>
  </si>
  <si>
    <t>P101</t>
  </si>
  <si>
    <t>PR01</t>
  </si>
  <si>
    <t>g</t>
  </si>
  <si>
    <t>dp</t>
  </si>
  <si>
    <t>dp (bar)</t>
  </si>
  <si>
    <t>etanom</t>
  </si>
  <si>
    <t>Wnom</t>
  </si>
  <si>
    <t>qnom(m3/s)</t>
  </si>
  <si>
    <t>qnom(m3/h)</t>
  </si>
  <si>
    <t>wnom(m3/h)</t>
  </si>
  <si>
    <t>Hnom</t>
  </si>
  <si>
    <t>dpnom_computed</t>
  </si>
  <si>
    <t>dpnom_bar</t>
  </si>
  <si>
    <t>rhoin_computed</t>
  </si>
  <si>
    <t>Q(m3/h)</t>
  </si>
  <si>
    <t>P2(kW)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</si>
</sst>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00000"/>
      <name val="Courier New"/>
      <family val="3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0" fillId="0" borderId="1" xfId="0" applyBorder="1"/>
    <xf numFmtId="0" fontId="0" fillId="2" borderId="0" xfId="0" applyFill="1"/>
    <xf numFmtId="0" fontId="2" fillId="0" borderId="0" xfId="0" applyFont="1"/>
    <xf numFmtId="11" fontId="0" fillId="0" borderId="0" xfId="0" applyNumberFormat="1"/>
    <xf numFmtId="0" fontId="0" fillId="3" borderId="0" xfId="0" applyFill="1"/>
    <xf numFmtId="0" fontId="1" fillId="3" borderId="0" xfId="0" applyFont="1" applyFill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Foglio1!$K$12</c:f>
              <c:strCache>
                <c:ptCount val="1"/>
                <c:pt idx="0">
                  <c:v>H1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6.2347490785617486E-2"/>
                  <c:y val="0.12260207057451152"/>
                </c:manualLayout>
              </c:layout>
              <c:numFmt formatCode="#,##0.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Foglio1!$J$13:$J$21</c:f>
              <c:numCache>
                <c:formatCode>General</c:formatCode>
                <c:ptCount val="9"/>
                <c:pt idx="0">
                  <c:v>2.7777777777777779E-3</c:v>
                </c:pt>
                <c:pt idx="1">
                  <c:v>2.5000000000000001E-3</c:v>
                </c:pt>
                <c:pt idx="2">
                  <c:v>2.2222222222222222E-3</c:v>
                </c:pt>
                <c:pt idx="3">
                  <c:v>1.9444444444444444E-3</c:v>
                </c:pt>
                <c:pt idx="4">
                  <c:v>1.6666666666666668E-3</c:v>
                </c:pt>
                <c:pt idx="5">
                  <c:v>1.3888888888888889E-3</c:v>
                </c:pt>
                <c:pt idx="6">
                  <c:v>1.1111111111111111E-3</c:v>
                </c:pt>
                <c:pt idx="7">
                  <c:v>8.3333333333333339E-4</c:v>
                </c:pt>
                <c:pt idx="8">
                  <c:v>6.1111111111111121E-4</c:v>
                </c:pt>
              </c:numCache>
            </c:numRef>
          </c:xVal>
          <c:yVal>
            <c:numRef>
              <c:f>Foglio1!$K$13:$K$21</c:f>
              <c:numCache>
                <c:formatCode>General</c:formatCode>
                <c:ptCount val="9"/>
                <c:pt idx="0">
                  <c:v>4.87</c:v>
                </c:pt>
                <c:pt idx="1">
                  <c:v>5.5</c:v>
                </c:pt>
                <c:pt idx="2">
                  <c:v>6.15</c:v>
                </c:pt>
                <c:pt idx="3">
                  <c:v>6.5</c:v>
                </c:pt>
                <c:pt idx="4">
                  <c:v>6.92</c:v>
                </c:pt>
                <c:pt idx="5">
                  <c:v>7.17</c:v>
                </c:pt>
                <c:pt idx="6">
                  <c:v>7.36</c:v>
                </c:pt>
                <c:pt idx="7">
                  <c:v>7.5</c:v>
                </c:pt>
                <c:pt idx="8">
                  <c:v>7.6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FF-458D-AC68-D3F6923F99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8335744"/>
        <c:axId val="488339072"/>
      </c:scatterChart>
      <c:valAx>
        <c:axId val="488335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88339072"/>
        <c:crosses val="autoZero"/>
        <c:crossBetween val="midCat"/>
      </c:valAx>
      <c:valAx>
        <c:axId val="48833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88335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Foglio1!$K$12</c:f>
              <c:strCache>
                <c:ptCount val="1"/>
                <c:pt idx="0">
                  <c:v>H1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6.2347490785617486E-2"/>
                  <c:y val="0.12260207057451152"/>
                </c:manualLayout>
              </c:layout>
              <c:numFmt formatCode="#,##0.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Foglio1!$J$23:$J$30</c:f>
              <c:numCache>
                <c:formatCode>General</c:formatCode>
                <c:ptCount val="8"/>
                <c:pt idx="0">
                  <c:v>2.2222222222222222E-3</c:v>
                </c:pt>
                <c:pt idx="1">
                  <c:v>1.9444444444444444E-3</c:v>
                </c:pt>
                <c:pt idx="2">
                  <c:v>1.6666666666666668E-3</c:v>
                </c:pt>
                <c:pt idx="3">
                  <c:v>1.3888888888888889E-3</c:v>
                </c:pt>
                <c:pt idx="4">
                  <c:v>1.1111111111111111E-3</c:v>
                </c:pt>
                <c:pt idx="5">
                  <c:v>8.3333333333333339E-4</c:v>
                </c:pt>
                <c:pt idx="6">
                  <c:v>6.1111111111111121E-4</c:v>
                </c:pt>
                <c:pt idx="7">
                  <c:v>5.5555555555555556E-4</c:v>
                </c:pt>
              </c:numCache>
            </c:numRef>
          </c:xVal>
          <c:yVal>
            <c:numRef>
              <c:f>Foglio1!$K$23:$K$30</c:f>
              <c:numCache>
                <c:formatCode>General</c:formatCode>
                <c:ptCount val="8"/>
                <c:pt idx="0">
                  <c:v>3.15</c:v>
                </c:pt>
                <c:pt idx="1">
                  <c:v>3.7</c:v>
                </c:pt>
                <c:pt idx="2">
                  <c:v>4.0999999999999996</c:v>
                </c:pt>
                <c:pt idx="3">
                  <c:v>4.45</c:v>
                </c:pt>
                <c:pt idx="4">
                  <c:v>4.6100000000000003</c:v>
                </c:pt>
                <c:pt idx="5">
                  <c:v>4.75</c:v>
                </c:pt>
                <c:pt idx="6">
                  <c:v>4.8</c:v>
                </c:pt>
                <c:pt idx="7">
                  <c:v>4.8499999999999996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8E7-426F-BEA7-B3C2C94A0B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8335744"/>
        <c:axId val="488339072"/>
      </c:scatterChart>
      <c:valAx>
        <c:axId val="488335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88339072"/>
        <c:crosses val="autoZero"/>
        <c:crossBetween val="midCat"/>
      </c:valAx>
      <c:valAx>
        <c:axId val="48833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88335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Foglio1!$K$12</c:f>
              <c:strCache>
                <c:ptCount val="1"/>
                <c:pt idx="0">
                  <c:v>H1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6.2347490785617486E-2"/>
                  <c:y val="0.12260207057451152"/>
                </c:manualLayout>
              </c:layout>
              <c:numFmt formatCode="#,##0.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Foglio1!$J$31:$J$36</c:f>
              <c:numCache>
                <c:formatCode>General</c:formatCode>
                <c:ptCount val="6"/>
                <c:pt idx="0">
                  <c:v>1.6666666666666668E-3</c:v>
                </c:pt>
                <c:pt idx="1">
                  <c:v>1.3888888888888889E-3</c:v>
                </c:pt>
                <c:pt idx="2">
                  <c:v>1.1111111111111111E-3</c:v>
                </c:pt>
                <c:pt idx="3">
                  <c:v>8.3333333333333339E-4</c:v>
                </c:pt>
                <c:pt idx="4">
                  <c:v>6.1111111111111121E-4</c:v>
                </c:pt>
                <c:pt idx="5">
                  <c:v>5.5555555555555556E-4</c:v>
                </c:pt>
              </c:numCache>
            </c:numRef>
          </c:xVal>
          <c:yVal>
            <c:numRef>
              <c:f>Foglio1!$K$31:$K$36</c:f>
              <c:numCache>
                <c:formatCode>General</c:formatCode>
                <c:ptCount val="6"/>
                <c:pt idx="0">
                  <c:v>1.75</c:v>
                </c:pt>
                <c:pt idx="1">
                  <c:v>2.1</c:v>
                </c:pt>
                <c:pt idx="2">
                  <c:v>2.44</c:v>
                </c:pt>
                <c:pt idx="3">
                  <c:v>2.5499999999999998</c:v>
                </c:pt>
                <c:pt idx="4">
                  <c:v>2.6</c:v>
                </c:pt>
                <c:pt idx="5">
                  <c:v>2.62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17-4DCD-B769-817971B6C0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8335744"/>
        <c:axId val="488339072"/>
      </c:scatterChart>
      <c:valAx>
        <c:axId val="488335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88339072"/>
        <c:crosses val="autoZero"/>
        <c:crossBetween val="midCat"/>
      </c:valAx>
      <c:valAx>
        <c:axId val="48833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88335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Foglio2!$C$79</c:f>
              <c:strCache>
                <c:ptCount val="1"/>
                <c:pt idx="0">
                  <c:v>eta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intercept val="0"/>
            <c:dispRSqr val="1"/>
            <c:dispEq val="1"/>
            <c:trendlineLbl>
              <c:layout>
                <c:manualLayout>
                  <c:x val="3.0382327209098864E-2"/>
                  <c:y val="0.11518117526975795"/>
                </c:manualLayout>
              </c:layout>
              <c:numFmt formatCode="#,##0.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Foglio2!$B$80:$B$88</c:f>
              <c:numCache>
                <c:formatCode>General</c:formatCode>
                <c:ptCount val="9"/>
                <c:pt idx="0">
                  <c:v>8.3333333333333339E-4</c:v>
                </c:pt>
                <c:pt idx="1">
                  <c:v>1.1111111111111111E-3</c:v>
                </c:pt>
                <c:pt idx="2">
                  <c:v>1.3888888888888889E-3</c:v>
                </c:pt>
                <c:pt idx="3">
                  <c:v>1.6666666666666668E-3</c:v>
                </c:pt>
                <c:pt idx="4">
                  <c:v>1.9444444444444444E-3</c:v>
                </c:pt>
                <c:pt idx="5">
                  <c:v>2.1111111111111109E-3</c:v>
                </c:pt>
                <c:pt idx="6">
                  <c:v>2.2222222222222222E-3</c:v>
                </c:pt>
                <c:pt idx="7">
                  <c:v>2.5000000000000001E-3</c:v>
                </c:pt>
                <c:pt idx="8">
                  <c:v>2.7777777777777779E-3</c:v>
                </c:pt>
              </c:numCache>
            </c:numRef>
          </c:xVal>
          <c:yVal>
            <c:numRef>
              <c:f>Foglio2!$C$80:$C$88</c:f>
              <c:numCache>
                <c:formatCode>General</c:formatCode>
                <c:ptCount val="9"/>
                <c:pt idx="0">
                  <c:v>0.41</c:v>
                </c:pt>
                <c:pt idx="1">
                  <c:v>0.49199999999999999</c:v>
                </c:pt>
                <c:pt idx="2">
                  <c:v>0.55400000000000005</c:v>
                </c:pt>
                <c:pt idx="3">
                  <c:v>0.59599999999999997</c:v>
                </c:pt>
                <c:pt idx="4">
                  <c:v>0.61899999999999999</c:v>
                </c:pt>
                <c:pt idx="5">
                  <c:v>0.625</c:v>
                </c:pt>
                <c:pt idx="6">
                  <c:v>0.622</c:v>
                </c:pt>
                <c:pt idx="7">
                  <c:v>0.60299999999999998</c:v>
                </c:pt>
                <c:pt idx="8">
                  <c:v>0.55800000000000005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8B-4AE0-BFE3-128F417179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9809967"/>
        <c:axId val="1819808303"/>
      </c:scatterChart>
      <c:valAx>
        <c:axId val="1819809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19808303"/>
        <c:crosses val="autoZero"/>
        <c:crossBetween val="midCat"/>
      </c:valAx>
      <c:valAx>
        <c:axId val="181980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198099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Foglio2!$C$101</c:f>
              <c:strCache>
                <c:ptCount val="1"/>
                <c:pt idx="0">
                  <c:v>eta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8.687160979877516E-2"/>
                  <c:y val="0.20195501603966171"/>
                </c:manualLayout>
              </c:layout>
              <c:numFmt formatCode="#,##0.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Foglio2!$B$102:$B$107</c:f>
              <c:numCache>
                <c:formatCode>General</c:formatCode>
                <c:ptCount val="6"/>
                <c:pt idx="0">
                  <c:v>5.5555555555555556E-4</c:v>
                </c:pt>
                <c:pt idx="1">
                  <c:v>8.3333333333333339E-4</c:v>
                </c:pt>
                <c:pt idx="2">
                  <c:v>1.1111111111111111E-3</c:v>
                </c:pt>
                <c:pt idx="3">
                  <c:v>1.3888888888888889E-3</c:v>
                </c:pt>
                <c:pt idx="4">
                  <c:v>2.2222222222222222E-3</c:v>
                </c:pt>
                <c:pt idx="5">
                  <c:v>2.3888888888888887E-3</c:v>
                </c:pt>
              </c:numCache>
            </c:numRef>
          </c:xVal>
          <c:yVal>
            <c:numRef>
              <c:f>Foglio2!$C$102:$C$107</c:f>
              <c:numCache>
                <c:formatCode>General</c:formatCode>
                <c:ptCount val="6"/>
                <c:pt idx="0">
                  <c:v>0.36499999999999999</c:v>
                </c:pt>
                <c:pt idx="1">
                  <c:v>0.47499999999999998</c:v>
                </c:pt>
                <c:pt idx="2">
                  <c:v>0.55500000000000005</c:v>
                </c:pt>
                <c:pt idx="3">
                  <c:v>0.60299999999999998</c:v>
                </c:pt>
                <c:pt idx="4">
                  <c:v>0.55600000000000005</c:v>
                </c:pt>
                <c:pt idx="5">
                  <c:v>0.505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65-4051-931A-69DA103237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2756927"/>
        <c:axId val="1142755679"/>
      </c:scatterChart>
      <c:valAx>
        <c:axId val="11427569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42755679"/>
        <c:crosses val="autoZero"/>
        <c:crossBetween val="midCat"/>
      </c:valAx>
      <c:valAx>
        <c:axId val="1142755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427569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Foglio2!$C$110</c:f>
              <c:strCache>
                <c:ptCount val="1"/>
                <c:pt idx="0">
                  <c:v>eta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4.0889540173858326E-2"/>
                  <c:y val="0.19385845379938865"/>
                </c:manualLayout>
              </c:layout>
              <c:numFmt formatCode="#,##0.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Foglio2!$B$111:$B$118</c:f>
              <c:numCache>
                <c:formatCode>General</c:formatCode>
                <c:ptCount val="8"/>
                <c:pt idx="0">
                  <c:v>4.4444444444444447E-4</c:v>
                </c:pt>
                <c:pt idx="1">
                  <c:v>5.5555555555555556E-4</c:v>
                </c:pt>
                <c:pt idx="2">
                  <c:v>8.3333333333333339E-4</c:v>
                </c:pt>
                <c:pt idx="3">
                  <c:v>1E-3</c:v>
                </c:pt>
                <c:pt idx="4">
                  <c:v>1.1111111111111111E-3</c:v>
                </c:pt>
                <c:pt idx="5">
                  <c:v>1.5E-3</c:v>
                </c:pt>
                <c:pt idx="6">
                  <c:v>1.6666666666666668E-3</c:v>
                </c:pt>
                <c:pt idx="7">
                  <c:v>1.7777777777777779E-3</c:v>
                </c:pt>
              </c:numCache>
            </c:numRef>
          </c:xVal>
          <c:yVal>
            <c:numRef>
              <c:f>Foglio2!$C$111:$C$118</c:f>
              <c:numCache>
                <c:formatCode>General</c:formatCode>
                <c:ptCount val="8"/>
                <c:pt idx="0">
                  <c:v>0.38</c:v>
                </c:pt>
                <c:pt idx="1">
                  <c:v>0.44</c:v>
                </c:pt>
                <c:pt idx="2">
                  <c:v>0.55500000000000005</c:v>
                </c:pt>
                <c:pt idx="3">
                  <c:v>0.59499999999999997</c:v>
                </c:pt>
                <c:pt idx="4">
                  <c:v>0.61499999999999999</c:v>
                </c:pt>
                <c:pt idx="5">
                  <c:v>0.60499999999999998</c:v>
                </c:pt>
                <c:pt idx="6">
                  <c:v>0.55600000000000005</c:v>
                </c:pt>
                <c:pt idx="7">
                  <c:v>0.51200000000000001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FA-44FF-837E-CF411854B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0545407"/>
        <c:axId val="1010553727"/>
      </c:scatterChart>
      <c:valAx>
        <c:axId val="1010545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10553727"/>
        <c:crosses val="autoZero"/>
        <c:crossBetween val="midCat"/>
      </c:valAx>
      <c:valAx>
        <c:axId val="1010553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10545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Foglio3!$C$43</c:f>
              <c:strCache>
                <c:ptCount val="1"/>
                <c:pt idx="0">
                  <c:v>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3.1502378662078868E-2"/>
                  <c:y val="0.22038251850051929"/>
                </c:manualLayout>
              </c:layout>
              <c:numFmt formatCode="#,##0.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Foglio3!$B$44:$B$45</c:f>
              <c:numCache>
                <c:formatCode>General</c:formatCode>
                <c:ptCount val="2"/>
                <c:pt idx="0">
                  <c:v>1.8888888888888887E-3</c:v>
                </c:pt>
                <c:pt idx="1">
                  <c:v>2.7777777777777779E-3</c:v>
                </c:pt>
              </c:numCache>
            </c:numRef>
          </c:xVal>
          <c:yVal>
            <c:numRef>
              <c:f>Foglio3!$C$44:$C$45</c:f>
              <c:numCache>
                <c:formatCode>General</c:formatCode>
                <c:ptCount val="2"/>
                <c:pt idx="0">
                  <c:v>0.2</c:v>
                </c:pt>
                <c:pt idx="1">
                  <c:v>0.24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0F-4E9C-A9A7-7EFB3DCABF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4753023"/>
        <c:axId val="2134753855"/>
      </c:scatterChart>
      <c:valAx>
        <c:axId val="21347530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134753855"/>
        <c:crosses val="autoZero"/>
        <c:crossBetween val="midCat"/>
      </c:valAx>
      <c:valAx>
        <c:axId val="2134753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1347530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Foglio3!$C$43</c:f>
              <c:strCache>
                <c:ptCount val="1"/>
                <c:pt idx="0">
                  <c:v>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3.1502378662078868E-2"/>
                  <c:y val="0.22038251850051929"/>
                </c:manualLayout>
              </c:layout>
              <c:numFmt formatCode="#,##0.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Foglio3!$B$48:$B$49</c:f>
              <c:numCache>
                <c:formatCode>General</c:formatCode>
                <c:ptCount val="2"/>
                <c:pt idx="0">
                  <c:v>5.5555555555555556E-4</c:v>
                </c:pt>
                <c:pt idx="1">
                  <c:v>2.2222222222222222E-3</c:v>
                </c:pt>
              </c:numCache>
            </c:numRef>
          </c:xVal>
          <c:yVal>
            <c:numRef>
              <c:f>Foglio3!$C$48:$C$49</c:f>
              <c:numCache>
                <c:formatCode>General</c:formatCode>
                <c:ptCount val="2"/>
                <c:pt idx="0">
                  <c:v>7.4999999999999997E-2</c:v>
                </c:pt>
                <c:pt idx="1">
                  <c:v>0.123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7A-4C0C-AF6E-46F81AD12A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4753023"/>
        <c:axId val="2134753855"/>
      </c:scatterChart>
      <c:valAx>
        <c:axId val="21347530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134753855"/>
        <c:crosses val="autoZero"/>
        <c:crossBetween val="midCat"/>
      </c:valAx>
      <c:valAx>
        <c:axId val="2134753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1347530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P101_points!$F$5</c:f>
              <c:strCache>
                <c:ptCount val="1"/>
                <c:pt idx="0">
                  <c:v>eta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8.5774278215223099E-2"/>
                  <c:y val="0.24482903178769322"/>
                </c:manualLayout>
              </c:layout>
              <c:numFmt formatCode="#,##0.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P101_points!$E$6:$E$13</c:f>
              <c:numCache>
                <c:formatCode>General</c:formatCode>
                <c:ptCount val="8"/>
                <c:pt idx="0">
                  <c:v>1.5277777777777779E-3</c:v>
                </c:pt>
                <c:pt idx="1">
                  <c:v>2.0833333333333333E-3</c:v>
                </c:pt>
                <c:pt idx="2">
                  <c:v>2.7777777777777779E-3</c:v>
                </c:pt>
                <c:pt idx="3">
                  <c:v>3.472222222222222E-3</c:v>
                </c:pt>
                <c:pt idx="4">
                  <c:v>4.1666666666666666E-3</c:v>
                </c:pt>
                <c:pt idx="5">
                  <c:v>4.8611111111111112E-3</c:v>
                </c:pt>
                <c:pt idx="6">
                  <c:v>5.5555555555555558E-3</c:v>
                </c:pt>
                <c:pt idx="7">
                  <c:v>5.7638888888888887E-3</c:v>
                </c:pt>
              </c:numCache>
            </c:numRef>
          </c:xVal>
          <c:yVal>
            <c:numRef>
              <c:f>P101_points!$F$6:$F$13</c:f>
              <c:numCache>
                <c:formatCode>General</c:formatCode>
                <c:ptCount val="8"/>
                <c:pt idx="0">
                  <c:v>0.38</c:v>
                </c:pt>
                <c:pt idx="1">
                  <c:v>0.46</c:v>
                </c:pt>
                <c:pt idx="2">
                  <c:v>0.53</c:v>
                </c:pt>
                <c:pt idx="3">
                  <c:v>0.58899999999999997</c:v>
                </c:pt>
                <c:pt idx="4">
                  <c:v>0.59950000000000003</c:v>
                </c:pt>
                <c:pt idx="5">
                  <c:v>0.58499999999999996</c:v>
                </c:pt>
                <c:pt idx="6">
                  <c:v>0.53700000000000003</c:v>
                </c:pt>
                <c:pt idx="7">
                  <c:v>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F4-4EE0-84DE-4B38DA824A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8280223"/>
        <c:axId val="1648279391"/>
      </c:scatterChart>
      <c:valAx>
        <c:axId val="1648280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48279391"/>
        <c:crosses val="autoZero"/>
        <c:crossBetween val="midCat"/>
      </c:valAx>
      <c:valAx>
        <c:axId val="1648279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482802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</a:t>
            </a:r>
            <a:r>
              <a:rPr lang="en-US" baseline="0"/>
              <a:t> (W)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P101_points!$F$5</c:f>
              <c:strCache>
                <c:ptCount val="1"/>
                <c:pt idx="0">
                  <c:v>eta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7.6825037452797632E-2"/>
                  <c:y val="0.34680555555555553"/>
                </c:manualLayout>
              </c:layout>
              <c:numFmt formatCode="#,##0.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P101_points!$E$25:$E$32</c:f>
              <c:numCache>
                <c:formatCode>General</c:formatCode>
                <c:ptCount val="8"/>
                <c:pt idx="0">
                  <c:v>5.5</c:v>
                </c:pt>
                <c:pt idx="1">
                  <c:v>7.5</c:v>
                </c:pt>
                <c:pt idx="2">
                  <c:v>10</c:v>
                </c:pt>
                <c:pt idx="3">
                  <c:v>12.5</c:v>
                </c:pt>
                <c:pt idx="4">
                  <c:v>15</c:v>
                </c:pt>
                <c:pt idx="5">
                  <c:v>17.5</c:v>
                </c:pt>
                <c:pt idx="6">
                  <c:v>20</c:v>
                </c:pt>
                <c:pt idx="7">
                  <c:v>20.75</c:v>
                </c:pt>
              </c:numCache>
            </c:numRef>
          </c:xVal>
          <c:yVal>
            <c:numRef>
              <c:f>P101_points!$F$25:$F$32</c:f>
              <c:numCache>
                <c:formatCode>General</c:formatCode>
                <c:ptCount val="8"/>
                <c:pt idx="0">
                  <c:v>521.25</c:v>
                </c:pt>
                <c:pt idx="1">
                  <c:v>575</c:v>
                </c:pt>
                <c:pt idx="2">
                  <c:v>635</c:v>
                </c:pt>
                <c:pt idx="3">
                  <c:v>695.00000000000011</c:v>
                </c:pt>
                <c:pt idx="4">
                  <c:v>749</c:v>
                </c:pt>
                <c:pt idx="5">
                  <c:v>781.25</c:v>
                </c:pt>
                <c:pt idx="6">
                  <c:v>817.5</c:v>
                </c:pt>
                <c:pt idx="7">
                  <c:v>822.5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246-4B0E-AC83-D0E72E0F7A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8280223"/>
        <c:axId val="1648279391"/>
      </c:scatterChart>
      <c:valAx>
        <c:axId val="1648280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48279391"/>
        <c:crosses val="autoZero"/>
        <c:crossBetween val="midCat"/>
      </c:valAx>
      <c:valAx>
        <c:axId val="1648279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482802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 (m)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P101_points!$F$5</c:f>
              <c:strCache>
                <c:ptCount val="1"/>
                <c:pt idx="0">
                  <c:v>eta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7.6825037452797632E-2"/>
                  <c:y val="0.34680555555555553"/>
                </c:manualLayout>
              </c:layout>
              <c:numFmt formatCode="#,##0.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P101_points!$E$40:$E$47</c:f>
              <c:numCache>
                <c:formatCode>General</c:formatCode>
                <c:ptCount val="8"/>
                <c:pt idx="0">
                  <c:v>5.5</c:v>
                </c:pt>
                <c:pt idx="1">
                  <c:v>7.5</c:v>
                </c:pt>
                <c:pt idx="2">
                  <c:v>10</c:v>
                </c:pt>
                <c:pt idx="3">
                  <c:v>12.5</c:v>
                </c:pt>
                <c:pt idx="4">
                  <c:v>15</c:v>
                </c:pt>
                <c:pt idx="5">
                  <c:v>17.5</c:v>
                </c:pt>
                <c:pt idx="6">
                  <c:v>20</c:v>
                </c:pt>
                <c:pt idx="7">
                  <c:v>20.75</c:v>
                </c:pt>
              </c:numCache>
            </c:numRef>
          </c:xVal>
          <c:yVal>
            <c:numRef>
              <c:f>P101_points!$F$40:$F$47</c:f>
              <c:numCache>
                <c:formatCode>General</c:formatCode>
                <c:ptCount val="8"/>
                <c:pt idx="0">
                  <c:v>13</c:v>
                </c:pt>
                <c:pt idx="1">
                  <c:v>12.75</c:v>
                </c:pt>
                <c:pt idx="2">
                  <c:v>12.324999999999999</c:v>
                </c:pt>
                <c:pt idx="3">
                  <c:v>11.75</c:v>
                </c:pt>
                <c:pt idx="4">
                  <c:v>10.875</c:v>
                </c:pt>
                <c:pt idx="5">
                  <c:v>9.625</c:v>
                </c:pt>
                <c:pt idx="6">
                  <c:v>7.875</c:v>
                </c:pt>
                <c:pt idx="7">
                  <c:v>7.5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918-4101-99D8-564DD54CCE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8280223"/>
        <c:axId val="1648279391"/>
      </c:scatterChart>
      <c:valAx>
        <c:axId val="1648280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48279391"/>
        <c:crosses val="autoZero"/>
        <c:crossBetween val="midCat"/>
      </c:valAx>
      <c:valAx>
        <c:axId val="1648279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482802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P_computed</a:t>
            </a:r>
            <a:r>
              <a:rPr lang="en-US" baseline="0"/>
              <a:t> (W)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P101_points!$H$5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7.6825037452797632E-2"/>
                  <c:y val="0.34680555555555553"/>
                </c:manualLayout>
              </c:layout>
              <c:numFmt formatCode="#,##0.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P101_points!$E$25:$E$32</c:f>
              <c:numCache>
                <c:formatCode>General</c:formatCode>
                <c:ptCount val="8"/>
                <c:pt idx="0">
                  <c:v>5.5</c:v>
                </c:pt>
                <c:pt idx="1">
                  <c:v>7.5</c:v>
                </c:pt>
                <c:pt idx="2">
                  <c:v>10</c:v>
                </c:pt>
                <c:pt idx="3">
                  <c:v>12.5</c:v>
                </c:pt>
                <c:pt idx="4">
                  <c:v>15</c:v>
                </c:pt>
                <c:pt idx="5">
                  <c:v>17.5</c:v>
                </c:pt>
                <c:pt idx="6">
                  <c:v>20</c:v>
                </c:pt>
                <c:pt idx="7">
                  <c:v>20.75</c:v>
                </c:pt>
              </c:numCache>
            </c:numRef>
          </c:xVal>
          <c:yVal>
            <c:numRef>
              <c:f>P101_points!$H$25:$H$32</c:f>
              <c:numCache>
                <c:formatCode>General</c:formatCode>
                <c:ptCount val="8"/>
                <c:pt idx="0">
                  <c:v>-243546647.56154802</c:v>
                </c:pt>
                <c:pt idx="1">
                  <c:v>-453233252.82406408</c:v>
                </c:pt>
                <c:pt idx="2">
                  <c:v>-806184558.1729238</c:v>
                </c:pt>
                <c:pt idx="3">
                  <c:v>-1260072584.3781338</c:v>
                </c:pt>
                <c:pt idx="4">
                  <c:v>-1814897331.4396939</c:v>
                </c:pt>
                <c:pt idx="5">
                  <c:v>-2470658799.3576045</c:v>
                </c:pt>
                <c:pt idx="6">
                  <c:v>-3227356988.1318641</c:v>
                </c:pt>
                <c:pt idx="7">
                  <c:v>-3474049105.3311305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86-411F-AEED-69C9699A17F2}"/>
            </c:ext>
          </c:extLst>
        </c:ser>
        <c:ser>
          <c:idx val="1"/>
          <c:order val="1"/>
          <c:tx>
            <c:strRef>
              <c:f>P101_points!$I$5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P101_points!$E$25:$E$32</c:f>
              <c:numCache>
                <c:formatCode>General</c:formatCode>
                <c:ptCount val="8"/>
                <c:pt idx="0">
                  <c:v>5.5</c:v>
                </c:pt>
                <c:pt idx="1">
                  <c:v>7.5</c:v>
                </c:pt>
                <c:pt idx="2">
                  <c:v>10</c:v>
                </c:pt>
                <c:pt idx="3">
                  <c:v>12.5</c:v>
                </c:pt>
                <c:pt idx="4">
                  <c:v>15</c:v>
                </c:pt>
                <c:pt idx="5">
                  <c:v>17.5</c:v>
                </c:pt>
                <c:pt idx="6">
                  <c:v>20</c:v>
                </c:pt>
                <c:pt idx="7">
                  <c:v>20.75</c:v>
                </c:pt>
              </c:numCache>
            </c:numRef>
          </c:xVal>
          <c:yVal>
            <c:numRef>
              <c:f>P101_points!$I$25:$I$32</c:f>
              <c:numCache>
                <c:formatCode>General</c:formatCode>
                <c:ptCount val="8"/>
                <c:pt idx="0">
                  <c:v>-194952596.02977473</c:v>
                </c:pt>
                <c:pt idx="1">
                  <c:v>-362743764.09877831</c:v>
                </c:pt>
                <c:pt idx="2">
                  <c:v>-645157163.2016046</c:v>
                </c:pt>
                <c:pt idx="3">
                  <c:v>-1008319938.9895113</c:v>
                </c:pt>
                <c:pt idx="4">
                  <c:v>-1452232091.4624979</c:v>
                </c:pt>
                <c:pt idx="5">
                  <c:v>-1976893620.6205645</c:v>
                </c:pt>
                <c:pt idx="6">
                  <c:v>-2582304526.4637108</c:v>
                </c:pt>
                <c:pt idx="7">
                  <c:v>-2779673926.6702452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086-411F-AEED-69C9699A17F2}"/>
            </c:ext>
          </c:extLst>
        </c:ser>
        <c:ser>
          <c:idx val="2"/>
          <c:order val="2"/>
          <c:tx>
            <c:strRef>
              <c:f>P101_points!$J$5</c:f>
              <c:strCache>
                <c:ptCount val="1"/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P101_points!$E$25:$E$32</c:f>
              <c:numCache>
                <c:formatCode>General</c:formatCode>
                <c:ptCount val="8"/>
                <c:pt idx="0">
                  <c:v>5.5</c:v>
                </c:pt>
                <c:pt idx="1">
                  <c:v>7.5</c:v>
                </c:pt>
                <c:pt idx="2">
                  <c:v>10</c:v>
                </c:pt>
                <c:pt idx="3">
                  <c:v>12.5</c:v>
                </c:pt>
                <c:pt idx="4">
                  <c:v>15</c:v>
                </c:pt>
                <c:pt idx="5">
                  <c:v>17.5</c:v>
                </c:pt>
                <c:pt idx="6">
                  <c:v>20</c:v>
                </c:pt>
                <c:pt idx="7">
                  <c:v>20.75</c:v>
                </c:pt>
              </c:numCache>
            </c:numRef>
          </c:xVal>
          <c:yVal>
            <c:numRef>
              <c:f>P101_points!$J$25:$J$32</c:f>
              <c:numCache>
                <c:formatCode>General</c:formatCode>
                <c:ptCount val="8"/>
                <c:pt idx="0">
                  <c:v>-146300889.27968127</c:v>
                </c:pt>
                <c:pt idx="1">
                  <c:v>-272175678.22567689</c:v>
                </c:pt>
                <c:pt idx="2">
                  <c:v>-484024993.67060065</c:v>
                </c:pt>
                <c:pt idx="3">
                  <c:v>-756436341.62933445</c:v>
                </c:pt>
                <c:pt idx="4">
                  <c:v>-1089409722.1018777</c:v>
                </c:pt>
                <c:pt idx="5">
                  <c:v>-1482945135.0882313</c:v>
                </c:pt>
                <c:pt idx="6">
                  <c:v>-1937042580.5883951</c:v>
                </c:pt>
                <c:pt idx="7">
                  <c:v>-2085081410.5786371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086-411F-AEED-69C9699A17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8280223"/>
        <c:axId val="1648279391"/>
      </c:scatterChart>
      <c:valAx>
        <c:axId val="1648280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48279391"/>
        <c:crosses val="autoZero"/>
        <c:crossBetween val="midCat"/>
      </c:valAx>
      <c:valAx>
        <c:axId val="1648279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482802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 (m)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P101_points!$H$39</c:f>
              <c:strCache>
                <c:ptCount val="1"/>
                <c:pt idx="0">
                  <c:v>F=50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P101_points!$C$40:$C$47</c:f>
              <c:numCache>
                <c:formatCode>General</c:formatCode>
                <c:ptCount val="8"/>
                <c:pt idx="0">
                  <c:v>5.5</c:v>
                </c:pt>
                <c:pt idx="1">
                  <c:v>7.5</c:v>
                </c:pt>
                <c:pt idx="2">
                  <c:v>10</c:v>
                </c:pt>
                <c:pt idx="3">
                  <c:v>12.5</c:v>
                </c:pt>
                <c:pt idx="4">
                  <c:v>15</c:v>
                </c:pt>
                <c:pt idx="5">
                  <c:v>17.5</c:v>
                </c:pt>
                <c:pt idx="6">
                  <c:v>20</c:v>
                </c:pt>
                <c:pt idx="7">
                  <c:v>20.75</c:v>
                </c:pt>
              </c:numCache>
            </c:numRef>
          </c:xVal>
          <c:yVal>
            <c:numRef>
              <c:f>P101_points!$H$40:$H$47</c:f>
              <c:numCache>
                <c:formatCode>General</c:formatCode>
                <c:ptCount val="8"/>
                <c:pt idx="0">
                  <c:v>-9070549.8348947503</c:v>
                </c:pt>
                <c:pt idx="1">
                  <c:v>-16869197.833384749</c:v>
                </c:pt>
                <c:pt idx="2">
                  <c:v>-29992704.174766004</c:v>
                </c:pt>
                <c:pt idx="3">
                  <c:v>-46866428.675334752</c:v>
                </c:pt>
                <c:pt idx="4">
                  <c:v>-67490371.335090995</c:v>
                </c:pt>
                <c:pt idx="5">
                  <c:v>-91864532.154034749</c:v>
                </c:pt>
                <c:pt idx="6">
                  <c:v>-119988911.132166</c:v>
                </c:pt>
                <c:pt idx="7">
                  <c:v>-129157517.36664693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1E-4733-933F-4A57720C2ECB}"/>
            </c:ext>
          </c:extLst>
        </c:ser>
        <c:ser>
          <c:idx val="1"/>
          <c:order val="1"/>
          <c:tx>
            <c:strRef>
              <c:f>P101_points!$I$39</c:f>
              <c:strCache>
                <c:ptCount val="1"/>
                <c:pt idx="0">
                  <c:v>f=40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P101_points!$C$40:$C$47</c:f>
              <c:numCache>
                <c:formatCode>General</c:formatCode>
                <c:ptCount val="8"/>
                <c:pt idx="0">
                  <c:v>5.5</c:v>
                </c:pt>
                <c:pt idx="1">
                  <c:v>7.5</c:v>
                </c:pt>
                <c:pt idx="2">
                  <c:v>10</c:v>
                </c:pt>
                <c:pt idx="3">
                  <c:v>12.5</c:v>
                </c:pt>
                <c:pt idx="4">
                  <c:v>15</c:v>
                </c:pt>
                <c:pt idx="5">
                  <c:v>17.5</c:v>
                </c:pt>
                <c:pt idx="6">
                  <c:v>20</c:v>
                </c:pt>
                <c:pt idx="7">
                  <c:v>20.75</c:v>
                </c:pt>
              </c:numCache>
            </c:numRef>
          </c:xVal>
          <c:yVal>
            <c:numRef>
              <c:f>P101_points!$I$40:$I$47</c:f>
              <c:numCache>
                <c:formatCode>General</c:formatCode>
                <c:ptCount val="8"/>
                <c:pt idx="0">
                  <c:v>-9071547.4146639928</c:v>
                </c:pt>
                <c:pt idx="1">
                  <c:v>-16870556.567677993</c:v>
                </c:pt>
                <c:pt idx="2">
                  <c:v>-29994514.352214247</c:v>
                </c:pt>
                <c:pt idx="3">
                  <c:v>-46868690.295938008</c:v>
                </c:pt>
                <c:pt idx="4">
                  <c:v>-67493084.398849249</c:v>
                </c:pt>
                <c:pt idx="5">
                  <c:v>-91867696.660948008</c:v>
                </c:pt>
                <c:pt idx="6">
                  <c:v>-119992527.08223425</c:v>
                </c:pt>
                <c:pt idx="7">
                  <c:v>-129161268.7496617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E1E-4733-933F-4A57720C2ECB}"/>
            </c:ext>
          </c:extLst>
        </c:ser>
        <c:ser>
          <c:idx val="2"/>
          <c:order val="2"/>
          <c:tx>
            <c:strRef>
              <c:f>P101_points!$J$39</c:f>
              <c:strCache>
                <c:ptCount val="1"/>
                <c:pt idx="0">
                  <c:v>f=30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P101_points!$C$40:$C$47</c:f>
              <c:numCache>
                <c:formatCode>General</c:formatCode>
                <c:ptCount val="8"/>
                <c:pt idx="0">
                  <c:v>5.5</c:v>
                </c:pt>
                <c:pt idx="1">
                  <c:v>7.5</c:v>
                </c:pt>
                <c:pt idx="2">
                  <c:v>10</c:v>
                </c:pt>
                <c:pt idx="3">
                  <c:v>12.5</c:v>
                </c:pt>
                <c:pt idx="4">
                  <c:v>15</c:v>
                </c:pt>
                <c:pt idx="5">
                  <c:v>17.5</c:v>
                </c:pt>
                <c:pt idx="6">
                  <c:v>20</c:v>
                </c:pt>
                <c:pt idx="7">
                  <c:v>20.75</c:v>
                </c:pt>
              </c:numCache>
            </c:numRef>
          </c:xVal>
          <c:yVal>
            <c:numRef>
              <c:f>P101_points!$J$40:$J$47</c:f>
              <c:numCache>
                <c:formatCode>General</c:formatCode>
                <c:ptCount val="8"/>
                <c:pt idx="0">
                  <c:v>-9072544.0155825112</c:v>
                </c:pt>
                <c:pt idx="1">
                  <c:v>-16871914.323120508</c:v>
                </c:pt>
                <c:pt idx="2">
                  <c:v>-29996323.550811764</c:v>
                </c:pt>
                <c:pt idx="3">
                  <c:v>-46870950.937690519</c:v>
                </c:pt>
                <c:pt idx="4">
                  <c:v>-67495796.483756751</c:v>
                </c:pt>
                <c:pt idx="5">
                  <c:v>-91870860.189010516</c:v>
                </c:pt>
                <c:pt idx="6">
                  <c:v>-119996142.05345175</c:v>
                </c:pt>
                <c:pt idx="7">
                  <c:v>-129165019.1538257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E1E-4733-933F-4A57720C2E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8280223"/>
        <c:axId val="1648279391"/>
      </c:scatterChart>
      <c:valAx>
        <c:axId val="1648280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48279391"/>
        <c:crosses val="autoZero"/>
        <c:crossBetween val="midCat"/>
      </c:valAx>
      <c:valAx>
        <c:axId val="1648279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48280223"/>
        <c:crosses val="autoZero"/>
        <c:crossBetween val="midCat"/>
        <c:majorUnit val="2.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</a:t>
            </a:r>
            <a:r>
              <a:rPr lang="en-US" baseline="0"/>
              <a:t> (W)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P101_points!$F$5</c:f>
              <c:strCache>
                <c:ptCount val="1"/>
                <c:pt idx="0">
                  <c:v>eta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7.6825037452797632E-2"/>
                  <c:y val="0.34680555555555553"/>
                </c:manualLayout>
              </c:layout>
              <c:numFmt formatCode="#,##0.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P101_points!$E$25:$E$32</c:f>
              <c:numCache>
                <c:formatCode>General</c:formatCode>
                <c:ptCount val="8"/>
                <c:pt idx="0">
                  <c:v>5.5</c:v>
                </c:pt>
                <c:pt idx="1">
                  <c:v>7.5</c:v>
                </c:pt>
                <c:pt idx="2">
                  <c:v>10</c:v>
                </c:pt>
                <c:pt idx="3">
                  <c:v>12.5</c:v>
                </c:pt>
                <c:pt idx="4">
                  <c:v>15</c:v>
                </c:pt>
                <c:pt idx="5">
                  <c:v>17.5</c:v>
                </c:pt>
                <c:pt idx="6">
                  <c:v>20</c:v>
                </c:pt>
                <c:pt idx="7">
                  <c:v>20.75</c:v>
                </c:pt>
              </c:numCache>
            </c:numRef>
          </c:xVal>
          <c:yVal>
            <c:numRef>
              <c:f>P101_points!$F$25:$F$32</c:f>
              <c:numCache>
                <c:formatCode>General</c:formatCode>
                <c:ptCount val="8"/>
                <c:pt idx="0">
                  <c:v>521.25</c:v>
                </c:pt>
                <c:pt idx="1">
                  <c:v>575</c:v>
                </c:pt>
                <c:pt idx="2">
                  <c:v>635</c:v>
                </c:pt>
                <c:pt idx="3">
                  <c:v>695.00000000000011</c:v>
                </c:pt>
                <c:pt idx="4">
                  <c:v>749</c:v>
                </c:pt>
                <c:pt idx="5">
                  <c:v>781.25</c:v>
                </c:pt>
                <c:pt idx="6">
                  <c:v>817.5</c:v>
                </c:pt>
                <c:pt idx="7">
                  <c:v>822.5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F80-4EAB-8A59-6F04740CEE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8280223"/>
        <c:axId val="1648279391"/>
      </c:scatterChart>
      <c:valAx>
        <c:axId val="1648280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48279391"/>
        <c:crosses val="autoZero"/>
        <c:crossBetween val="midCat"/>
      </c:valAx>
      <c:valAx>
        <c:axId val="1648279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482802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P202_point!$G$5</c:f>
              <c:strCache>
                <c:ptCount val="1"/>
                <c:pt idx="0">
                  <c:v>P(kW)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2.2331583552055994E-4"/>
                  <c:y val="-1.7521507728200641E-2"/>
                </c:manualLayout>
              </c:layout>
              <c:numFmt formatCode="#,##0.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P202_point!$F$6:$F$13</c:f>
              <c:numCache>
                <c:formatCode>General</c:formatCode>
                <c:ptCount val="8"/>
                <c:pt idx="0">
                  <c:v>5.5</c:v>
                </c:pt>
                <c:pt idx="1">
                  <c:v>7.5</c:v>
                </c:pt>
                <c:pt idx="2">
                  <c:v>10</c:v>
                </c:pt>
                <c:pt idx="3">
                  <c:v>12.5</c:v>
                </c:pt>
                <c:pt idx="4">
                  <c:v>15</c:v>
                </c:pt>
                <c:pt idx="5">
                  <c:v>16.5</c:v>
                </c:pt>
                <c:pt idx="6">
                  <c:v>17.5</c:v>
                </c:pt>
                <c:pt idx="7">
                  <c:v>20</c:v>
                </c:pt>
              </c:numCache>
            </c:numRef>
          </c:xVal>
          <c:yVal>
            <c:numRef>
              <c:f>P202_point!$G$6:$G$13</c:f>
              <c:numCache>
                <c:formatCode>General</c:formatCode>
                <c:ptCount val="8"/>
                <c:pt idx="0">
                  <c:v>575</c:v>
                </c:pt>
                <c:pt idx="1">
                  <c:v>645</c:v>
                </c:pt>
                <c:pt idx="2">
                  <c:v>720</c:v>
                </c:pt>
                <c:pt idx="3">
                  <c:v>790</c:v>
                </c:pt>
                <c:pt idx="4">
                  <c:v>850</c:v>
                </c:pt>
                <c:pt idx="5">
                  <c:v>890</c:v>
                </c:pt>
                <c:pt idx="6">
                  <c:v>910</c:v>
                </c:pt>
                <c:pt idx="7">
                  <c:v>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5D-4C98-84EB-B03D1B522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3108015"/>
        <c:axId val="1763110095"/>
      </c:scatterChart>
      <c:valAx>
        <c:axId val="1763108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63110095"/>
        <c:crosses val="autoZero"/>
        <c:crossBetween val="midCat"/>
      </c:valAx>
      <c:valAx>
        <c:axId val="1763110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63108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P202_point!$G$22</c:f>
              <c:strCache>
                <c:ptCount val="1"/>
                <c:pt idx="0">
                  <c:v>H 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3.9527340332458444E-2"/>
                  <c:y val="7.6596310877806939E-2"/>
                </c:manualLayout>
              </c:layout>
              <c:numFmt formatCode="#,##0.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P202_point!$F$23:$F$30</c:f>
              <c:numCache>
                <c:formatCode>General</c:formatCode>
                <c:ptCount val="8"/>
                <c:pt idx="0">
                  <c:v>5.5</c:v>
                </c:pt>
                <c:pt idx="1">
                  <c:v>7.5</c:v>
                </c:pt>
                <c:pt idx="2">
                  <c:v>10</c:v>
                </c:pt>
                <c:pt idx="3">
                  <c:v>12.5</c:v>
                </c:pt>
                <c:pt idx="4">
                  <c:v>15</c:v>
                </c:pt>
                <c:pt idx="5">
                  <c:v>16.5</c:v>
                </c:pt>
                <c:pt idx="6">
                  <c:v>17.5</c:v>
                </c:pt>
                <c:pt idx="7">
                  <c:v>20</c:v>
                </c:pt>
              </c:numCache>
            </c:numRef>
          </c:xVal>
          <c:yVal>
            <c:numRef>
              <c:f>P202_point!$G$23:$G$30</c:f>
              <c:numCache>
                <c:formatCode>General</c:formatCode>
                <c:ptCount val="8"/>
                <c:pt idx="0">
                  <c:v>14.775</c:v>
                </c:pt>
                <c:pt idx="1">
                  <c:v>14.525</c:v>
                </c:pt>
                <c:pt idx="2">
                  <c:v>14.175000000000001</c:v>
                </c:pt>
                <c:pt idx="3">
                  <c:v>13.725</c:v>
                </c:pt>
                <c:pt idx="4">
                  <c:v>13</c:v>
                </c:pt>
                <c:pt idx="5">
                  <c:v>12.5</c:v>
                </c:pt>
                <c:pt idx="6">
                  <c:v>12</c:v>
                </c:pt>
                <c:pt idx="7">
                  <c:v>10.7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DB-4494-9092-EAE4546837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8454975"/>
        <c:axId val="1198457055"/>
      </c:scatterChart>
      <c:valAx>
        <c:axId val="11984549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98457055"/>
        <c:crosses val="autoZero"/>
        <c:crossBetween val="midCat"/>
      </c:valAx>
      <c:valAx>
        <c:axId val="1198457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984549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PR01_points!$G$7</c:f>
              <c:strCache>
                <c:ptCount val="1"/>
                <c:pt idx="0">
                  <c:v>P(W)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1.6262685914260718E-2"/>
                  <c:y val="0.44182823800786786"/>
                </c:manualLayout>
              </c:layout>
              <c:numFmt formatCode="#,##0.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PR01_points!$F$8:$F$17</c:f>
              <c:numCache>
                <c:formatCode>General</c:formatCode>
                <c:ptCount val="10"/>
                <c:pt idx="0">
                  <c:v>15.5</c:v>
                </c:pt>
                <c:pt idx="1">
                  <c:v>20</c:v>
                </c:pt>
                <c:pt idx="2">
                  <c:v>22.5</c:v>
                </c:pt>
                <c:pt idx="3">
                  <c:v>25.6</c:v>
                </c:pt>
                <c:pt idx="4">
                  <c:v>30</c:v>
                </c:pt>
                <c:pt idx="5">
                  <c:v>32.5</c:v>
                </c:pt>
                <c:pt idx="6">
                  <c:v>37</c:v>
                </c:pt>
                <c:pt idx="7">
                  <c:v>40</c:v>
                </c:pt>
                <c:pt idx="8">
                  <c:v>42.5</c:v>
                </c:pt>
                <c:pt idx="9">
                  <c:v>43.75</c:v>
                </c:pt>
              </c:numCache>
            </c:numRef>
          </c:xVal>
          <c:yVal>
            <c:numRef>
              <c:f>PR01_points!$G$8:$G$17</c:f>
              <c:numCache>
                <c:formatCode>General</c:formatCode>
                <c:ptCount val="10"/>
                <c:pt idx="0">
                  <c:v>2750</c:v>
                </c:pt>
                <c:pt idx="1">
                  <c:v>2970</c:v>
                </c:pt>
                <c:pt idx="2">
                  <c:v>3100</c:v>
                </c:pt>
                <c:pt idx="3">
                  <c:v>3250</c:v>
                </c:pt>
                <c:pt idx="4">
                  <c:v>3410</c:v>
                </c:pt>
                <c:pt idx="5">
                  <c:v>3480</c:v>
                </c:pt>
                <c:pt idx="6">
                  <c:v>3510</c:v>
                </c:pt>
                <c:pt idx="7">
                  <c:v>3480</c:v>
                </c:pt>
                <c:pt idx="8">
                  <c:v>3410</c:v>
                </c:pt>
                <c:pt idx="9">
                  <c:v>3350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F7-4289-BB46-F1CD96B659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8588224"/>
        <c:axId val="1188589056"/>
      </c:scatterChart>
      <c:valAx>
        <c:axId val="1188588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88589056"/>
        <c:crosses val="autoZero"/>
        <c:crossBetween val="midCat"/>
      </c:valAx>
      <c:valAx>
        <c:axId val="1188589056"/>
        <c:scaling>
          <c:orientation val="minMax"/>
          <c:min val="2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88588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PR01_points!$E$25</c:f>
              <c:strCache>
                <c:ptCount val="1"/>
                <c:pt idx="0">
                  <c:v>H(m)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4.7163167104111985E-3"/>
                  <c:y val="0.13881687304722767"/>
                </c:manualLayout>
              </c:layout>
              <c:numFmt formatCode="#,##0.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PR01_points!$D$26:$D$34</c:f>
              <c:numCache>
                <c:formatCode>General</c:formatCode>
                <c:ptCount val="9"/>
                <c:pt idx="0">
                  <c:v>15.5</c:v>
                </c:pt>
                <c:pt idx="1">
                  <c:v>20</c:v>
                </c:pt>
                <c:pt idx="2">
                  <c:v>22.5</c:v>
                </c:pt>
                <c:pt idx="3">
                  <c:v>25.6</c:v>
                </c:pt>
                <c:pt idx="4">
                  <c:v>30</c:v>
                </c:pt>
                <c:pt idx="5">
                  <c:v>32.5</c:v>
                </c:pt>
                <c:pt idx="6">
                  <c:v>37</c:v>
                </c:pt>
                <c:pt idx="7">
                  <c:v>40</c:v>
                </c:pt>
                <c:pt idx="8">
                  <c:v>42.5</c:v>
                </c:pt>
              </c:numCache>
            </c:numRef>
          </c:xVal>
          <c:yVal>
            <c:numRef>
              <c:f>PR01_points!$E$26:$E$34</c:f>
              <c:numCache>
                <c:formatCode>General</c:formatCode>
                <c:ptCount val="9"/>
                <c:pt idx="0">
                  <c:v>33.799999999999997</c:v>
                </c:pt>
                <c:pt idx="1">
                  <c:v>32.5</c:v>
                </c:pt>
                <c:pt idx="2">
                  <c:v>31.7</c:v>
                </c:pt>
                <c:pt idx="3">
                  <c:v>30.5</c:v>
                </c:pt>
                <c:pt idx="4">
                  <c:v>28.6</c:v>
                </c:pt>
                <c:pt idx="5">
                  <c:v>27.2</c:v>
                </c:pt>
                <c:pt idx="6">
                  <c:v>24.25</c:v>
                </c:pt>
                <c:pt idx="7">
                  <c:v>21.35</c:v>
                </c:pt>
                <c:pt idx="8">
                  <c:v>18.75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EC-4847-B02E-912737169E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267744"/>
        <c:axId val="1830276064"/>
      </c:scatterChart>
      <c:valAx>
        <c:axId val="1830267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30276064"/>
        <c:crosses val="autoZero"/>
        <c:crossBetween val="midCat"/>
      </c:valAx>
      <c:valAx>
        <c:axId val="183027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30267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'P901'!$AS$13</c:f>
              <c:strCache>
                <c:ptCount val="1"/>
                <c:pt idx="0">
                  <c:v>H(m)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507020997375328E-2"/>
                  <c:y val="-2.9403616214639838E-3"/>
                </c:manualLayout>
              </c:layout>
              <c:numFmt formatCode="#,##0.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'P901'!$AR$14:$AR$23</c:f>
              <c:numCache>
                <c:formatCode>General</c:formatCode>
                <c:ptCount val="10"/>
                <c:pt idx="0">
                  <c:v>10</c:v>
                </c:pt>
                <c:pt idx="1">
                  <c:v>13</c:v>
                </c:pt>
                <c:pt idx="2">
                  <c:v>17</c:v>
                </c:pt>
                <c:pt idx="3">
                  <c:v>19</c:v>
                </c:pt>
                <c:pt idx="4">
                  <c:v>20</c:v>
                </c:pt>
                <c:pt idx="5">
                  <c:v>22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28</c:v>
                </c:pt>
              </c:numCache>
            </c:numRef>
          </c:xVal>
          <c:yVal>
            <c:numRef>
              <c:f>'P901'!$AS$14:$AS$23</c:f>
              <c:numCache>
                <c:formatCode>General</c:formatCode>
                <c:ptCount val="10"/>
                <c:pt idx="0">
                  <c:v>27</c:v>
                </c:pt>
                <c:pt idx="1">
                  <c:v>26</c:v>
                </c:pt>
                <c:pt idx="2">
                  <c:v>24</c:v>
                </c:pt>
                <c:pt idx="3">
                  <c:v>22.5</c:v>
                </c:pt>
                <c:pt idx="4">
                  <c:v>21.75</c:v>
                </c:pt>
                <c:pt idx="5">
                  <c:v>19.8</c:v>
                </c:pt>
                <c:pt idx="6">
                  <c:v>17.5</c:v>
                </c:pt>
                <c:pt idx="7">
                  <c:v>16.25</c:v>
                </c:pt>
                <c:pt idx="8">
                  <c:v>14.9</c:v>
                </c:pt>
                <c:pt idx="9">
                  <c:v>11.7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35-415A-A305-2E4F139468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5683983"/>
        <c:axId val="1465683567"/>
      </c:scatterChart>
      <c:valAx>
        <c:axId val="1465683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5683567"/>
        <c:crosses val="autoZero"/>
        <c:crossBetween val="midCat"/>
      </c:valAx>
      <c:valAx>
        <c:axId val="146568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56839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'P901'!$AS$72</c:f>
              <c:strCache>
                <c:ptCount val="1"/>
                <c:pt idx="0">
                  <c:v>P2(kW)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1.8601706036745408E-2"/>
                  <c:y val="-2.2394569907328882E-2"/>
                </c:manualLayout>
              </c:layout>
              <c:numFmt formatCode="#,##0.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'P901'!$AR$73:$AR$81</c:f>
              <c:numCache>
                <c:formatCode>General</c:formatCode>
                <c:ptCount val="9"/>
                <c:pt idx="0">
                  <c:v>10</c:v>
                </c:pt>
                <c:pt idx="1">
                  <c:v>11</c:v>
                </c:pt>
                <c:pt idx="2">
                  <c:v>13</c:v>
                </c:pt>
                <c:pt idx="3">
                  <c:v>15</c:v>
                </c:pt>
                <c:pt idx="4">
                  <c:v>16</c:v>
                </c:pt>
                <c:pt idx="5">
                  <c:v>20</c:v>
                </c:pt>
                <c:pt idx="6">
                  <c:v>22</c:v>
                </c:pt>
                <c:pt idx="7">
                  <c:v>25</c:v>
                </c:pt>
                <c:pt idx="8">
                  <c:v>28</c:v>
                </c:pt>
              </c:numCache>
            </c:numRef>
          </c:xVal>
          <c:yVal>
            <c:numRef>
              <c:f>'P901'!$AS$73:$AS$81</c:f>
              <c:numCache>
                <c:formatCode>General</c:formatCode>
                <c:ptCount val="9"/>
                <c:pt idx="0">
                  <c:v>1400</c:v>
                </c:pt>
                <c:pt idx="1">
                  <c:v>1450</c:v>
                </c:pt>
                <c:pt idx="2">
                  <c:v>1540</c:v>
                </c:pt>
                <c:pt idx="3">
                  <c:v>1610</c:v>
                </c:pt>
                <c:pt idx="4">
                  <c:v>1650</c:v>
                </c:pt>
                <c:pt idx="5">
                  <c:v>1780</c:v>
                </c:pt>
                <c:pt idx="6">
                  <c:v>1850</c:v>
                </c:pt>
                <c:pt idx="7">
                  <c:v>1935</c:v>
                </c:pt>
                <c:pt idx="8">
                  <c:v>2009.9999999999998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9A-41B0-8853-B52AF991B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1931743"/>
        <c:axId val="1562696623"/>
      </c:scatterChart>
      <c:valAx>
        <c:axId val="17519317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62696623"/>
        <c:crosses val="autoZero"/>
        <c:crossBetween val="midCat"/>
      </c:valAx>
      <c:valAx>
        <c:axId val="156269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519317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'P301'!$AS$13</c:f>
              <c:strCache>
                <c:ptCount val="1"/>
                <c:pt idx="0">
                  <c:v>H(m)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507020997375328E-2"/>
                  <c:y val="-2.9403616214639838E-3"/>
                </c:manualLayout>
              </c:layout>
              <c:numFmt formatCode="#,##0.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'P301'!$AR$14:$AR$23</c:f>
              <c:numCache>
                <c:formatCode>General</c:formatCode>
                <c:ptCount val="10"/>
                <c:pt idx="0">
                  <c:v>2.5</c:v>
                </c:pt>
                <c:pt idx="1">
                  <c:v>4.25</c:v>
                </c:pt>
                <c:pt idx="2">
                  <c:v>4.8499999999999996</c:v>
                </c:pt>
                <c:pt idx="3">
                  <c:v>6.5</c:v>
                </c:pt>
                <c:pt idx="4">
                  <c:v>8</c:v>
                </c:pt>
                <c:pt idx="5">
                  <c:v>9.75</c:v>
                </c:pt>
                <c:pt idx="6">
                  <c:v>10.75</c:v>
                </c:pt>
                <c:pt idx="7">
                  <c:v>11.75</c:v>
                </c:pt>
                <c:pt idx="8">
                  <c:v>12.75</c:v>
                </c:pt>
                <c:pt idx="9">
                  <c:v>13.2</c:v>
                </c:pt>
              </c:numCache>
            </c:numRef>
          </c:xVal>
          <c:yVal>
            <c:numRef>
              <c:f>'P301'!$AS$14:$AS$23</c:f>
              <c:numCache>
                <c:formatCode>General</c:formatCode>
                <c:ptCount val="10"/>
                <c:pt idx="0">
                  <c:v>12.5</c:v>
                </c:pt>
                <c:pt idx="1">
                  <c:v>12.25</c:v>
                </c:pt>
                <c:pt idx="2">
                  <c:v>12</c:v>
                </c:pt>
                <c:pt idx="3">
                  <c:v>11.25</c:v>
                </c:pt>
                <c:pt idx="4">
                  <c:v>10.25</c:v>
                </c:pt>
                <c:pt idx="5">
                  <c:v>8.75</c:v>
                </c:pt>
                <c:pt idx="6">
                  <c:v>7.75</c:v>
                </c:pt>
                <c:pt idx="7">
                  <c:v>6.5</c:v>
                </c:pt>
                <c:pt idx="8">
                  <c:v>5.25</c:v>
                </c:pt>
                <c:pt idx="9">
                  <c:v>4.7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661-4AC3-A7D7-5268FB8374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5683983"/>
        <c:axId val="1465683567"/>
      </c:scatterChart>
      <c:valAx>
        <c:axId val="1465683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5683567"/>
        <c:crosses val="autoZero"/>
        <c:crossBetween val="midCat"/>
      </c:valAx>
      <c:valAx>
        <c:axId val="146568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56839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'P301'!$AS$72</c:f>
              <c:strCache>
                <c:ptCount val="1"/>
                <c:pt idx="0">
                  <c:v>P2(kW)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1.8601706036745408E-2"/>
                  <c:y val="-2.2394569907328882E-2"/>
                </c:manualLayout>
              </c:layout>
              <c:numFmt formatCode="#,##0.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'P301'!$AR$74:$AR$82</c:f>
              <c:numCache>
                <c:formatCode>General</c:formatCode>
                <c:ptCount val="9"/>
                <c:pt idx="0">
                  <c:v>3.25</c:v>
                </c:pt>
                <c:pt idx="1">
                  <c:v>4.25</c:v>
                </c:pt>
                <c:pt idx="2">
                  <c:v>5</c:v>
                </c:pt>
                <c:pt idx="3">
                  <c:v>5.75</c:v>
                </c:pt>
                <c:pt idx="4">
                  <c:v>7.25</c:v>
                </c:pt>
                <c:pt idx="5">
                  <c:v>8.75</c:v>
                </c:pt>
                <c:pt idx="6">
                  <c:v>10</c:v>
                </c:pt>
                <c:pt idx="7">
                  <c:v>11.5</c:v>
                </c:pt>
                <c:pt idx="8">
                  <c:v>12.5</c:v>
                </c:pt>
              </c:numCache>
            </c:numRef>
          </c:xVal>
          <c:yVal>
            <c:numRef>
              <c:f>'P301'!$AS$74:$AS$82</c:f>
              <c:numCache>
                <c:formatCode>General</c:formatCode>
                <c:ptCount val="9"/>
                <c:pt idx="0">
                  <c:v>300</c:v>
                </c:pt>
                <c:pt idx="1">
                  <c:v>320</c:v>
                </c:pt>
                <c:pt idx="2">
                  <c:v>340</c:v>
                </c:pt>
                <c:pt idx="3">
                  <c:v>360</c:v>
                </c:pt>
                <c:pt idx="4">
                  <c:v>400</c:v>
                </c:pt>
                <c:pt idx="5">
                  <c:v>440</c:v>
                </c:pt>
                <c:pt idx="6">
                  <c:v>470</c:v>
                </c:pt>
                <c:pt idx="7">
                  <c:v>500</c:v>
                </c:pt>
                <c:pt idx="8">
                  <c:v>510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CB-4319-967D-D8129E6791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1931743"/>
        <c:axId val="1562696623"/>
      </c:scatterChart>
      <c:valAx>
        <c:axId val="17519317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62696623"/>
        <c:crosses val="autoZero"/>
        <c:crossBetween val="midCat"/>
      </c:valAx>
      <c:valAx>
        <c:axId val="156269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519317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'P302'!$AS$13</c:f>
              <c:strCache>
                <c:ptCount val="1"/>
                <c:pt idx="0">
                  <c:v>H(m)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507020997375328E-2"/>
                  <c:y val="-2.9403616214639838E-3"/>
                </c:manualLayout>
              </c:layout>
              <c:numFmt formatCode="#,##0.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'P302'!$AR$14:$AR$23</c:f>
              <c:numCache>
                <c:formatCode>General</c:formatCode>
                <c:ptCount val="10"/>
                <c:pt idx="0">
                  <c:v>2.5</c:v>
                </c:pt>
                <c:pt idx="1">
                  <c:v>4.25</c:v>
                </c:pt>
                <c:pt idx="2">
                  <c:v>4.8499999999999996</c:v>
                </c:pt>
                <c:pt idx="3">
                  <c:v>6.5</c:v>
                </c:pt>
                <c:pt idx="4">
                  <c:v>8</c:v>
                </c:pt>
                <c:pt idx="5">
                  <c:v>9.75</c:v>
                </c:pt>
                <c:pt idx="6">
                  <c:v>10.75</c:v>
                </c:pt>
                <c:pt idx="7">
                  <c:v>11.75</c:v>
                </c:pt>
                <c:pt idx="8">
                  <c:v>12.75</c:v>
                </c:pt>
                <c:pt idx="9">
                  <c:v>13.2</c:v>
                </c:pt>
              </c:numCache>
            </c:numRef>
          </c:xVal>
          <c:yVal>
            <c:numRef>
              <c:f>'P302'!$AS$14:$AS$23</c:f>
              <c:numCache>
                <c:formatCode>General</c:formatCode>
                <c:ptCount val="10"/>
                <c:pt idx="0">
                  <c:v>12.5</c:v>
                </c:pt>
                <c:pt idx="1">
                  <c:v>12.25</c:v>
                </c:pt>
                <c:pt idx="2">
                  <c:v>12</c:v>
                </c:pt>
                <c:pt idx="3">
                  <c:v>11.25</c:v>
                </c:pt>
                <c:pt idx="4">
                  <c:v>10.25</c:v>
                </c:pt>
                <c:pt idx="5">
                  <c:v>8.75</c:v>
                </c:pt>
                <c:pt idx="6">
                  <c:v>7.75</c:v>
                </c:pt>
                <c:pt idx="7">
                  <c:v>6.5</c:v>
                </c:pt>
                <c:pt idx="8">
                  <c:v>5.25</c:v>
                </c:pt>
                <c:pt idx="9">
                  <c:v>4.7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9D8-40C8-8594-C5A405FEB2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5683983"/>
        <c:axId val="1465683567"/>
      </c:scatterChart>
      <c:valAx>
        <c:axId val="1465683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5683567"/>
        <c:crosses val="autoZero"/>
        <c:crossBetween val="midCat"/>
      </c:valAx>
      <c:valAx>
        <c:axId val="146568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56839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'P302'!$AS$72</c:f>
              <c:strCache>
                <c:ptCount val="1"/>
                <c:pt idx="0">
                  <c:v>P2(kW)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1.8601706036745408E-2"/>
                  <c:y val="-2.2394569907328882E-2"/>
                </c:manualLayout>
              </c:layout>
              <c:numFmt formatCode="#,##0.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'P302'!$AR$74:$AR$82</c:f>
              <c:numCache>
                <c:formatCode>General</c:formatCode>
                <c:ptCount val="9"/>
                <c:pt idx="0">
                  <c:v>3.25</c:v>
                </c:pt>
                <c:pt idx="1">
                  <c:v>4.25</c:v>
                </c:pt>
                <c:pt idx="2">
                  <c:v>5</c:v>
                </c:pt>
                <c:pt idx="3">
                  <c:v>5.75</c:v>
                </c:pt>
                <c:pt idx="4">
                  <c:v>7.25</c:v>
                </c:pt>
                <c:pt idx="5">
                  <c:v>8.75</c:v>
                </c:pt>
                <c:pt idx="6">
                  <c:v>10</c:v>
                </c:pt>
                <c:pt idx="7">
                  <c:v>11.5</c:v>
                </c:pt>
                <c:pt idx="8">
                  <c:v>12.5</c:v>
                </c:pt>
              </c:numCache>
            </c:numRef>
          </c:xVal>
          <c:yVal>
            <c:numRef>
              <c:f>'P302'!$AS$74:$AS$82</c:f>
              <c:numCache>
                <c:formatCode>General</c:formatCode>
                <c:ptCount val="9"/>
                <c:pt idx="0">
                  <c:v>300</c:v>
                </c:pt>
                <c:pt idx="1">
                  <c:v>320</c:v>
                </c:pt>
                <c:pt idx="2">
                  <c:v>340</c:v>
                </c:pt>
                <c:pt idx="3">
                  <c:v>360</c:v>
                </c:pt>
                <c:pt idx="4">
                  <c:v>400</c:v>
                </c:pt>
                <c:pt idx="5">
                  <c:v>440</c:v>
                </c:pt>
                <c:pt idx="6">
                  <c:v>470</c:v>
                </c:pt>
                <c:pt idx="7">
                  <c:v>500</c:v>
                </c:pt>
                <c:pt idx="8">
                  <c:v>510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6C7-4AEA-9C3E-E3E43C9958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1931743"/>
        <c:axId val="1562696623"/>
      </c:scatterChart>
      <c:valAx>
        <c:axId val="17519317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62696623"/>
        <c:crosses val="autoZero"/>
        <c:crossBetween val="midCat"/>
      </c:valAx>
      <c:valAx>
        <c:axId val="156269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519317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P302_points!$G$8</c:f>
              <c:strCache>
                <c:ptCount val="1"/>
                <c:pt idx="0">
                  <c:v>H(m)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1046784776902888"/>
                  <c:y val="1.6532516768737241E-2"/>
                </c:manualLayout>
              </c:layout>
              <c:numFmt formatCode="#,##0.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P302_points!$F$9:$F$18</c:f>
              <c:numCache>
                <c:formatCode>General</c:formatCode>
                <c:ptCount val="10"/>
                <c:pt idx="0">
                  <c:v>2.4</c:v>
                </c:pt>
                <c:pt idx="1">
                  <c:v>3.4</c:v>
                </c:pt>
                <c:pt idx="2">
                  <c:v>5.4</c:v>
                </c:pt>
                <c:pt idx="3">
                  <c:v>6</c:v>
                </c:pt>
                <c:pt idx="4">
                  <c:v>7.4</c:v>
                </c:pt>
                <c:pt idx="5">
                  <c:v>8.8000000000000007</c:v>
                </c:pt>
                <c:pt idx="6">
                  <c:v>9.1999999999999993</c:v>
                </c:pt>
                <c:pt idx="7">
                  <c:v>10.4</c:v>
                </c:pt>
                <c:pt idx="8">
                  <c:v>11.8</c:v>
                </c:pt>
                <c:pt idx="9">
                  <c:v>12</c:v>
                </c:pt>
              </c:numCache>
            </c:numRef>
          </c:xVal>
          <c:yVal>
            <c:numRef>
              <c:f>P302_points!$G$9:$G$18</c:f>
              <c:numCache>
                <c:formatCode>General</c:formatCode>
                <c:ptCount val="10"/>
                <c:pt idx="0">
                  <c:v>9.09</c:v>
                </c:pt>
                <c:pt idx="1">
                  <c:v>9</c:v>
                </c:pt>
                <c:pt idx="2">
                  <c:v>8.6666000000000007</c:v>
                </c:pt>
                <c:pt idx="3">
                  <c:v>8.4999500000000001</c:v>
                </c:pt>
                <c:pt idx="4">
                  <c:v>8</c:v>
                </c:pt>
                <c:pt idx="5">
                  <c:v>7.33</c:v>
                </c:pt>
                <c:pt idx="6">
                  <c:v>7</c:v>
                </c:pt>
                <c:pt idx="7">
                  <c:v>6.33</c:v>
                </c:pt>
                <c:pt idx="8">
                  <c:v>5.33</c:v>
                </c:pt>
                <c:pt idx="9">
                  <c:v>5.0999999999999996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566-444E-A5B8-6CA7E6D8C6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167999"/>
        <c:axId val="486160927"/>
      </c:scatterChart>
      <c:valAx>
        <c:axId val="4861679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86160927"/>
        <c:crosses val="autoZero"/>
        <c:crossBetween val="midCat"/>
      </c:valAx>
      <c:valAx>
        <c:axId val="486160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861679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553937007874017"/>
          <c:y val="0.23339460784313731"/>
          <c:w val="0.82123840769903766"/>
          <c:h val="0.63058659487417013"/>
        </c:manualLayout>
      </c:layout>
      <c:scatterChart>
        <c:scatterStyle val="lineMarker"/>
        <c:varyColors val="0"/>
        <c:ser>
          <c:idx val="0"/>
          <c:order val="0"/>
          <c:tx>
            <c:strRef>
              <c:f>P302_points!$G$22</c:f>
              <c:strCache>
                <c:ptCount val="1"/>
                <c:pt idx="0">
                  <c:v>P(W)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3.3874671916010499E-2"/>
                  <c:y val="0.22003676470588235"/>
                </c:manualLayout>
              </c:layout>
              <c:numFmt formatCode="#,##0.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P302_points!$F$23:$F$30</c:f>
              <c:numCache>
                <c:formatCode>General</c:formatCode>
                <c:ptCount val="8"/>
                <c:pt idx="0">
                  <c:v>2.4</c:v>
                </c:pt>
                <c:pt idx="1">
                  <c:v>3.4</c:v>
                </c:pt>
                <c:pt idx="2">
                  <c:v>4</c:v>
                </c:pt>
                <c:pt idx="3">
                  <c:v>5.2</c:v>
                </c:pt>
                <c:pt idx="4">
                  <c:v>6</c:v>
                </c:pt>
                <c:pt idx="5">
                  <c:v>8.1999999999999993</c:v>
                </c:pt>
                <c:pt idx="6">
                  <c:v>9.1999999999999993</c:v>
                </c:pt>
                <c:pt idx="7">
                  <c:v>12</c:v>
                </c:pt>
              </c:numCache>
            </c:numRef>
          </c:xVal>
          <c:yVal>
            <c:numRef>
              <c:f>P302_points!$G$23:$G$30</c:f>
              <c:numCache>
                <c:formatCode>0.00E+00</c:formatCode>
                <c:ptCount val="8"/>
                <c:pt idx="0">
                  <c:v>160</c:v>
                </c:pt>
                <c:pt idx="1">
                  <c:v>187.5</c:v>
                </c:pt>
                <c:pt idx="2">
                  <c:v>200</c:v>
                </c:pt>
                <c:pt idx="3">
                  <c:v>225</c:v>
                </c:pt>
                <c:pt idx="4">
                  <c:v>240</c:v>
                </c:pt>
                <c:pt idx="5">
                  <c:v>275</c:v>
                </c:pt>
                <c:pt idx="6" formatCode="General">
                  <c:v>287.5</c:v>
                </c:pt>
                <c:pt idx="7">
                  <c:v>312.5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41A-4699-95C1-D86E6B093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3548287"/>
        <c:axId val="1453549119"/>
      </c:scatterChart>
      <c:valAx>
        <c:axId val="1453548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3549119"/>
        <c:crosses val="autoZero"/>
        <c:crossBetween val="midCat"/>
      </c:valAx>
      <c:valAx>
        <c:axId val="1453549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3548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'P701'!$AS$13</c:f>
              <c:strCache>
                <c:ptCount val="1"/>
                <c:pt idx="0">
                  <c:v>H(m)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507020997375328E-2"/>
                  <c:y val="-2.9403616214639838E-3"/>
                </c:manualLayout>
              </c:layout>
              <c:numFmt formatCode="#,##0.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'P701'!$AR$14:$AR$23</c:f>
              <c:numCache>
                <c:formatCode>General</c:formatCode>
                <c:ptCount val="10"/>
                <c:pt idx="0">
                  <c:v>2.5</c:v>
                </c:pt>
                <c:pt idx="1">
                  <c:v>4.25</c:v>
                </c:pt>
                <c:pt idx="2">
                  <c:v>4.8499999999999996</c:v>
                </c:pt>
                <c:pt idx="3">
                  <c:v>6.5</c:v>
                </c:pt>
                <c:pt idx="4">
                  <c:v>8</c:v>
                </c:pt>
                <c:pt idx="5">
                  <c:v>9.75</c:v>
                </c:pt>
                <c:pt idx="6">
                  <c:v>10.75</c:v>
                </c:pt>
                <c:pt idx="7">
                  <c:v>11.75</c:v>
                </c:pt>
                <c:pt idx="8">
                  <c:v>12.75</c:v>
                </c:pt>
                <c:pt idx="9">
                  <c:v>13.2</c:v>
                </c:pt>
              </c:numCache>
            </c:numRef>
          </c:xVal>
          <c:yVal>
            <c:numRef>
              <c:f>'P701'!$AS$14:$AS$23</c:f>
              <c:numCache>
                <c:formatCode>General</c:formatCode>
                <c:ptCount val="10"/>
                <c:pt idx="0">
                  <c:v>12.5</c:v>
                </c:pt>
                <c:pt idx="1">
                  <c:v>12.25</c:v>
                </c:pt>
                <c:pt idx="2">
                  <c:v>12</c:v>
                </c:pt>
                <c:pt idx="3">
                  <c:v>11.25</c:v>
                </c:pt>
                <c:pt idx="4">
                  <c:v>10.25</c:v>
                </c:pt>
                <c:pt idx="5">
                  <c:v>8.75</c:v>
                </c:pt>
                <c:pt idx="6">
                  <c:v>7.75</c:v>
                </c:pt>
                <c:pt idx="7">
                  <c:v>6.5</c:v>
                </c:pt>
                <c:pt idx="8">
                  <c:v>5.25</c:v>
                </c:pt>
                <c:pt idx="9">
                  <c:v>4.7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4BD-43C9-BB41-2B9A1544A1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5683983"/>
        <c:axId val="1465683567"/>
      </c:scatterChart>
      <c:valAx>
        <c:axId val="1465683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5683567"/>
        <c:crosses val="autoZero"/>
        <c:crossBetween val="midCat"/>
      </c:valAx>
      <c:valAx>
        <c:axId val="146568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56839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'P701'!$AS$72</c:f>
              <c:strCache>
                <c:ptCount val="1"/>
                <c:pt idx="0">
                  <c:v>P2(kW)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1.8601706036745408E-2"/>
                  <c:y val="-2.2394569907328882E-2"/>
                </c:manualLayout>
              </c:layout>
              <c:numFmt formatCode="#,##0.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'P701'!$AR$74:$AR$82</c:f>
              <c:numCache>
                <c:formatCode>General</c:formatCode>
                <c:ptCount val="9"/>
                <c:pt idx="0">
                  <c:v>3.25</c:v>
                </c:pt>
                <c:pt idx="1">
                  <c:v>4.25</c:v>
                </c:pt>
                <c:pt idx="2">
                  <c:v>5</c:v>
                </c:pt>
                <c:pt idx="3">
                  <c:v>5.75</c:v>
                </c:pt>
                <c:pt idx="4">
                  <c:v>7.25</c:v>
                </c:pt>
                <c:pt idx="5">
                  <c:v>8.75</c:v>
                </c:pt>
                <c:pt idx="6">
                  <c:v>10</c:v>
                </c:pt>
                <c:pt idx="7">
                  <c:v>11.5</c:v>
                </c:pt>
                <c:pt idx="8">
                  <c:v>12.5</c:v>
                </c:pt>
              </c:numCache>
            </c:numRef>
          </c:xVal>
          <c:yVal>
            <c:numRef>
              <c:f>'P701'!$AS$74:$AS$82</c:f>
              <c:numCache>
                <c:formatCode>General</c:formatCode>
                <c:ptCount val="9"/>
                <c:pt idx="0">
                  <c:v>300</c:v>
                </c:pt>
                <c:pt idx="1">
                  <c:v>320</c:v>
                </c:pt>
                <c:pt idx="2">
                  <c:v>340</c:v>
                </c:pt>
                <c:pt idx="3">
                  <c:v>360</c:v>
                </c:pt>
                <c:pt idx="4">
                  <c:v>400</c:v>
                </c:pt>
                <c:pt idx="5">
                  <c:v>440</c:v>
                </c:pt>
                <c:pt idx="6">
                  <c:v>470</c:v>
                </c:pt>
                <c:pt idx="7">
                  <c:v>500</c:v>
                </c:pt>
                <c:pt idx="8">
                  <c:v>510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55B-4259-865C-7176E12A8D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1931743"/>
        <c:axId val="1562696623"/>
      </c:scatterChart>
      <c:valAx>
        <c:axId val="17519317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62696623"/>
        <c:crosses val="autoZero"/>
        <c:crossBetween val="midCat"/>
      </c:valAx>
      <c:valAx>
        <c:axId val="156269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519317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P701_points!$G$8</c:f>
              <c:strCache>
                <c:ptCount val="1"/>
                <c:pt idx="0">
                  <c:v>H(m)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1046784776902888"/>
                  <c:y val="1.6532516768737241E-2"/>
                </c:manualLayout>
              </c:layout>
              <c:numFmt formatCode="#,##0.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P701_points!$F$9:$F$18</c:f>
              <c:numCache>
                <c:formatCode>General</c:formatCode>
                <c:ptCount val="10"/>
                <c:pt idx="0">
                  <c:v>2.4</c:v>
                </c:pt>
                <c:pt idx="1">
                  <c:v>3.6</c:v>
                </c:pt>
                <c:pt idx="2">
                  <c:v>5.6</c:v>
                </c:pt>
                <c:pt idx="3">
                  <c:v>6</c:v>
                </c:pt>
                <c:pt idx="4">
                  <c:v>7.6</c:v>
                </c:pt>
                <c:pt idx="5">
                  <c:v>7.8</c:v>
                </c:pt>
                <c:pt idx="6">
                  <c:v>8.6</c:v>
                </c:pt>
                <c:pt idx="7">
                  <c:v>9.8000000000000007</c:v>
                </c:pt>
                <c:pt idx="8">
                  <c:v>10.6</c:v>
                </c:pt>
                <c:pt idx="9">
                  <c:v>10.8</c:v>
                </c:pt>
              </c:numCache>
            </c:numRef>
          </c:xVal>
          <c:yVal>
            <c:numRef>
              <c:f>P701_points!$G$9:$G$18</c:f>
              <c:numCache>
                <c:formatCode>General</c:formatCode>
                <c:ptCount val="10"/>
                <c:pt idx="0">
                  <c:v>7.6</c:v>
                </c:pt>
                <c:pt idx="1">
                  <c:v>7.4</c:v>
                </c:pt>
                <c:pt idx="2">
                  <c:v>7</c:v>
                </c:pt>
                <c:pt idx="3">
                  <c:v>6.9</c:v>
                </c:pt>
                <c:pt idx="4">
                  <c:v>6.3</c:v>
                </c:pt>
                <c:pt idx="5">
                  <c:v>6.2</c:v>
                </c:pt>
                <c:pt idx="6">
                  <c:v>5.8</c:v>
                </c:pt>
                <c:pt idx="7">
                  <c:v>5</c:v>
                </c:pt>
                <c:pt idx="8">
                  <c:v>4.4000000000000004</c:v>
                </c:pt>
                <c:pt idx="9">
                  <c:v>4.2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D2C-44A0-87D9-2655707822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167999"/>
        <c:axId val="486160927"/>
      </c:scatterChart>
      <c:valAx>
        <c:axId val="4861679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86160927"/>
        <c:crosses val="autoZero"/>
        <c:crossBetween val="midCat"/>
      </c:valAx>
      <c:valAx>
        <c:axId val="486160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861679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553937007874017"/>
          <c:y val="0.23339460784313731"/>
          <c:w val="0.82123840769903766"/>
          <c:h val="0.63058659487417013"/>
        </c:manualLayout>
      </c:layout>
      <c:scatterChart>
        <c:scatterStyle val="lineMarker"/>
        <c:varyColors val="0"/>
        <c:ser>
          <c:idx val="0"/>
          <c:order val="0"/>
          <c:tx>
            <c:strRef>
              <c:f>P701_points!$G$22</c:f>
              <c:strCache>
                <c:ptCount val="1"/>
                <c:pt idx="0">
                  <c:v>P(W)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3.0115923009623798E-2"/>
                  <c:y val="0.28334971370278855"/>
                </c:manualLayout>
              </c:layout>
              <c:numFmt formatCode="#,##0.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P701_points!$F$23:$F$32</c:f>
              <c:numCache>
                <c:formatCode>General</c:formatCode>
                <c:ptCount val="10"/>
                <c:pt idx="0">
                  <c:v>2.4</c:v>
                </c:pt>
                <c:pt idx="1">
                  <c:v>3.8</c:v>
                </c:pt>
                <c:pt idx="2">
                  <c:v>4.8</c:v>
                </c:pt>
                <c:pt idx="3">
                  <c:v>5.6</c:v>
                </c:pt>
                <c:pt idx="4">
                  <c:v>5.9</c:v>
                </c:pt>
                <c:pt idx="5">
                  <c:v>6.8</c:v>
                </c:pt>
                <c:pt idx="6">
                  <c:v>7.6</c:v>
                </c:pt>
                <c:pt idx="7">
                  <c:v>9.1999999999999993</c:v>
                </c:pt>
                <c:pt idx="8">
                  <c:v>10</c:v>
                </c:pt>
                <c:pt idx="9">
                  <c:v>10.7</c:v>
                </c:pt>
              </c:numCache>
            </c:numRef>
          </c:xVal>
          <c:yVal>
            <c:numRef>
              <c:f>P701_points!$G$23:$G$32</c:f>
              <c:numCache>
                <c:formatCode>0.00E+00</c:formatCode>
                <c:ptCount val="10"/>
                <c:pt idx="0">
                  <c:v>140</c:v>
                </c:pt>
                <c:pt idx="1">
                  <c:v>160</c:v>
                </c:pt>
                <c:pt idx="2">
                  <c:v>174</c:v>
                </c:pt>
                <c:pt idx="3">
                  <c:v>185</c:v>
                </c:pt>
                <c:pt idx="4">
                  <c:v>190</c:v>
                </c:pt>
                <c:pt idx="5">
                  <c:v>200</c:v>
                </c:pt>
                <c:pt idx="6">
                  <c:v>210</c:v>
                </c:pt>
                <c:pt idx="7">
                  <c:v>230</c:v>
                </c:pt>
                <c:pt idx="8">
                  <c:v>240</c:v>
                </c:pt>
                <c:pt idx="9">
                  <c:v>250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E0-421E-8345-02EED3ACD1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3548287"/>
        <c:axId val="1453549119"/>
      </c:scatterChart>
      <c:valAx>
        <c:axId val="1453548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3549119"/>
        <c:crosses val="autoZero"/>
        <c:crossBetween val="midCat"/>
      </c:valAx>
      <c:valAx>
        <c:axId val="1453549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53548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image" Target="../media/image1.png"/><Relationship Id="rId4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5" Type="http://schemas.openxmlformats.org/officeDocument/2006/relationships/chart" Target="../charts/chart20.xml"/><Relationship Id="rId4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image" Target="../media/image10.png"/><Relationship Id="rId1" Type="http://schemas.openxmlformats.org/officeDocument/2006/relationships/image" Target="../media/image12.png"/><Relationship Id="rId5" Type="http://schemas.openxmlformats.org/officeDocument/2006/relationships/image" Target="../media/image13.png"/><Relationship Id="rId4" Type="http://schemas.openxmlformats.org/officeDocument/2006/relationships/chart" Target="../charts/chart22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5" Type="http://schemas.openxmlformats.org/officeDocument/2006/relationships/chart" Target="../charts/chart24.xml"/><Relationship Id="rId4" Type="http://schemas.openxmlformats.org/officeDocument/2006/relationships/chart" Target="../charts/chart23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image" Target="../media/image10.png"/><Relationship Id="rId1" Type="http://schemas.openxmlformats.org/officeDocument/2006/relationships/image" Target="../media/image16.png"/><Relationship Id="rId5" Type="http://schemas.openxmlformats.org/officeDocument/2006/relationships/image" Target="../media/image17.png"/><Relationship Id="rId4" Type="http://schemas.openxmlformats.org/officeDocument/2006/relationships/chart" Target="../charts/chart28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204121</xdr:colOff>
      <xdr:row>4</xdr:row>
      <xdr:rowOff>10003</xdr:rowOff>
    </xdr:from>
    <xdr:to>
      <xdr:col>23</xdr:col>
      <xdr:colOff>507456</xdr:colOff>
      <xdr:row>18</xdr:row>
      <xdr:rowOff>81970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94C4CA80-E9B8-4549-87DA-5CE22DC114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245534</xdr:colOff>
      <xdr:row>18</xdr:row>
      <xdr:rowOff>135467</xdr:rowOff>
    </xdr:from>
    <xdr:to>
      <xdr:col>23</xdr:col>
      <xdr:colOff>548869</xdr:colOff>
      <xdr:row>29</xdr:row>
      <xdr:rowOff>118534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149BA67A-9632-41E1-9D77-17BEA731C5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465667</xdr:colOff>
      <xdr:row>30</xdr:row>
      <xdr:rowOff>16933</xdr:rowOff>
    </xdr:from>
    <xdr:to>
      <xdr:col>25</xdr:col>
      <xdr:colOff>150936</xdr:colOff>
      <xdr:row>39</xdr:row>
      <xdr:rowOff>84666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14B4BA8C-20B6-4B60-8092-1F4C440977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633159</xdr:colOff>
      <xdr:row>20</xdr:row>
      <xdr:rowOff>13279</xdr:rowOff>
    </xdr:from>
    <xdr:to>
      <xdr:col>70</xdr:col>
      <xdr:colOff>166687</xdr:colOff>
      <xdr:row>74</xdr:row>
      <xdr:rowOff>102455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7B3DE338-0148-48B2-A042-E47634AC0F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8297"/>
        <a:stretch/>
      </xdr:blipFill>
      <xdr:spPr>
        <a:xfrm>
          <a:off x="2461959" y="3072568"/>
          <a:ext cx="15956039" cy="5298998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</xdr:row>
      <xdr:rowOff>0</xdr:rowOff>
    </xdr:from>
    <xdr:to>
      <xdr:col>5</xdr:col>
      <xdr:colOff>299720</xdr:colOff>
      <xdr:row>2</xdr:row>
      <xdr:rowOff>111760</xdr:rowOff>
    </xdr:to>
    <xdr:sp macro="" textlink="">
      <xdr:nvSpPr>
        <xdr:cNvPr id="14" name="Rettangolo 13">
          <a:extLst>
            <a:ext uri="{FF2B5EF4-FFF2-40B4-BE49-F238E27FC236}">
              <a16:creationId xmlns:a16="http://schemas.microsoft.com/office/drawing/2014/main" id="{99C8E551-21E6-4682-A7E4-175FA9C35E57}"/>
            </a:ext>
          </a:extLst>
        </xdr:cNvPr>
        <xdr:cNvSpPr/>
      </xdr:nvSpPr>
      <xdr:spPr>
        <a:xfrm>
          <a:off x="1219200" y="365760"/>
          <a:ext cx="2128520" cy="1117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2</xdr:col>
      <xdr:colOff>152400</xdr:colOff>
      <xdr:row>2</xdr:row>
      <xdr:rowOff>152400</xdr:rowOff>
    </xdr:from>
    <xdr:to>
      <xdr:col>5</xdr:col>
      <xdr:colOff>452120</xdr:colOff>
      <xdr:row>3</xdr:row>
      <xdr:rowOff>81280</xdr:rowOff>
    </xdr:to>
    <xdr:sp macro="" textlink="">
      <xdr:nvSpPr>
        <xdr:cNvPr id="18" name="Rettangolo 17">
          <a:extLst>
            <a:ext uri="{FF2B5EF4-FFF2-40B4-BE49-F238E27FC236}">
              <a16:creationId xmlns:a16="http://schemas.microsoft.com/office/drawing/2014/main" id="{B1EC516A-D696-49A3-9D64-A4322E03E925}"/>
            </a:ext>
          </a:extLst>
        </xdr:cNvPr>
        <xdr:cNvSpPr/>
      </xdr:nvSpPr>
      <xdr:spPr>
        <a:xfrm>
          <a:off x="1371600" y="518160"/>
          <a:ext cx="2128520" cy="1117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4</xdr:col>
      <xdr:colOff>34290</xdr:colOff>
      <xdr:row>52</xdr:row>
      <xdr:rowOff>95250</xdr:rowOff>
    </xdr:from>
    <xdr:to>
      <xdr:col>23</xdr:col>
      <xdr:colOff>167640</xdr:colOff>
      <xdr:row>52</xdr:row>
      <xdr:rowOff>95250</xdr:rowOff>
    </xdr:to>
    <xdr:cxnSp macro="">
      <xdr:nvCxnSpPr>
        <xdr:cNvPr id="6" name="Connettore diritto 5">
          <a:extLst>
            <a:ext uri="{FF2B5EF4-FFF2-40B4-BE49-F238E27FC236}">
              <a16:creationId xmlns:a16="http://schemas.microsoft.com/office/drawing/2014/main" id="{20904AC3-9EF3-4BA5-AD87-CFA8D2A9B312}"/>
            </a:ext>
          </a:extLst>
        </xdr:cNvPr>
        <xdr:cNvCxnSpPr/>
      </xdr:nvCxnSpPr>
      <xdr:spPr>
        <a:xfrm flipH="1" flipV="1">
          <a:off x="2548890" y="5642610"/>
          <a:ext cx="4187190" cy="0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203679</xdr:colOff>
      <xdr:row>52</xdr:row>
      <xdr:rowOff>104023</xdr:rowOff>
    </xdr:from>
    <xdr:to>
      <xdr:col>23</xdr:col>
      <xdr:colOff>205048</xdr:colOff>
      <xdr:row>72</xdr:row>
      <xdr:rowOff>12306</xdr:rowOff>
    </xdr:to>
    <xdr:cxnSp macro="">
      <xdr:nvCxnSpPr>
        <xdr:cNvPr id="4" name="Connettore diritto 3">
          <a:extLst>
            <a:ext uri="{FF2B5EF4-FFF2-40B4-BE49-F238E27FC236}">
              <a16:creationId xmlns:a16="http://schemas.microsoft.com/office/drawing/2014/main" id="{51BEE355-9F9A-454E-A7E3-50D0A80E0F59}"/>
            </a:ext>
          </a:extLst>
        </xdr:cNvPr>
        <xdr:cNvCxnSpPr/>
      </xdr:nvCxnSpPr>
      <xdr:spPr>
        <a:xfrm flipV="1">
          <a:off x="6781882" y="5652336"/>
          <a:ext cx="1369" cy="2170470"/>
        </a:xfrm>
        <a:prstGeom prst="line">
          <a:avLst/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208359</xdr:colOff>
      <xdr:row>60</xdr:row>
      <xdr:rowOff>106680</xdr:rowOff>
    </xdr:from>
    <xdr:to>
      <xdr:col>18</xdr:col>
      <xdr:colOff>209550</xdr:colOff>
      <xdr:row>72</xdr:row>
      <xdr:rowOff>17860</xdr:rowOff>
    </xdr:to>
    <xdr:cxnSp macro="">
      <xdr:nvCxnSpPr>
        <xdr:cNvPr id="22" name="Connettore diritto 21">
          <a:extLst>
            <a:ext uri="{FF2B5EF4-FFF2-40B4-BE49-F238E27FC236}">
              <a16:creationId xmlns:a16="http://schemas.microsoft.com/office/drawing/2014/main" id="{AC041568-F750-4997-A497-1F38657EECED}"/>
            </a:ext>
          </a:extLst>
        </xdr:cNvPr>
        <xdr:cNvCxnSpPr/>
      </xdr:nvCxnSpPr>
      <xdr:spPr>
        <a:xfrm flipV="1">
          <a:off x="5709999" y="6568440"/>
          <a:ext cx="1191" cy="1282780"/>
        </a:xfrm>
        <a:prstGeom prst="line">
          <a:avLst/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</xdr:colOff>
      <xdr:row>60</xdr:row>
      <xdr:rowOff>95250</xdr:rowOff>
    </xdr:from>
    <xdr:to>
      <xdr:col>19</xdr:col>
      <xdr:colOff>11430</xdr:colOff>
      <xdr:row>60</xdr:row>
      <xdr:rowOff>95250</xdr:rowOff>
    </xdr:to>
    <xdr:cxnSp macro="">
      <xdr:nvCxnSpPr>
        <xdr:cNvPr id="28" name="Connettore diritto 27">
          <a:extLst>
            <a:ext uri="{FF2B5EF4-FFF2-40B4-BE49-F238E27FC236}">
              <a16:creationId xmlns:a16="http://schemas.microsoft.com/office/drawing/2014/main" id="{FD9F0B5E-0A2F-467E-B625-0E959243907E}"/>
            </a:ext>
          </a:extLst>
        </xdr:cNvPr>
        <xdr:cNvCxnSpPr/>
      </xdr:nvCxnSpPr>
      <xdr:spPr>
        <a:xfrm flipH="1" flipV="1">
          <a:off x="2522220" y="6557010"/>
          <a:ext cx="3204210" cy="0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215346</xdr:colOff>
      <xdr:row>46</xdr:row>
      <xdr:rowOff>57979</xdr:rowOff>
    </xdr:from>
    <xdr:to>
      <xdr:col>28</xdr:col>
      <xdr:colOff>215346</xdr:colOff>
      <xdr:row>71</xdr:row>
      <xdr:rowOff>103589</xdr:rowOff>
    </xdr:to>
    <xdr:cxnSp macro="">
      <xdr:nvCxnSpPr>
        <xdr:cNvPr id="32" name="Connettore diritto 31">
          <a:extLst>
            <a:ext uri="{FF2B5EF4-FFF2-40B4-BE49-F238E27FC236}">
              <a16:creationId xmlns:a16="http://schemas.microsoft.com/office/drawing/2014/main" id="{2C8D2938-FDBD-49AD-B441-F4582C5F56B1}"/>
            </a:ext>
          </a:extLst>
        </xdr:cNvPr>
        <xdr:cNvCxnSpPr/>
      </xdr:nvCxnSpPr>
      <xdr:spPr>
        <a:xfrm flipH="1" flipV="1">
          <a:off x="7897466" y="4944718"/>
          <a:ext cx="0" cy="2944523"/>
        </a:xfrm>
        <a:prstGeom prst="line">
          <a:avLst/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670560</xdr:colOff>
      <xdr:row>46</xdr:row>
      <xdr:rowOff>68580</xdr:rowOff>
    </xdr:from>
    <xdr:to>
      <xdr:col>28</xdr:col>
      <xdr:colOff>209252</xdr:colOff>
      <xdr:row>46</xdr:row>
      <xdr:rowOff>68580</xdr:rowOff>
    </xdr:to>
    <xdr:cxnSp macro="">
      <xdr:nvCxnSpPr>
        <xdr:cNvPr id="35" name="Connettore diritto 34">
          <a:extLst>
            <a:ext uri="{FF2B5EF4-FFF2-40B4-BE49-F238E27FC236}">
              <a16:creationId xmlns:a16="http://schemas.microsoft.com/office/drawing/2014/main" id="{28573E32-BF8C-4777-9E07-4C8F0019434A}"/>
            </a:ext>
          </a:extLst>
        </xdr:cNvPr>
        <xdr:cNvCxnSpPr/>
      </xdr:nvCxnSpPr>
      <xdr:spPr>
        <a:xfrm flipH="1" flipV="1">
          <a:off x="2499360" y="4930140"/>
          <a:ext cx="5345132" cy="0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216242</xdr:colOff>
      <xdr:row>39</xdr:row>
      <xdr:rowOff>51487</xdr:rowOff>
    </xdr:from>
    <xdr:to>
      <xdr:col>41</xdr:col>
      <xdr:colOff>216242</xdr:colOff>
      <xdr:row>72</xdr:row>
      <xdr:rowOff>20594</xdr:rowOff>
    </xdr:to>
    <xdr:cxnSp macro="">
      <xdr:nvCxnSpPr>
        <xdr:cNvPr id="37" name="Connettore diritto 36">
          <a:extLst>
            <a:ext uri="{FF2B5EF4-FFF2-40B4-BE49-F238E27FC236}">
              <a16:creationId xmlns:a16="http://schemas.microsoft.com/office/drawing/2014/main" id="{74567AB0-B84B-4ABF-8526-B9F1B255B26A}"/>
            </a:ext>
          </a:extLst>
        </xdr:cNvPr>
        <xdr:cNvCxnSpPr/>
      </xdr:nvCxnSpPr>
      <xdr:spPr>
        <a:xfrm flipV="1">
          <a:off x="10729783" y="4098325"/>
          <a:ext cx="0" cy="3707026"/>
        </a:xfrm>
        <a:prstGeom prst="line">
          <a:avLst/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679621</xdr:colOff>
      <xdr:row>39</xdr:row>
      <xdr:rowOff>61783</xdr:rowOff>
    </xdr:from>
    <xdr:to>
      <xdr:col>42</xdr:col>
      <xdr:colOff>2070</xdr:colOff>
      <xdr:row>39</xdr:row>
      <xdr:rowOff>61783</xdr:rowOff>
    </xdr:to>
    <xdr:cxnSp macro="">
      <xdr:nvCxnSpPr>
        <xdr:cNvPr id="40" name="Connettore diritto 39">
          <a:extLst>
            <a:ext uri="{FF2B5EF4-FFF2-40B4-BE49-F238E27FC236}">
              <a16:creationId xmlns:a16="http://schemas.microsoft.com/office/drawing/2014/main" id="{9A3DB58E-CE9F-45F4-9A31-426E826DF4B1}"/>
            </a:ext>
          </a:extLst>
        </xdr:cNvPr>
        <xdr:cNvCxnSpPr/>
      </xdr:nvCxnSpPr>
      <xdr:spPr>
        <a:xfrm flipH="1" flipV="1">
          <a:off x="2502243" y="4108621"/>
          <a:ext cx="8229611" cy="0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6350</xdr:colOff>
      <xdr:row>39</xdr:row>
      <xdr:rowOff>82550</xdr:rowOff>
    </xdr:from>
    <xdr:to>
      <xdr:col>44</xdr:col>
      <xdr:colOff>14413</xdr:colOff>
      <xdr:row>72</xdr:row>
      <xdr:rowOff>20594</xdr:rowOff>
    </xdr:to>
    <xdr:cxnSp macro="">
      <xdr:nvCxnSpPr>
        <xdr:cNvPr id="42" name="Connettore diritto 41">
          <a:extLst>
            <a:ext uri="{FF2B5EF4-FFF2-40B4-BE49-F238E27FC236}">
              <a16:creationId xmlns:a16="http://schemas.microsoft.com/office/drawing/2014/main" id="{1447B547-E5B8-4BC2-8571-A1A9BDC8AE88}"/>
            </a:ext>
          </a:extLst>
        </xdr:cNvPr>
        <xdr:cNvCxnSpPr/>
      </xdr:nvCxnSpPr>
      <xdr:spPr>
        <a:xfrm flipH="1" flipV="1">
          <a:off x="11156950" y="4171950"/>
          <a:ext cx="8063" cy="3709944"/>
        </a:xfrm>
        <a:prstGeom prst="line">
          <a:avLst/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673100</xdr:colOff>
      <xdr:row>39</xdr:row>
      <xdr:rowOff>90096</xdr:rowOff>
    </xdr:from>
    <xdr:to>
      <xdr:col>44</xdr:col>
      <xdr:colOff>6602</xdr:colOff>
      <xdr:row>39</xdr:row>
      <xdr:rowOff>90096</xdr:rowOff>
    </xdr:to>
    <xdr:cxnSp macro="">
      <xdr:nvCxnSpPr>
        <xdr:cNvPr id="44" name="Connettore diritto 43">
          <a:extLst>
            <a:ext uri="{FF2B5EF4-FFF2-40B4-BE49-F238E27FC236}">
              <a16:creationId xmlns:a16="http://schemas.microsoft.com/office/drawing/2014/main" id="{F62B979F-02CC-4FAA-A6C4-E27E48BC0E8A}"/>
            </a:ext>
          </a:extLst>
        </xdr:cNvPr>
        <xdr:cNvCxnSpPr/>
      </xdr:nvCxnSpPr>
      <xdr:spPr>
        <a:xfrm flipH="1">
          <a:off x="2501900" y="4179496"/>
          <a:ext cx="8655302" cy="0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0</xdr:colOff>
      <xdr:row>41</xdr:row>
      <xdr:rowOff>55167</xdr:rowOff>
    </xdr:from>
    <xdr:to>
      <xdr:col>49</xdr:col>
      <xdr:colOff>0</xdr:colOff>
      <xdr:row>71</xdr:row>
      <xdr:rowOff>112417</xdr:rowOff>
    </xdr:to>
    <xdr:cxnSp macro="">
      <xdr:nvCxnSpPr>
        <xdr:cNvPr id="47" name="Connettore diritto 46">
          <a:extLst>
            <a:ext uri="{FF2B5EF4-FFF2-40B4-BE49-F238E27FC236}">
              <a16:creationId xmlns:a16="http://schemas.microsoft.com/office/drawing/2014/main" id="{67D6860C-FE82-4FD0-9519-213C5AE83879}"/>
            </a:ext>
          </a:extLst>
        </xdr:cNvPr>
        <xdr:cNvCxnSpPr/>
      </xdr:nvCxnSpPr>
      <xdr:spPr>
        <a:xfrm flipH="1" flipV="1">
          <a:off x="12136833" y="4340986"/>
          <a:ext cx="0" cy="3470734"/>
        </a:xfrm>
        <a:prstGeom prst="line">
          <a:avLst/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43304</xdr:colOff>
      <xdr:row>41</xdr:row>
      <xdr:rowOff>70874</xdr:rowOff>
    </xdr:from>
    <xdr:to>
      <xdr:col>49</xdr:col>
      <xdr:colOff>3222</xdr:colOff>
      <xdr:row>41</xdr:row>
      <xdr:rowOff>70874</xdr:rowOff>
    </xdr:to>
    <xdr:cxnSp macro="">
      <xdr:nvCxnSpPr>
        <xdr:cNvPr id="49" name="Connettore diritto 48">
          <a:extLst>
            <a:ext uri="{FF2B5EF4-FFF2-40B4-BE49-F238E27FC236}">
              <a16:creationId xmlns:a16="http://schemas.microsoft.com/office/drawing/2014/main" id="{820BD28D-0973-402F-9291-E79CD4853C9B}"/>
            </a:ext>
          </a:extLst>
        </xdr:cNvPr>
        <xdr:cNvCxnSpPr/>
      </xdr:nvCxnSpPr>
      <xdr:spPr>
        <a:xfrm flipH="1">
          <a:off x="2560318" y="4356693"/>
          <a:ext cx="9579737" cy="0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213064</xdr:colOff>
      <xdr:row>42</xdr:row>
      <xdr:rowOff>26749</xdr:rowOff>
    </xdr:from>
    <xdr:to>
      <xdr:col>33</xdr:col>
      <xdr:colOff>213064</xdr:colOff>
      <xdr:row>72</xdr:row>
      <xdr:rowOff>83999</xdr:rowOff>
    </xdr:to>
    <xdr:cxnSp macro="">
      <xdr:nvCxnSpPr>
        <xdr:cNvPr id="53" name="Connettore diritto 52">
          <a:extLst>
            <a:ext uri="{FF2B5EF4-FFF2-40B4-BE49-F238E27FC236}">
              <a16:creationId xmlns:a16="http://schemas.microsoft.com/office/drawing/2014/main" id="{B38267CB-5663-40EA-A07B-8AD3A72C25F0}"/>
            </a:ext>
          </a:extLst>
        </xdr:cNvPr>
        <xdr:cNvCxnSpPr/>
      </xdr:nvCxnSpPr>
      <xdr:spPr>
        <a:xfrm flipH="1" flipV="1">
          <a:off x="8961410" y="4393595"/>
          <a:ext cx="0" cy="3427635"/>
        </a:xfrm>
        <a:prstGeom prst="line">
          <a:avLst/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672661</xdr:colOff>
      <xdr:row>42</xdr:row>
      <xdr:rowOff>44303</xdr:rowOff>
    </xdr:from>
    <xdr:to>
      <xdr:col>33</xdr:col>
      <xdr:colOff>213988</xdr:colOff>
      <xdr:row>42</xdr:row>
      <xdr:rowOff>44303</xdr:rowOff>
    </xdr:to>
    <xdr:cxnSp macro="">
      <xdr:nvCxnSpPr>
        <xdr:cNvPr id="54" name="Connettore diritto 53">
          <a:extLst>
            <a:ext uri="{FF2B5EF4-FFF2-40B4-BE49-F238E27FC236}">
              <a16:creationId xmlns:a16="http://schemas.microsoft.com/office/drawing/2014/main" id="{87429E80-E215-4BFE-ACF5-FA91084F2A67}"/>
            </a:ext>
          </a:extLst>
        </xdr:cNvPr>
        <xdr:cNvCxnSpPr/>
      </xdr:nvCxnSpPr>
      <xdr:spPr>
        <a:xfrm flipH="1">
          <a:off x="2501461" y="4458648"/>
          <a:ext cx="6478155" cy="0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5418</xdr:colOff>
      <xdr:row>40</xdr:row>
      <xdr:rowOff>1946</xdr:rowOff>
    </xdr:from>
    <xdr:to>
      <xdr:col>39</xdr:col>
      <xdr:colOff>5418</xdr:colOff>
      <xdr:row>74</xdr:row>
      <xdr:rowOff>134712</xdr:rowOff>
    </xdr:to>
    <xdr:cxnSp macro="">
      <xdr:nvCxnSpPr>
        <xdr:cNvPr id="57" name="Connettore diritto 56">
          <a:extLst>
            <a:ext uri="{FF2B5EF4-FFF2-40B4-BE49-F238E27FC236}">
              <a16:creationId xmlns:a16="http://schemas.microsoft.com/office/drawing/2014/main" id="{2873A133-F276-4966-B033-08493D044A14}"/>
            </a:ext>
          </a:extLst>
        </xdr:cNvPr>
        <xdr:cNvCxnSpPr/>
      </xdr:nvCxnSpPr>
      <xdr:spPr>
        <a:xfrm flipV="1">
          <a:off x="9958674" y="4160458"/>
          <a:ext cx="0" cy="4090440"/>
        </a:xfrm>
        <a:prstGeom prst="line">
          <a:avLst/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393896</xdr:colOff>
      <xdr:row>40</xdr:row>
      <xdr:rowOff>16935</xdr:rowOff>
    </xdr:from>
    <xdr:to>
      <xdr:col>39</xdr:col>
      <xdr:colOff>7816</xdr:colOff>
      <xdr:row>40</xdr:row>
      <xdr:rowOff>16935</xdr:rowOff>
    </xdr:to>
    <xdr:cxnSp macro="">
      <xdr:nvCxnSpPr>
        <xdr:cNvPr id="60" name="Connettore diritto 59">
          <a:extLst>
            <a:ext uri="{FF2B5EF4-FFF2-40B4-BE49-F238E27FC236}">
              <a16:creationId xmlns:a16="http://schemas.microsoft.com/office/drawing/2014/main" id="{E87D9869-1E30-49CD-AD77-4E6AA5BD3E94}"/>
            </a:ext>
          </a:extLst>
        </xdr:cNvPr>
        <xdr:cNvCxnSpPr/>
      </xdr:nvCxnSpPr>
      <xdr:spPr>
        <a:xfrm flipH="1">
          <a:off x="393896" y="4203748"/>
          <a:ext cx="9550623" cy="0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32757</xdr:colOff>
      <xdr:row>46</xdr:row>
      <xdr:rowOff>34638</xdr:rowOff>
    </xdr:from>
    <xdr:to>
      <xdr:col>54</xdr:col>
      <xdr:colOff>32757</xdr:colOff>
      <xdr:row>74</xdr:row>
      <xdr:rowOff>180494</xdr:rowOff>
    </xdr:to>
    <xdr:cxnSp macro="">
      <xdr:nvCxnSpPr>
        <xdr:cNvPr id="61" name="Connettore diritto 60">
          <a:extLst>
            <a:ext uri="{FF2B5EF4-FFF2-40B4-BE49-F238E27FC236}">
              <a16:creationId xmlns:a16="http://schemas.microsoft.com/office/drawing/2014/main" id="{5EE3EE8F-4DD5-4B23-9B78-CBCABDB6FEF1}"/>
            </a:ext>
          </a:extLst>
        </xdr:cNvPr>
        <xdr:cNvCxnSpPr/>
      </xdr:nvCxnSpPr>
      <xdr:spPr>
        <a:xfrm flipH="1" flipV="1">
          <a:off x="13234984" y="4906820"/>
          <a:ext cx="0" cy="3517129"/>
        </a:xfrm>
        <a:prstGeom prst="line">
          <a:avLst/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22746</xdr:colOff>
      <xdr:row>46</xdr:row>
      <xdr:rowOff>32750</xdr:rowOff>
    </xdr:from>
    <xdr:to>
      <xdr:col>54</xdr:col>
      <xdr:colOff>46095</xdr:colOff>
      <xdr:row>46</xdr:row>
      <xdr:rowOff>32750</xdr:rowOff>
    </xdr:to>
    <xdr:cxnSp macro="">
      <xdr:nvCxnSpPr>
        <xdr:cNvPr id="62" name="Connettore diritto 61">
          <a:extLst>
            <a:ext uri="{FF2B5EF4-FFF2-40B4-BE49-F238E27FC236}">
              <a16:creationId xmlns:a16="http://schemas.microsoft.com/office/drawing/2014/main" id="{72373AA6-CF90-4D2E-9AB3-001F545179DF}"/>
            </a:ext>
          </a:extLst>
        </xdr:cNvPr>
        <xdr:cNvCxnSpPr/>
      </xdr:nvCxnSpPr>
      <xdr:spPr>
        <a:xfrm flipH="1" flipV="1">
          <a:off x="2530594" y="4913408"/>
          <a:ext cx="10633476" cy="0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204782</xdr:colOff>
      <xdr:row>79</xdr:row>
      <xdr:rowOff>53445</xdr:rowOff>
    </xdr:from>
    <xdr:to>
      <xdr:col>36</xdr:col>
      <xdr:colOff>101108</xdr:colOff>
      <xdr:row>94</xdr:row>
      <xdr:rowOff>75217</xdr:rowOff>
    </xdr:to>
    <xdr:graphicFrame macro="">
      <xdr:nvGraphicFramePr>
        <xdr:cNvPr id="64" name="Grafico 63">
          <a:extLst>
            <a:ext uri="{FF2B5EF4-FFF2-40B4-BE49-F238E27FC236}">
              <a16:creationId xmlns:a16="http://schemas.microsoft.com/office/drawing/2014/main" id="{F1966F02-7B01-483C-AC8C-6A13A14B5A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11545</xdr:colOff>
      <xdr:row>65</xdr:row>
      <xdr:rowOff>48491</xdr:rowOff>
    </xdr:from>
    <xdr:to>
      <xdr:col>14</xdr:col>
      <xdr:colOff>11545</xdr:colOff>
      <xdr:row>72</xdr:row>
      <xdr:rowOff>1</xdr:rowOff>
    </xdr:to>
    <xdr:cxnSp macro="">
      <xdr:nvCxnSpPr>
        <xdr:cNvPr id="66" name="Connettore diritto 65">
          <a:extLst>
            <a:ext uri="{FF2B5EF4-FFF2-40B4-BE49-F238E27FC236}">
              <a16:creationId xmlns:a16="http://schemas.microsoft.com/office/drawing/2014/main" id="{F904050F-FFE8-46E1-BF0C-488D2534D80E}"/>
            </a:ext>
          </a:extLst>
        </xdr:cNvPr>
        <xdr:cNvCxnSpPr/>
      </xdr:nvCxnSpPr>
      <xdr:spPr>
        <a:xfrm flipV="1">
          <a:off x="4650509" y="7109691"/>
          <a:ext cx="0" cy="759692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10495</xdr:colOff>
      <xdr:row>65</xdr:row>
      <xdr:rowOff>54242</xdr:rowOff>
    </xdr:from>
    <xdr:to>
      <xdr:col>14</xdr:col>
      <xdr:colOff>6994</xdr:colOff>
      <xdr:row>65</xdr:row>
      <xdr:rowOff>54242</xdr:rowOff>
    </xdr:to>
    <xdr:cxnSp macro="">
      <xdr:nvCxnSpPr>
        <xdr:cNvPr id="67" name="Connettore diritto 66">
          <a:extLst>
            <a:ext uri="{FF2B5EF4-FFF2-40B4-BE49-F238E27FC236}">
              <a16:creationId xmlns:a16="http://schemas.microsoft.com/office/drawing/2014/main" id="{D9C684CF-3446-4D61-B8E3-4DC69A86C646}"/>
            </a:ext>
          </a:extLst>
        </xdr:cNvPr>
        <xdr:cNvCxnSpPr/>
      </xdr:nvCxnSpPr>
      <xdr:spPr>
        <a:xfrm flipV="1">
          <a:off x="2525095" y="7115442"/>
          <a:ext cx="2120863" cy="0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54</xdr:row>
      <xdr:rowOff>42863</xdr:rowOff>
    </xdr:from>
    <xdr:to>
      <xdr:col>19</xdr:col>
      <xdr:colOff>4762</xdr:colOff>
      <xdr:row>71</xdr:row>
      <xdr:rowOff>100013</xdr:rowOff>
    </xdr:to>
    <xdr:cxnSp macro="">
      <xdr:nvCxnSpPr>
        <xdr:cNvPr id="71" name="Connettore diritto 70">
          <a:extLst>
            <a:ext uri="{FF2B5EF4-FFF2-40B4-BE49-F238E27FC236}">
              <a16:creationId xmlns:a16="http://schemas.microsoft.com/office/drawing/2014/main" id="{0CAAFF53-59B8-4DAE-92DF-C5ACAB50FCCC}"/>
            </a:ext>
          </a:extLst>
        </xdr:cNvPr>
        <xdr:cNvCxnSpPr/>
      </xdr:nvCxnSpPr>
      <xdr:spPr>
        <a:xfrm flipV="1">
          <a:off x="5729288" y="5776913"/>
          <a:ext cx="4762" cy="2000250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678610</xdr:colOff>
      <xdr:row>54</xdr:row>
      <xdr:rowOff>57507</xdr:rowOff>
    </xdr:from>
    <xdr:to>
      <xdr:col>19</xdr:col>
      <xdr:colOff>5125</xdr:colOff>
      <xdr:row>54</xdr:row>
      <xdr:rowOff>57507</xdr:rowOff>
    </xdr:to>
    <xdr:cxnSp macro="">
      <xdr:nvCxnSpPr>
        <xdr:cNvPr id="74" name="Connettore diritto 73">
          <a:extLst>
            <a:ext uri="{FF2B5EF4-FFF2-40B4-BE49-F238E27FC236}">
              <a16:creationId xmlns:a16="http://schemas.microsoft.com/office/drawing/2014/main" id="{D264C39D-2436-46CB-9EDC-96F8C029F30A}"/>
            </a:ext>
          </a:extLst>
        </xdr:cNvPr>
        <xdr:cNvCxnSpPr/>
      </xdr:nvCxnSpPr>
      <xdr:spPr>
        <a:xfrm>
          <a:off x="2507410" y="5860209"/>
          <a:ext cx="3205526" cy="0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206022</xdr:colOff>
      <xdr:row>46</xdr:row>
      <xdr:rowOff>70551</xdr:rowOff>
    </xdr:from>
    <xdr:to>
      <xdr:col>23</xdr:col>
      <xdr:colOff>206022</xdr:colOff>
      <xdr:row>72</xdr:row>
      <xdr:rowOff>26743</xdr:rowOff>
    </xdr:to>
    <xdr:cxnSp macro="">
      <xdr:nvCxnSpPr>
        <xdr:cNvPr id="76" name="Connettore diritto 75">
          <a:extLst>
            <a:ext uri="{FF2B5EF4-FFF2-40B4-BE49-F238E27FC236}">
              <a16:creationId xmlns:a16="http://schemas.microsoft.com/office/drawing/2014/main" id="{6A4FBC13-5A48-4E03-A044-091778498D2B}"/>
            </a:ext>
          </a:extLst>
        </xdr:cNvPr>
        <xdr:cNvCxnSpPr/>
      </xdr:nvCxnSpPr>
      <xdr:spPr>
        <a:xfrm flipH="1" flipV="1">
          <a:off x="6795911" y="4964284"/>
          <a:ext cx="0" cy="2964681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2877</xdr:colOff>
      <xdr:row>41</xdr:row>
      <xdr:rowOff>60379</xdr:rowOff>
    </xdr:from>
    <xdr:to>
      <xdr:col>29</xdr:col>
      <xdr:colOff>2877</xdr:colOff>
      <xdr:row>71</xdr:row>
      <xdr:rowOff>112138</xdr:rowOff>
    </xdr:to>
    <xdr:cxnSp macro="">
      <xdr:nvCxnSpPr>
        <xdr:cNvPr id="79" name="Connettore diritto 78">
          <a:extLst>
            <a:ext uri="{FF2B5EF4-FFF2-40B4-BE49-F238E27FC236}">
              <a16:creationId xmlns:a16="http://schemas.microsoft.com/office/drawing/2014/main" id="{1EB3D312-2F86-403E-A2A1-ADD046471EAA}"/>
            </a:ext>
          </a:extLst>
        </xdr:cNvPr>
        <xdr:cNvCxnSpPr/>
      </xdr:nvCxnSpPr>
      <xdr:spPr>
        <a:xfrm flipV="1">
          <a:off x="7838537" y="4367836"/>
          <a:ext cx="0" cy="3502325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44</xdr:col>
      <xdr:colOff>8319</xdr:colOff>
      <xdr:row>46</xdr:row>
      <xdr:rowOff>32188</xdr:rowOff>
    </xdr:from>
    <xdr:to>
      <xdr:col>44</xdr:col>
      <xdr:colOff>8319</xdr:colOff>
      <xdr:row>74</xdr:row>
      <xdr:rowOff>175387</xdr:rowOff>
    </xdr:to>
    <xdr:cxnSp macro="">
      <xdr:nvCxnSpPr>
        <xdr:cNvPr id="83" name="Connettore diritto 82">
          <a:extLst>
            <a:ext uri="{FF2B5EF4-FFF2-40B4-BE49-F238E27FC236}">
              <a16:creationId xmlns:a16="http://schemas.microsoft.com/office/drawing/2014/main" id="{C2752E5F-EA68-41C3-B536-86006EA35BF0}"/>
            </a:ext>
          </a:extLst>
        </xdr:cNvPr>
        <xdr:cNvCxnSpPr/>
      </xdr:nvCxnSpPr>
      <xdr:spPr>
        <a:xfrm flipV="1">
          <a:off x="11057319" y="4893748"/>
          <a:ext cx="0" cy="3480759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51</xdr:row>
      <xdr:rowOff>55861</xdr:rowOff>
    </xdr:from>
    <xdr:to>
      <xdr:col>47</xdr:col>
      <xdr:colOff>0</xdr:colOff>
      <xdr:row>75</xdr:row>
      <xdr:rowOff>22860</xdr:rowOff>
    </xdr:to>
    <xdr:cxnSp macro="">
      <xdr:nvCxnSpPr>
        <xdr:cNvPr id="84" name="Connettore diritto 83">
          <a:extLst>
            <a:ext uri="{FF2B5EF4-FFF2-40B4-BE49-F238E27FC236}">
              <a16:creationId xmlns:a16="http://schemas.microsoft.com/office/drawing/2014/main" id="{5A641EBB-7E6F-441C-8DE2-5FC6F667ABB1}"/>
            </a:ext>
          </a:extLst>
        </xdr:cNvPr>
        <xdr:cNvCxnSpPr/>
      </xdr:nvCxnSpPr>
      <xdr:spPr>
        <a:xfrm flipV="1">
          <a:off x="11689080" y="5488921"/>
          <a:ext cx="0" cy="2915939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669235</xdr:colOff>
      <xdr:row>51</xdr:row>
      <xdr:rowOff>46383</xdr:rowOff>
    </xdr:from>
    <xdr:to>
      <xdr:col>47</xdr:col>
      <xdr:colOff>9751</xdr:colOff>
      <xdr:row>51</xdr:row>
      <xdr:rowOff>46383</xdr:rowOff>
    </xdr:to>
    <xdr:cxnSp macro="">
      <xdr:nvCxnSpPr>
        <xdr:cNvPr id="86" name="Connettore diritto 85">
          <a:extLst>
            <a:ext uri="{FF2B5EF4-FFF2-40B4-BE49-F238E27FC236}">
              <a16:creationId xmlns:a16="http://schemas.microsoft.com/office/drawing/2014/main" id="{ED81F969-7D3F-44BE-AD25-55AC657ADF38}"/>
            </a:ext>
          </a:extLst>
        </xdr:cNvPr>
        <xdr:cNvCxnSpPr/>
      </xdr:nvCxnSpPr>
      <xdr:spPr>
        <a:xfrm>
          <a:off x="2498035" y="5473148"/>
          <a:ext cx="9147125" cy="0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69191</xdr:colOff>
      <xdr:row>94</xdr:row>
      <xdr:rowOff>96588</xdr:rowOff>
    </xdr:from>
    <xdr:to>
      <xdr:col>36</xdr:col>
      <xdr:colOff>210888</xdr:colOff>
      <xdr:row>109</xdr:row>
      <xdr:rowOff>114172</xdr:rowOff>
    </xdr:to>
    <xdr:graphicFrame macro="">
      <xdr:nvGraphicFramePr>
        <xdr:cNvPr id="88" name="Grafico 87">
          <a:extLst>
            <a:ext uri="{FF2B5EF4-FFF2-40B4-BE49-F238E27FC236}">
              <a16:creationId xmlns:a16="http://schemas.microsoft.com/office/drawing/2014/main" id="{98F374B1-5498-4902-8875-14E4B05FF7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6626</xdr:colOff>
      <xdr:row>57</xdr:row>
      <xdr:rowOff>106018</xdr:rowOff>
    </xdr:from>
    <xdr:to>
      <xdr:col>14</xdr:col>
      <xdr:colOff>3125</xdr:colOff>
      <xdr:row>57</xdr:row>
      <xdr:rowOff>106018</xdr:rowOff>
    </xdr:to>
    <xdr:cxnSp macro="">
      <xdr:nvCxnSpPr>
        <xdr:cNvPr id="89" name="Connettore diritto 88">
          <a:extLst>
            <a:ext uri="{FF2B5EF4-FFF2-40B4-BE49-F238E27FC236}">
              <a16:creationId xmlns:a16="http://schemas.microsoft.com/office/drawing/2014/main" id="{A6701ED9-CD35-4B19-9ED5-13E488691912}"/>
            </a:ext>
          </a:extLst>
        </xdr:cNvPr>
        <xdr:cNvCxnSpPr/>
      </xdr:nvCxnSpPr>
      <xdr:spPr>
        <a:xfrm flipV="1">
          <a:off x="2524539" y="6208644"/>
          <a:ext cx="2116847" cy="0"/>
        </a:xfrm>
        <a:prstGeom prst="line">
          <a:avLst/>
        </a:prstGeom>
        <a:ln w="19050">
          <a:solidFill>
            <a:schemeClr val="accent6">
              <a:lumMod val="75000"/>
            </a:schemeClr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22391</xdr:colOff>
      <xdr:row>40</xdr:row>
      <xdr:rowOff>79284</xdr:rowOff>
    </xdr:from>
    <xdr:to>
      <xdr:col>23</xdr:col>
      <xdr:colOff>211047</xdr:colOff>
      <xdr:row>40</xdr:row>
      <xdr:rowOff>79284</xdr:rowOff>
    </xdr:to>
    <xdr:cxnSp macro="">
      <xdr:nvCxnSpPr>
        <xdr:cNvPr id="90" name="Connettore diritto 89">
          <a:extLst>
            <a:ext uri="{FF2B5EF4-FFF2-40B4-BE49-F238E27FC236}">
              <a16:creationId xmlns:a16="http://schemas.microsoft.com/office/drawing/2014/main" id="{016C8473-22D2-4C99-9C2B-1EA113D1DCB4}"/>
            </a:ext>
          </a:extLst>
        </xdr:cNvPr>
        <xdr:cNvCxnSpPr/>
      </xdr:nvCxnSpPr>
      <xdr:spPr>
        <a:xfrm>
          <a:off x="2539619" y="4262401"/>
          <a:ext cx="4282435" cy="0"/>
        </a:xfrm>
        <a:prstGeom prst="line">
          <a:avLst/>
        </a:prstGeom>
        <a:ln w="19050">
          <a:solidFill>
            <a:schemeClr val="accent6">
              <a:lumMod val="75000"/>
            </a:schemeClr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213072</xdr:colOff>
      <xdr:row>46</xdr:row>
      <xdr:rowOff>63099</xdr:rowOff>
    </xdr:from>
    <xdr:to>
      <xdr:col>18</xdr:col>
      <xdr:colOff>213072</xdr:colOff>
      <xdr:row>77</xdr:row>
      <xdr:rowOff>36595</xdr:rowOff>
    </xdr:to>
    <xdr:cxnSp macro="">
      <xdr:nvCxnSpPr>
        <xdr:cNvPr id="92" name="Connettore diritto 91">
          <a:extLst>
            <a:ext uri="{FF2B5EF4-FFF2-40B4-BE49-F238E27FC236}">
              <a16:creationId xmlns:a16="http://schemas.microsoft.com/office/drawing/2014/main" id="{A16B5C6C-361D-494C-BB9D-4494DB88C73F}"/>
            </a:ext>
          </a:extLst>
        </xdr:cNvPr>
        <xdr:cNvCxnSpPr/>
      </xdr:nvCxnSpPr>
      <xdr:spPr>
        <a:xfrm>
          <a:off x="5734108" y="4939899"/>
          <a:ext cx="0" cy="3863160"/>
        </a:xfrm>
        <a:prstGeom prst="line">
          <a:avLst/>
        </a:prstGeom>
        <a:ln w="19050">
          <a:solidFill>
            <a:schemeClr val="accent6">
              <a:lumMod val="75000"/>
            </a:schemeClr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6043</xdr:colOff>
      <xdr:row>46</xdr:row>
      <xdr:rowOff>37046</xdr:rowOff>
    </xdr:from>
    <xdr:to>
      <xdr:col>34</xdr:col>
      <xdr:colOff>6043</xdr:colOff>
      <xdr:row>77</xdr:row>
      <xdr:rowOff>10805</xdr:rowOff>
    </xdr:to>
    <xdr:cxnSp macro="">
      <xdr:nvCxnSpPr>
        <xdr:cNvPr id="96" name="Connettore diritto 95">
          <a:extLst>
            <a:ext uri="{FF2B5EF4-FFF2-40B4-BE49-F238E27FC236}">
              <a16:creationId xmlns:a16="http://schemas.microsoft.com/office/drawing/2014/main" id="{51CB5DF1-5347-469E-8731-4968660972CE}"/>
            </a:ext>
          </a:extLst>
        </xdr:cNvPr>
        <xdr:cNvCxnSpPr/>
      </xdr:nvCxnSpPr>
      <xdr:spPr>
        <a:xfrm>
          <a:off x="8987133" y="4913846"/>
          <a:ext cx="0" cy="3899373"/>
        </a:xfrm>
        <a:prstGeom prst="line">
          <a:avLst/>
        </a:prstGeom>
        <a:ln w="19050">
          <a:solidFill>
            <a:schemeClr val="accent6">
              <a:lumMod val="75000"/>
            </a:schemeClr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36</xdr:col>
      <xdr:colOff>0</xdr:colOff>
      <xdr:row>50</xdr:row>
      <xdr:rowOff>108534</xdr:rowOff>
    </xdr:from>
    <xdr:to>
      <xdr:col>36</xdr:col>
      <xdr:colOff>6627</xdr:colOff>
      <xdr:row>75</xdr:row>
      <xdr:rowOff>79058</xdr:rowOff>
    </xdr:to>
    <xdr:cxnSp macro="">
      <xdr:nvCxnSpPr>
        <xdr:cNvPr id="97" name="Connettore diritto 96">
          <a:extLst>
            <a:ext uri="{FF2B5EF4-FFF2-40B4-BE49-F238E27FC236}">
              <a16:creationId xmlns:a16="http://schemas.microsoft.com/office/drawing/2014/main" id="{12D7ECEB-2B44-4046-9344-7054F502EDA2}"/>
            </a:ext>
          </a:extLst>
        </xdr:cNvPr>
        <xdr:cNvCxnSpPr/>
      </xdr:nvCxnSpPr>
      <xdr:spPr>
        <a:xfrm flipH="1">
          <a:off x="9412014" y="5447789"/>
          <a:ext cx="6627" cy="3065821"/>
        </a:xfrm>
        <a:prstGeom prst="line">
          <a:avLst/>
        </a:prstGeom>
        <a:ln w="19050">
          <a:solidFill>
            <a:schemeClr val="accent6">
              <a:lumMod val="75000"/>
            </a:schemeClr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677917</xdr:colOff>
      <xdr:row>50</xdr:row>
      <xdr:rowOff>110358</xdr:rowOff>
    </xdr:from>
    <xdr:to>
      <xdr:col>36</xdr:col>
      <xdr:colOff>22774</xdr:colOff>
      <xdr:row>50</xdr:row>
      <xdr:rowOff>110358</xdr:rowOff>
    </xdr:to>
    <xdr:cxnSp macro="">
      <xdr:nvCxnSpPr>
        <xdr:cNvPr id="99" name="Connettore diritto 98">
          <a:extLst>
            <a:ext uri="{FF2B5EF4-FFF2-40B4-BE49-F238E27FC236}">
              <a16:creationId xmlns:a16="http://schemas.microsoft.com/office/drawing/2014/main" id="{1095EB62-93AB-4601-9A80-35375CD27E8C}"/>
            </a:ext>
          </a:extLst>
        </xdr:cNvPr>
        <xdr:cNvCxnSpPr/>
      </xdr:nvCxnSpPr>
      <xdr:spPr>
        <a:xfrm>
          <a:off x="2506717" y="5449613"/>
          <a:ext cx="6928071" cy="0"/>
        </a:xfrm>
        <a:prstGeom prst="line">
          <a:avLst/>
        </a:prstGeom>
        <a:ln w="19050">
          <a:solidFill>
            <a:schemeClr val="accent6">
              <a:lumMod val="75000"/>
            </a:schemeClr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873</xdr:colOff>
      <xdr:row>63</xdr:row>
      <xdr:rowOff>102183</xdr:rowOff>
    </xdr:from>
    <xdr:to>
      <xdr:col>12</xdr:col>
      <xdr:colOff>873</xdr:colOff>
      <xdr:row>75</xdr:row>
      <xdr:rowOff>95557</xdr:rowOff>
    </xdr:to>
    <xdr:cxnSp macro="">
      <xdr:nvCxnSpPr>
        <xdr:cNvPr id="101" name="Connettore diritto 100">
          <a:extLst>
            <a:ext uri="{FF2B5EF4-FFF2-40B4-BE49-F238E27FC236}">
              <a16:creationId xmlns:a16="http://schemas.microsoft.com/office/drawing/2014/main" id="{5CEB0124-9A8B-4B28-AFB8-94E2852C1B15}"/>
            </a:ext>
          </a:extLst>
        </xdr:cNvPr>
        <xdr:cNvCxnSpPr/>
      </xdr:nvCxnSpPr>
      <xdr:spPr>
        <a:xfrm>
          <a:off x="4215936" y="7004299"/>
          <a:ext cx="0" cy="1593574"/>
        </a:xfrm>
        <a:prstGeom prst="line">
          <a:avLst/>
        </a:prstGeom>
        <a:ln w="19050">
          <a:solidFill>
            <a:schemeClr val="accent6">
              <a:lumMod val="75000"/>
            </a:schemeClr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268705</xdr:colOff>
      <xdr:row>63</xdr:row>
      <xdr:rowOff>116304</xdr:rowOff>
    </xdr:from>
    <xdr:to>
      <xdr:col>12</xdr:col>
      <xdr:colOff>4520</xdr:colOff>
      <xdr:row>63</xdr:row>
      <xdr:rowOff>116304</xdr:rowOff>
    </xdr:to>
    <xdr:cxnSp macro="">
      <xdr:nvCxnSpPr>
        <xdr:cNvPr id="103" name="Connettore diritto 102">
          <a:extLst>
            <a:ext uri="{FF2B5EF4-FFF2-40B4-BE49-F238E27FC236}">
              <a16:creationId xmlns:a16="http://schemas.microsoft.com/office/drawing/2014/main" id="{6645B547-9396-4C71-A311-C370FCD0D128}"/>
            </a:ext>
          </a:extLst>
        </xdr:cNvPr>
        <xdr:cNvCxnSpPr/>
      </xdr:nvCxnSpPr>
      <xdr:spPr>
        <a:xfrm flipV="1">
          <a:off x="2097505" y="7018420"/>
          <a:ext cx="2122078" cy="0"/>
        </a:xfrm>
        <a:prstGeom prst="line">
          <a:avLst/>
        </a:prstGeom>
        <a:ln w="19050">
          <a:solidFill>
            <a:schemeClr val="accent6">
              <a:lumMod val="75000"/>
            </a:schemeClr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22</xdr:col>
      <xdr:colOff>0</xdr:colOff>
      <xdr:row>42</xdr:row>
      <xdr:rowOff>47297</xdr:rowOff>
    </xdr:from>
    <xdr:to>
      <xdr:col>22</xdr:col>
      <xdr:colOff>0</xdr:colOff>
      <xdr:row>74</xdr:row>
      <xdr:rowOff>110131</xdr:rowOff>
    </xdr:to>
    <xdr:cxnSp macro="">
      <xdr:nvCxnSpPr>
        <xdr:cNvPr id="104" name="Connettore diritto 103">
          <a:extLst>
            <a:ext uri="{FF2B5EF4-FFF2-40B4-BE49-F238E27FC236}">
              <a16:creationId xmlns:a16="http://schemas.microsoft.com/office/drawing/2014/main" id="{CA5D8040-EF3A-45A3-B998-D3822BA0C08E}"/>
            </a:ext>
          </a:extLst>
        </xdr:cNvPr>
        <xdr:cNvCxnSpPr/>
      </xdr:nvCxnSpPr>
      <xdr:spPr>
        <a:xfrm>
          <a:off x="6395545" y="4461642"/>
          <a:ext cx="0" cy="3899110"/>
        </a:xfrm>
        <a:prstGeom prst="line">
          <a:avLst/>
        </a:prstGeom>
        <a:ln w="19050">
          <a:solidFill>
            <a:schemeClr val="accent6">
              <a:lumMod val="75000"/>
            </a:schemeClr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212834</xdr:colOff>
      <xdr:row>109</xdr:row>
      <xdr:rowOff>136634</xdr:rowOff>
    </xdr:from>
    <xdr:to>
      <xdr:col>37</xdr:col>
      <xdr:colOff>44668</xdr:colOff>
      <xdr:row>126</xdr:row>
      <xdr:rowOff>120869</xdr:rowOff>
    </xdr:to>
    <xdr:graphicFrame macro="">
      <xdr:nvGraphicFramePr>
        <xdr:cNvPr id="105" name="Grafico 104">
          <a:extLst>
            <a:ext uri="{FF2B5EF4-FFF2-40B4-BE49-F238E27FC236}">
              <a16:creationId xmlns:a16="http://schemas.microsoft.com/office/drawing/2014/main" id="{8EECCC5D-E9F1-4BF5-A964-60DD7CA3A2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31</xdr:col>
      <xdr:colOff>7620</xdr:colOff>
      <xdr:row>41</xdr:row>
      <xdr:rowOff>68580</xdr:rowOff>
    </xdr:from>
    <xdr:to>
      <xdr:col>31</xdr:col>
      <xdr:colOff>7620</xdr:colOff>
      <xdr:row>75</xdr:row>
      <xdr:rowOff>11859</xdr:rowOff>
    </xdr:to>
    <xdr:cxnSp macro="">
      <xdr:nvCxnSpPr>
        <xdr:cNvPr id="106" name="Connettore diritto 105">
          <a:extLst>
            <a:ext uri="{FF2B5EF4-FFF2-40B4-BE49-F238E27FC236}">
              <a16:creationId xmlns:a16="http://schemas.microsoft.com/office/drawing/2014/main" id="{37950FD4-E503-4D77-9A60-3CF403B2C72F}"/>
            </a:ext>
          </a:extLst>
        </xdr:cNvPr>
        <xdr:cNvCxnSpPr/>
      </xdr:nvCxnSpPr>
      <xdr:spPr>
        <a:xfrm>
          <a:off x="8282940" y="4358640"/>
          <a:ext cx="0" cy="4035219"/>
        </a:xfrm>
        <a:prstGeom prst="line">
          <a:avLst/>
        </a:prstGeom>
        <a:ln w="19050">
          <a:solidFill>
            <a:schemeClr val="accent6">
              <a:lumMod val="75000"/>
            </a:schemeClr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274951</xdr:colOff>
      <xdr:row>3</xdr:row>
      <xdr:rowOff>7620</xdr:rowOff>
    </xdr:from>
    <xdr:to>
      <xdr:col>66</xdr:col>
      <xdr:colOff>353505</xdr:colOff>
      <xdr:row>37</xdr:row>
      <xdr:rowOff>45720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E01C0B51-D112-46DE-9FB8-1446212B2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4551" y="556260"/>
          <a:ext cx="16461554" cy="5250180"/>
        </a:xfrm>
        <a:prstGeom prst="rect">
          <a:avLst/>
        </a:prstGeom>
      </xdr:spPr>
    </xdr:pic>
    <xdr:clientData/>
  </xdr:twoCellAnchor>
  <xdr:twoCellAnchor>
    <xdr:from>
      <xdr:col>2</xdr:col>
      <xdr:colOff>588190</xdr:colOff>
      <xdr:row>14</xdr:row>
      <xdr:rowOff>1572</xdr:rowOff>
    </xdr:from>
    <xdr:to>
      <xdr:col>36</xdr:col>
      <xdr:colOff>222429</xdr:colOff>
      <xdr:row>14</xdr:row>
      <xdr:rowOff>1572</xdr:rowOff>
    </xdr:to>
    <xdr:cxnSp macro="">
      <xdr:nvCxnSpPr>
        <xdr:cNvPr id="4" name="Connettore diritto 3">
          <a:extLst>
            <a:ext uri="{FF2B5EF4-FFF2-40B4-BE49-F238E27FC236}">
              <a16:creationId xmlns:a16="http://schemas.microsoft.com/office/drawing/2014/main" id="{9532479E-EC75-49B5-8DF1-C30347B9DDE3}"/>
            </a:ext>
          </a:extLst>
        </xdr:cNvPr>
        <xdr:cNvCxnSpPr/>
      </xdr:nvCxnSpPr>
      <xdr:spPr>
        <a:xfrm>
          <a:off x="1809809" y="2239191"/>
          <a:ext cx="7828763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216751</xdr:colOff>
      <xdr:row>13</xdr:row>
      <xdr:rowOff>145774</xdr:rowOff>
    </xdr:from>
    <xdr:to>
      <xdr:col>36</xdr:col>
      <xdr:colOff>216751</xdr:colOff>
      <xdr:row>34</xdr:row>
      <xdr:rowOff>115294</xdr:rowOff>
    </xdr:to>
    <xdr:cxnSp macro="">
      <xdr:nvCxnSpPr>
        <xdr:cNvPr id="6" name="Connettore diritto 5">
          <a:extLst>
            <a:ext uri="{FF2B5EF4-FFF2-40B4-BE49-F238E27FC236}">
              <a16:creationId xmlns:a16="http://schemas.microsoft.com/office/drawing/2014/main" id="{50A193F3-715D-473C-A949-CCFBA6CD7D70}"/>
            </a:ext>
          </a:extLst>
        </xdr:cNvPr>
        <xdr:cNvCxnSpPr/>
      </xdr:nvCxnSpPr>
      <xdr:spPr>
        <a:xfrm>
          <a:off x="9589351" y="2246244"/>
          <a:ext cx="0" cy="316992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15481</xdr:colOff>
      <xdr:row>10</xdr:row>
      <xdr:rowOff>405</xdr:rowOff>
    </xdr:from>
    <xdr:to>
      <xdr:col>53</xdr:col>
      <xdr:colOff>15481</xdr:colOff>
      <xdr:row>33</xdr:row>
      <xdr:rowOff>151316</xdr:rowOff>
    </xdr:to>
    <xdr:cxnSp macro="">
      <xdr:nvCxnSpPr>
        <xdr:cNvPr id="7" name="Connettore diritto 6">
          <a:extLst>
            <a:ext uri="{FF2B5EF4-FFF2-40B4-BE49-F238E27FC236}">
              <a16:creationId xmlns:a16="http://schemas.microsoft.com/office/drawing/2014/main" id="{1466C36D-B08C-41DF-B6AF-7FF731461FEE}"/>
            </a:ext>
          </a:extLst>
        </xdr:cNvPr>
        <xdr:cNvCxnSpPr/>
      </xdr:nvCxnSpPr>
      <xdr:spPr>
        <a:xfrm flipH="1">
          <a:off x="13210113" y="1640265"/>
          <a:ext cx="0" cy="3635612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289289</xdr:colOff>
      <xdr:row>10</xdr:row>
      <xdr:rowOff>9960</xdr:rowOff>
    </xdr:from>
    <xdr:to>
      <xdr:col>53</xdr:col>
      <xdr:colOff>13744</xdr:colOff>
      <xdr:row>10</xdr:row>
      <xdr:rowOff>9960</xdr:rowOff>
    </xdr:to>
    <xdr:cxnSp macro="">
      <xdr:nvCxnSpPr>
        <xdr:cNvPr id="9" name="Connettore diritto 8">
          <a:extLst>
            <a:ext uri="{FF2B5EF4-FFF2-40B4-BE49-F238E27FC236}">
              <a16:creationId xmlns:a16="http://schemas.microsoft.com/office/drawing/2014/main" id="{A7F9E871-3300-485C-8639-399EE84EF2BA}"/>
            </a:ext>
          </a:extLst>
        </xdr:cNvPr>
        <xdr:cNvCxnSpPr/>
      </xdr:nvCxnSpPr>
      <xdr:spPr>
        <a:xfrm flipV="1">
          <a:off x="896897" y="1673411"/>
          <a:ext cx="12394572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155046</xdr:colOff>
      <xdr:row>38</xdr:row>
      <xdr:rowOff>63167</xdr:rowOff>
    </xdr:from>
    <xdr:to>
      <xdr:col>29</xdr:col>
      <xdr:colOff>88785</xdr:colOff>
      <xdr:row>50</xdr:row>
      <xdr:rowOff>95931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646B17F5-A4E4-48DE-B26E-35BD126D3F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225388</xdr:colOff>
      <xdr:row>26</xdr:row>
      <xdr:rowOff>96345</xdr:rowOff>
    </xdr:from>
    <xdr:to>
      <xdr:col>12</xdr:col>
      <xdr:colOff>225388</xdr:colOff>
      <xdr:row>35</xdr:row>
      <xdr:rowOff>20145</xdr:rowOff>
    </xdr:to>
    <xdr:cxnSp macro="">
      <xdr:nvCxnSpPr>
        <xdr:cNvPr id="12" name="Connettore diritto 11">
          <a:extLst>
            <a:ext uri="{FF2B5EF4-FFF2-40B4-BE49-F238E27FC236}">
              <a16:creationId xmlns:a16="http://schemas.microsoft.com/office/drawing/2014/main" id="{56BF25CC-5F95-4BB3-8284-C2A14F365D86}"/>
            </a:ext>
          </a:extLst>
        </xdr:cNvPr>
        <xdr:cNvCxnSpPr/>
      </xdr:nvCxnSpPr>
      <xdr:spPr>
        <a:xfrm>
          <a:off x="4135236" y="4184869"/>
          <a:ext cx="0" cy="129540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26894</xdr:colOff>
      <xdr:row>26</xdr:row>
      <xdr:rowOff>105104</xdr:rowOff>
    </xdr:from>
    <xdr:to>
      <xdr:col>13</xdr:col>
      <xdr:colOff>5255</xdr:colOff>
      <xdr:row>26</xdr:row>
      <xdr:rowOff>105104</xdr:rowOff>
    </xdr:to>
    <xdr:cxnSp macro="">
      <xdr:nvCxnSpPr>
        <xdr:cNvPr id="15" name="Connettore diritto 14">
          <a:extLst>
            <a:ext uri="{FF2B5EF4-FFF2-40B4-BE49-F238E27FC236}">
              <a16:creationId xmlns:a16="http://schemas.microsoft.com/office/drawing/2014/main" id="{E9F210D1-18A9-484A-8852-E3F35A5DD7F1}"/>
            </a:ext>
          </a:extLst>
        </xdr:cNvPr>
        <xdr:cNvCxnSpPr/>
      </xdr:nvCxnSpPr>
      <xdr:spPr>
        <a:xfrm flipV="1">
          <a:off x="1855694" y="4193628"/>
          <a:ext cx="2290637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3538</xdr:colOff>
      <xdr:row>21</xdr:row>
      <xdr:rowOff>95782</xdr:rowOff>
    </xdr:from>
    <xdr:to>
      <xdr:col>43</xdr:col>
      <xdr:colOff>8021</xdr:colOff>
      <xdr:row>34</xdr:row>
      <xdr:rowOff>50960</xdr:rowOff>
    </xdr:to>
    <xdr:cxnSp macro="">
      <xdr:nvCxnSpPr>
        <xdr:cNvPr id="19" name="Connettore diritto 18">
          <a:extLst>
            <a:ext uri="{FF2B5EF4-FFF2-40B4-BE49-F238E27FC236}">
              <a16:creationId xmlns:a16="http://schemas.microsoft.com/office/drawing/2014/main" id="{743FE7AC-0202-4290-8026-D7460FDCE63E}"/>
            </a:ext>
          </a:extLst>
        </xdr:cNvPr>
        <xdr:cNvCxnSpPr/>
      </xdr:nvCxnSpPr>
      <xdr:spPr>
        <a:xfrm flipH="1">
          <a:off x="10976338" y="3424519"/>
          <a:ext cx="4483" cy="1936378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3717</xdr:colOff>
      <xdr:row>21</xdr:row>
      <xdr:rowOff>106222</xdr:rowOff>
    </xdr:from>
    <xdr:to>
      <xdr:col>43</xdr:col>
      <xdr:colOff>5509</xdr:colOff>
      <xdr:row>21</xdr:row>
      <xdr:rowOff>106222</xdr:rowOff>
    </xdr:to>
    <xdr:cxnSp macro="">
      <xdr:nvCxnSpPr>
        <xdr:cNvPr id="21" name="Connettore diritto 20">
          <a:extLst>
            <a:ext uri="{FF2B5EF4-FFF2-40B4-BE49-F238E27FC236}">
              <a16:creationId xmlns:a16="http://schemas.microsoft.com/office/drawing/2014/main" id="{A9863DFE-D100-464E-BFCB-A6FD74AE41FE}"/>
            </a:ext>
          </a:extLst>
        </xdr:cNvPr>
        <xdr:cNvCxnSpPr/>
      </xdr:nvCxnSpPr>
      <xdr:spPr>
        <a:xfrm>
          <a:off x="613317" y="3423853"/>
          <a:ext cx="10364992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211015</xdr:colOff>
      <xdr:row>48</xdr:row>
      <xdr:rowOff>46893</xdr:rowOff>
    </xdr:from>
    <xdr:to>
      <xdr:col>29</xdr:col>
      <xdr:colOff>144754</xdr:colOff>
      <xdr:row>59</xdr:row>
      <xdr:rowOff>114826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C3DCF3C0-3E7C-4C84-91ED-9179F66CFE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105508</xdr:colOff>
      <xdr:row>28</xdr:row>
      <xdr:rowOff>111369</xdr:rowOff>
    </xdr:from>
    <xdr:to>
      <xdr:col>33</xdr:col>
      <xdr:colOff>13530</xdr:colOff>
      <xdr:row>28</xdr:row>
      <xdr:rowOff>111369</xdr:rowOff>
    </xdr:to>
    <xdr:cxnSp macro="">
      <xdr:nvCxnSpPr>
        <xdr:cNvPr id="24" name="Connettore diritto 23">
          <a:extLst>
            <a:ext uri="{FF2B5EF4-FFF2-40B4-BE49-F238E27FC236}">
              <a16:creationId xmlns:a16="http://schemas.microsoft.com/office/drawing/2014/main" id="{82F8CEFE-C742-4768-B01C-5DDEEF8E4829}"/>
            </a:ext>
          </a:extLst>
        </xdr:cNvPr>
        <xdr:cNvCxnSpPr/>
      </xdr:nvCxnSpPr>
      <xdr:spPr>
        <a:xfrm flipV="1">
          <a:off x="715108" y="4495800"/>
          <a:ext cx="7985222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274951</xdr:colOff>
      <xdr:row>3</xdr:row>
      <xdr:rowOff>11137</xdr:rowOff>
    </xdr:from>
    <xdr:to>
      <xdr:col>8</xdr:col>
      <xdr:colOff>177112</xdr:colOff>
      <xdr:row>3</xdr:row>
      <xdr:rowOff>11137</xdr:rowOff>
    </xdr:to>
    <xdr:cxnSp macro="">
      <xdr:nvCxnSpPr>
        <xdr:cNvPr id="27" name="Connettore diritto 26">
          <a:extLst>
            <a:ext uri="{FF2B5EF4-FFF2-40B4-BE49-F238E27FC236}">
              <a16:creationId xmlns:a16="http://schemas.microsoft.com/office/drawing/2014/main" id="{298959C0-D962-4DAF-B968-3A5A6CF5557A}"/>
            </a:ext>
          </a:extLst>
        </xdr:cNvPr>
        <xdr:cNvCxnSpPr/>
      </xdr:nvCxnSpPr>
      <xdr:spPr>
        <a:xfrm flipV="1">
          <a:off x="884551" y="556260"/>
          <a:ext cx="2264361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23448</xdr:colOff>
      <xdr:row>30</xdr:row>
      <xdr:rowOff>87927</xdr:rowOff>
    </xdr:from>
    <xdr:to>
      <xdr:col>13</xdr:col>
      <xdr:colOff>1809</xdr:colOff>
      <xdr:row>30</xdr:row>
      <xdr:rowOff>87927</xdr:rowOff>
    </xdr:to>
    <xdr:cxnSp macro="">
      <xdr:nvCxnSpPr>
        <xdr:cNvPr id="28" name="Connettore diritto 27">
          <a:extLst>
            <a:ext uri="{FF2B5EF4-FFF2-40B4-BE49-F238E27FC236}">
              <a16:creationId xmlns:a16="http://schemas.microsoft.com/office/drawing/2014/main" id="{DD844C19-6C0C-4F6A-8437-4667D8D3349D}"/>
            </a:ext>
          </a:extLst>
        </xdr:cNvPr>
        <xdr:cNvCxnSpPr/>
      </xdr:nvCxnSpPr>
      <xdr:spPr>
        <a:xfrm flipV="1">
          <a:off x="1852248" y="4777158"/>
          <a:ext cx="2264361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176893</xdr:colOff>
      <xdr:row>9</xdr:row>
      <xdr:rowOff>40821</xdr:rowOff>
    </xdr:from>
    <xdr:to>
      <xdr:col>40</xdr:col>
      <xdr:colOff>176893</xdr:colOff>
      <xdr:row>33</xdr:row>
      <xdr:rowOff>115583</xdr:rowOff>
    </xdr:to>
    <xdr:cxnSp macro="">
      <xdr:nvCxnSpPr>
        <xdr:cNvPr id="16" name="Connettore diritto 15">
          <a:extLst>
            <a:ext uri="{FF2B5EF4-FFF2-40B4-BE49-F238E27FC236}">
              <a16:creationId xmlns:a16="http://schemas.microsoft.com/office/drawing/2014/main" id="{9E0D1F65-AAE8-46A8-B03B-0E37BEF9622F}"/>
            </a:ext>
          </a:extLst>
        </xdr:cNvPr>
        <xdr:cNvCxnSpPr/>
      </xdr:nvCxnSpPr>
      <xdr:spPr>
        <a:xfrm flipV="1">
          <a:off x="10069286" y="1551214"/>
          <a:ext cx="0" cy="3667048"/>
        </a:xfrm>
        <a:prstGeom prst="line">
          <a:avLst/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149679</xdr:colOff>
      <xdr:row>12</xdr:row>
      <xdr:rowOff>136071</xdr:rowOff>
    </xdr:from>
    <xdr:to>
      <xdr:col>40</xdr:col>
      <xdr:colOff>192293</xdr:colOff>
      <xdr:row>12</xdr:row>
      <xdr:rowOff>136071</xdr:rowOff>
    </xdr:to>
    <xdr:cxnSp macro="">
      <xdr:nvCxnSpPr>
        <xdr:cNvPr id="18" name="Connettore diritto 17">
          <a:extLst>
            <a:ext uri="{FF2B5EF4-FFF2-40B4-BE49-F238E27FC236}">
              <a16:creationId xmlns:a16="http://schemas.microsoft.com/office/drawing/2014/main" id="{764623F7-D6F8-41C2-BE8F-96AC07229138}"/>
            </a:ext>
          </a:extLst>
        </xdr:cNvPr>
        <xdr:cNvCxnSpPr/>
      </xdr:nvCxnSpPr>
      <xdr:spPr>
        <a:xfrm>
          <a:off x="149679" y="2095500"/>
          <a:ext cx="9935007" cy="0"/>
        </a:xfrm>
        <a:prstGeom prst="line">
          <a:avLst/>
        </a:prstGeom>
        <a:ln w="28575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310244</xdr:colOff>
      <xdr:row>0</xdr:row>
      <xdr:rowOff>96624</xdr:rowOff>
    </xdr:from>
    <xdr:to>
      <xdr:col>104</xdr:col>
      <xdr:colOff>87923</xdr:colOff>
      <xdr:row>74</xdr:row>
      <xdr:rowOff>71437</xdr:rowOff>
    </xdr:to>
    <xdr:pic>
      <xdr:nvPicPr>
        <xdr:cNvPr id="28" name="Immagine 27">
          <a:extLst>
            <a:ext uri="{FF2B5EF4-FFF2-40B4-BE49-F238E27FC236}">
              <a16:creationId xmlns:a16="http://schemas.microsoft.com/office/drawing/2014/main" id="{4D0ECD21-8DA6-4191-942C-5E79C40CF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67994" y="96624"/>
          <a:ext cx="10398054" cy="6011282"/>
        </a:xfrm>
        <a:prstGeom prst="rect">
          <a:avLst/>
        </a:prstGeom>
      </xdr:spPr>
    </xdr:pic>
    <xdr:clientData/>
  </xdr:twoCellAnchor>
  <xdr:twoCellAnchor editAs="oneCell">
    <xdr:from>
      <xdr:col>8</xdr:col>
      <xdr:colOff>359418</xdr:colOff>
      <xdr:row>102</xdr:row>
      <xdr:rowOff>151650</xdr:rowOff>
    </xdr:from>
    <xdr:to>
      <xdr:col>104</xdr:col>
      <xdr:colOff>183173</xdr:colOff>
      <xdr:row>147</xdr:row>
      <xdr:rowOff>105101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999DE0FF-893E-47A3-8FFA-30972D330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24495" y="5646842"/>
          <a:ext cx="10865428" cy="3485028"/>
        </a:xfrm>
        <a:prstGeom prst="rect">
          <a:avLst/>
        </a:prstGeom>
      </xdr:spPr>
    </xdr:pic>
    <xdr:clientData/>
  </xdr:twoCellAnchor>
  <xdr:twoCellAnchor>
    <xdr:from>
      <xdr:col>70</xdr:col>
      <xdr:colOff>85633</xdr:colOff>
      <xdr:row>0</xdr:row>
      <xdr:rowOff>59530</xdr:rowOff>
    </xdr:from>
    <xdr:to>
      <xdr:col>70</xdr:col>
      <xdr:colOff>85633</xdr:colOff>
      <xdr:row>138</xdr:row>
      <xdr:rowOff>118261</xdr:rowOff>
    </xdr:to>
    <xdr:cxnSp macro="">
      <xdr:nvCxnSpPr>
        <xdr:cNvPr id="4" name="Connettore diritto 3">
          <a:extLst>
            <a:ext uri="{FF2B5EF4-FFF2-40B4-BE49-F238E27FC236}">
              <a16:creationId xmlns:a16="http://schemas.microsoft.com/office/drawing/2014/main" id="{4C832905-A2E8-427F-A9D7-4EA286FC51AE}"/>
            </a:ext>
          </a:extLst>
        </xdr:cNvPr>
        <xdr:cNvCxnSpPr/>
      </xdr:nvCxnSpPr>
      <xdr:spPr>
        <a:xfrm>
          <a:off x="11442364" y="59530"/>
          <a:ext cx="0" cy="108000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11147</xdr:colOff>
      <xdr:row>0</xdr:row>
      <xdr:rowOff>60732</xdr:rowOff>
    </xdr:from>
    <xdr:to>
      <xdr:col>80</xdr:col>
      <xdr:colOff>11147</xdr:colOff>
      <xdr:row>138</xdr:row>
      <xdr:rowOff>55169</xdr:rowOff>
    </xdr:to>
    <xdr:cxnSp macro="">
      <xdr:nvCxnSpPr>
        <xdr:cNvPr id="7" name="Connettore diritto 6">
          <a:extLst>
            <a:ext uri="{FF2B5EF4-FFF2-40B4-BE49-F238E27FC236}">
              <a16:creationId xmlns:a16="http://schemas.microsoft.com/office/drawing/2014/main" id="{AA5DE20F-3607-4B9C-9156-3ECB68BE8932}"/>
            </a:ext>
          </a:extLst>
        </xdr:cNvPr>
        <xdr:cNvCxnSpPr/>
      </xdr:nvCxnSpPr>
      <xdr:spPr>
        <a:xfrm>
          <a:off x="12092858" y="60732"/>
          <a:ext cx="0" cy="6782253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0</xdr:colOff>
      <xdr:row>3</xdr:row>
      <xdr:rowOff>0</xdr:rowOff>
    </xdr:from>
    <xdr:to>
      <xdr:col>32</xdr:col>
      <xdr:colOff>0</xdr:colOff>
      <xdr:row>145</xdr:row>
      <xdr:rowOff>3962</xdr:rowOff>
    </xdr:to>
    <xdr:cxnSp macro="">
      <xdr:nvCxnSpPr>
        <xdr:cNvPr id="8" name="Connettore diritto 7">
          <a:extLst>
            <a:ext uri="{FF2B5EF4-FFF2-40B4-BE49-F238E27FC236}">
              <a16:creationId xmlns:a16="http://schemas.microsoft.com/office/drawing/2014/main" id="{E7D7F0B3-2279-4824-A9D3-334A38A7A95F}"/>
            </a:ext>
          </a:extLst>
        </xdr:cNvPr>
        <xdr:cNvCxnSpPr/>
      </xdr:nvCxnSpPr>
      <xdr:spPr>
        <a:xfrm>
          <a:off x="8011886" y="544286"/>
          <a:ext cx="0" cy="6861962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0</xdr:colOff>
      <xdr:row>3</xdr:row>
      <xdr:rowOff>28575</xdr:rowOff>
    </xdr:from>
    <xdr:to>
      <xdr:col>40</xdr:col>
      <xdr:colOff>0</xdr:colOff>
      <xdr:row>145</xdr:row>
      <xdr:rowOff>32537</xdr:rowOff>
    </xdr:to>
    <xdr:cxnSp macro="">
      <xdr:nvCxnSpPr>
        <xdr:cNvPr id="9" name="Connettore diritto 8">
          <a:extLst>
            <a:ext uri="{FF2B5EF4-FFF2-40B4-BE49-F238E27FC236}">
              <a16:creationId xmlns:a16="http://schemas.microsoft.com/office/drawing/2014/main" id="{2D409CAB-E663-4F1B-A4C5-AB02BC9EE5B8}"/>
            </a:ext>
          </a:extLst>
        </xdr:cNvPr>
        <xdr:cNvCxnSpPr/>
      </xdr:nvCxnSpPr>
      <xdr:spPr>
        <a:xfrm>
          <a:off x="8667750" y="571500"/>
          <a:ext cx="0" cy="6861962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20189</xdr:colOff>
      <xdr:row>3</xdr:row>
      <xdr:rowOff>9525</xdr:rowOff>
    </xdr:from>
    <xdr:to>
      <xdr:col>50</xdr:col>
      <xdr:colOff>20189</xdr:colOff>
      <xdr:row>145</xdr:row>
      <xdr:rowOff>13487</xdr:rowOff>
    </xdr:to>
    <xdr:cxnSp macro="">
      <xdr:nvCxnSpPr>
        <xdr:cNvPr id="10" name="Connettore diritto 9">
          <a:extLst>
            <a:ext uri="{FF2B5EF4-FFF2-40B4-BE49-F238E27FC236}">
              <a16:creationId xmlns:a16="http://schemas.microsoft.com/office/drawing/2014/main" id="{6A3B6189-B388-45A0-B8D1-2BAB4DECEC98}"/>
            </a:ext>
          </a:extLst>
        </xdr:cNvPr>
        <xdr:cNvCxnSpPr/>
      </xdr:nvCxnSpPr>
      <xdr:spPr>
        <a:xfrm>
          <a:off x="9426127" y="551259"/>
          <a:ext cx="0" cy="1121965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582494</xdr:colOff>
      <xdr:row>15</xdr:row>
      <xdr:rowOff>70789</xdr:rowOff>
    </xdr:from>
    <xdr:to>
      <xdr:col>32</xdr:col>
      <xdr:colOff>4602</xdr:colOff>
      <xdr:row>15</xdr:row>
      <xdr:rowOff>70789</xdr:rowOff>
    </xdr:to>
    <xdr:cxnSp macro="">
      <xdr:nvCxnSpPr>
        <xdr:cNvPr id="13" name="Connettore diritto 12">
          <a:extLst>
            <a:ext uri="{FF2B5EF4-FFF2-40B4-BE49-F238E27FC236}">
              <a16:creationId xmlns:a16="http://schemas.microsoft.com/office/drawing/2014/main" id="{AC279D32-1093-4079-91E4-BC95B2801463}"/>
            </a:ext>
          </a:extLst>
        </xdr:cNvPr>
        <xdr:cNvCxnSpPr/>
      </xdr:nvCxnSpPr>
      <xdr:spPr>
        <a:xfrm>
          <a:off x="2406898" y="1492212"/>
          <a:ext cx="5613358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405492</xdr:colOff>
      <xdr:row>18</xdr:row>
      <xdr:rowOff>50184</xdr:rowOff>
    </xdr:from>
    <xdr:to>
      <xdr:col>50</xdr:col>
      <xdr:colOff>12701</xdr:colOff>
      <xdr:row>18</xdr:row>
      <xdr:rowOff>50184</xdr:rowOff>
    </xdr:to>
    <xdr:cxnSp macro="">
      <xdr:nvCxnSpPr>
        <xdr:cNvPr id="14" name="Connettore diritto 13">
          <a:extLst>
            <a:ext uri="{FF2B5EF4-FFF2-40B4-BE49-F238E27FC236}">
              <a16:creationId xmlns:a16="http://schemas.microsoft.com/office/drawing/2014/main" id="{A3B1E89A-EC12-489A-B2FF-183F825BD953}"/>
            </a:ext>
          </a:extLst>
        </xdr:cNvPr>
        <xdr:cNvCxnSpPr/>
      </xdr:nvCxnSpPr>
      <xdr:spPr>
        <a:xfrm>
          <a:off x="4048805" y="1752778"/>
          <a:ext cx="5369834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523739</xdr:colOff>
      <xdr:row>29</xdr:row>
      <xdr:rowOff>37868</xdr:rowOff>
    </xdr:from>
    <xdr:to>
      <xdr:col>80</xdr:col>
      <xdr:colOff>23142</xdr:colOff>
      <xdr:row>29</xdr:row>
      <xdr:rowOff>37868</xdr:rowOff>
    </xdr:to>
    <xdr:cxnSp macro="">
      <xdr:nvCxnSpPr>
        <xdr:cNvPr id="16" name="Connettore diritto 15">
          <a:extLst>
            <a:ext uri="{FF2B5EF4-FFF2-40B4-BE49-F238E27FC236}">
              <a16:creationId xmlns:a16="http://schemas.microsoft.com/office/drawing/2014/main" id="{92292C84-9A23-4A32-8B5E-2E790F4B0CD4}"/>
            </a:ext>
          </a:extLst>
        </xdr:cNvPr>
        <xdr:cNvCxnSpPr/>
      </xdr:nvCxnSpPr>
      <xdr:spPr>
        <a:xfrm>
          <a:off x="4774270" y="2591759"/>
          <a:ext cx="7155122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197683</xdr:colOff>
      <xdr:row>24</xdr:row>
      <xdr:rowOff>35366</xdr:rowOff>
    </xdr:from>
    <xdr:to>
      <xdr:col>70</xdr:col>
      <xdr:colOff>13061</xdr:colOff>
      <xdr:row>24</xdr:row>
      <xdr:rowOff>35366</xdr:rowOff>
    </xdr:to>
    <xdr:cxnSp macro="">
      <xdr:nvCxnSpPr>
        <xdr:cNvPr id="17" name="Connettore diritto 16">
          <a:extLst>
            <a:ext uri="{FF2B5EF4-FFF2-40B4-BE49-F238E27FC236}">
              <a16:creationId xmlns:a16="http://schemas.microsoft.com/office/drawing/2014/main" id="{9284BA1D-709C-4BA2-ADAC-26405AEC7146}"/>
            </a:ext>
          </a:extLst>
        </xdr:cNvPr>
        <xdr:cNvCxnSpPr/>
      </xdr:nvCxnSpPr>
      <xdr:spPr>
        <a:xfrm>
          <a:off x="3846491" y="2116212"/>
          <a:ext cx="7523301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344011</xdr:colOff>
      <xdr:row>38</xdr:row>
      <xdr:rowOff>30030</xdr:rowOff>
    </xdr:from>
    <xdr:to>
      <xdr:col>93</xdr:col>
      <xdr:colOff>7082</xdr:colOff>
      <xdr:row>38</xdr:row>
      <xdr:rowOff>30030</xdr:rowOff>
    </xdr:to>
    <xdr:cxnSp macro="">
      <xdr:nvCxnSpPr>
        <xdr:cNvPr id="18" name="Connettore diritto 17">
          <a:extLst>
            <a:ext uri="{FF2B5EF4-FFF2-40B4-BE49-F238E27FC236}">
              <a16:creationId xmlns:a16="http://schemas.microsoft.com/office/drawing/2014/main" id="{538D8043-8FCE-461C-860D-1BC6D2ABE322}"/>
            </a:ext>
          </a:extLst>
        </xdr:cNvPr>
        <xdr:cNvCxnSpPr/>
      </xdr:nvCxnSpPr>
      <xdr:spPr>
        <a:xfrm>
          <a:off x="3987324" y="3280436"/>
          <a:ext cx="9009477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93</xdr:col>
      <xdr:colOff>0</xdr:colOff>
      <xdr:row>9</xdr:row>
      <xdr:rowOff>1</xdr:rowOff>
    </xdr:from>
    <xdr:to>
      <xdr:col>93</xdr:col>
      <xdr:colOff>0</xdr:colOff>
      <xdr:row>148</xdr:row>
      <xdr:rowOff>1007</xdr:rowOff>
    </xdr:to>
    <xdr:cxnSp macro="">
      <xdr:nvCxnSpPr>
        <xdr:cNvPr id="19" name="Connettore diritto 18">
          <a:extLst>
            <a:ext uri="{FF2B5EF4-FFF2-40B4-BE49-F238E27FC236}">
              <a16:creationId xmlns:a16="http://schemas.microsoft.com/office/drawing/2014/main" id="{07F32985-2D24-4717-870B-D53F88697F61}"/>
            </a:ext>
          </a:extLst>
        </xdr:cNvPr>
        <xdr:cNvCxnSpPr/>
      </xdr:nvCxnSpPr>
      <xdr:spPr>
        <a:xfrm>
          <a:off x="13197052" y="1018191"/>
          <a:ext cx="0" cy="7069213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52552</xdr:colOff>
      <xdr:row>124</xdr:row>
      <xdr:rowOff>26276</xdr:rowOff>
    </xdr:from>
    <xdr:to>
      <xdr:col>32</xdr:col>
      <xdr:colOff>2262</xdr:colOff>
      <xdr:row>124</xdr:row>
      <xdr:rowOff>26276</xdr:rowOff>
    </xdr:to>
    <xdr:cxnSp macro="">
      <xdr:nvCxnSpPr>
        <xdr:cNvPr id="20" name="Connettore diritto 19">
          <a:extLst>
            <a:ext uri="{FF2B5EF4-FFF2-40B4-BE49-F238E27FC236}">
              <a16:creationId xmlns:a16="http://schemas.microsoft.com/office/drawing/2014/main" id="{97A68810-9614-48A7-89FC-3F538C28273C}"/>
            </a:ext>
          </a:extLst>
        </xdr:cNvPr>
        <xdr:cNvCxnSpPr/>
      </xdr:nvCxnSpPr>
      <xdr:spPr>
        <a:xfrm>
          <a:off x="2496207" y="5997466"/>
          <a:ext cx="5493917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124810</xdr:colOff>
      <xdr:row>122</xdr:row>
      <xdr:rowOff>6569</xdr:rowOff>
    </xdr:from>
    <xdr:to>
      <xdr:col>40</xdr:col>
      <xdr:colOff>2262</xdr:colOff>
      <xdr:row>122</xdr:row>
      <xdr:rowOff>6569</xdr:rowOff>
    </xdr:to>
    <xdr:cxnSp macro="">
      <xdr:nvCxnSpPr>
        <xdr:cNvPr id="21" name="Connettore diritto 20">
          <a:extLst>
            <a:ext uri="{FF2B5EF4-FFF2-40B4-BE49-F238E27FC236}">
              <a16:creationId xmlns:a16="http://schemas.microsoft.com/office/drawing/2014/main" id="{D2A326AA-8A42-4F19-86D4-5DD96A76C7FF}"/>
            </a:ext>
          </a:extLst>
        </xdr:cNvPr>
        <xdr:cNvCxnSpPr/>
      </xdr:nvCxnSpPr>
      <xdr:spPr>
        <a:xfrm>
          <a:off x="3179379" y="5820103"/>
          <a:ext cx="5493917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374431</xdr:colOff>
      <xdr:row>119</xdr:row>
      <xdr:rowOff>52551</xdr:rowOff>
    </xdr:from>
    <xdr:to>
      <xdr:col>50</xdr:col>
      <xdr:colOff>8831</xdr:colOff>
      <xdr:row>119</xdr:row>
      <xdr:rowOff>52551</xdr:rowOff>
    </xdr:to>
    <xdr:cxnSp macro="">
      <xdr:nvCxnSpPr>
        <xdr:cNvPr id="22" name="Connettore diritto 21">
          <a:extLst>
            <a:ext uri="{FF2B5EF4-FFF2-40B4-BE49-F238E27FC236}">
              <a16:creationId xmlns:a16="http://schemas.microsoft.com/office/drawing/2014/main" id="{16C65D4D-B36C-49E2-9AF5-F2E0E27A68B7}"/>
            </a:ext>
          </a:extLst>
        </xdr:cNvPr>
        <xdr:cNvCxnSpPr/>
      </xdr:nvCxnSpPr>
      <xdr:spPr>
        <a:xfrm>
          <a:off x="4039914" y="5629603"/>
          <a:ext cx="5493917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604345</xdr:colOff>
      <xdr:row>117</xdr:row>
      <xdr:rowOff>26275</xdr:rowOff>
    </xdr:from>
    <xdr:to>
      <xdr:col>59</xdr:col>
      <xdr:colOff>81090</xdr:colOff>
      <xdr:row>117</xdr:row>
      <xdr:rowOff>26275</xdr:rowOff>
    </xdr:to>
    <xdr:cxnSp macro="">
      <xdr:nvCxnSpPr>
        <xdr:cNvPr id="23" name="Connettore diritto 22">
          <a:extLst>
            <a:ext uri="{FF2B5EF4-FFF2-40B4-BE49-F238E27FC236}">
              <a16:creationId xmlns:a16="http://schemas.microsoft.com/office/drawing/2014/main" id="{FD3793E3-2A1D-401A-985D-F44EE3360885}"/>
            </a:ext>
          </a:extLst>
        </xdr:cNvPr>
        <xdr:cNvCxnSpPr/>
      </xdr:nvCxnSpPr>
      <xdr:spPr>
        <a:xfrm>
          <a:off x="4880742" y="5445672"/>
          <a:ext cx="5493917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354697</xdr:colOff>
      <xdr:row>112</xdr:row>
      <xdr:rowOff>39413</xdr:rowOff>
    </xdr:from>
    <xdr:to>
      <xdr:col>90</xdr:col>
      <xdr:colOff>13835</xdr:colOff>
      <xdr:row>112</xdr:row>
      <xdr:rowOff>39413</xdr:rowOff>
    </xdr:to>
    <xdr:cxnSp macro="">
      <xdr:nvCxnSpPr>
        <xdr:cNvPr id="24" name="Connettore diritto 23">
          <a:extLst>
            <a:ext uri="{FF2B5EF4-FFF2-40B4-BE49-F238E27FC236}">
              <a16:creationId xmlns:a16="http://schemas.microsoft.com/office/drawing/2014/main" id="{130AFDAD-069C-4136-AFAE-AE0BB02A51F2}"/>
            </a:ext>
          </a:extLst>
        </xdr:cNvPr>
        <xdr:cNvCxnSpPr/>
      </xdr:nvCxnSpPr>
      <xdr:spPr>
        <a:xfrm>
          <a:off x="354697" y="5064672"/>
          <a:ext cx="12600000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216776</xdr:colOff>
      <xdr:row>113</xdr:row>
      <xdr:rowOff>59121</xdr:rowOff>
    </xdr:from>
    <xdr:to>
      <xdr:col>80</xdr:col>
      <xdr:colOff>42620</xdr:colOff>
      <xdr:row>113</xdr:row>
      <xdr:rowOff>59121</xdr:rowOff>
    </xdr:to>
    <xdr:cxnSp macro="">
      <xdr:nvCxnSpPr>
        <xdr:cNvPr id="25" name="Connettore diritto 24">
          <a:extLst>
            <a:ext uri="{FF2B5EF4-FFF2-40B4-BE49-F238E27FC236}">
              <a16:creationId xmlns:a16="http://schemas.microsoft.com/office/drawing/2014/main" id="{B2D3A152-4938-48F7-8DF7-7E2C14947560}"/>
            </a:ext>
          </a:extLst>
        </xdr:cNvPr>
        <xdr:cNvCxnSpPr/>
      </xdr:nvCxnSpPr>
      <xdr:spPr>
        <a:xfrm>
          <a:off x="2049517" y="5163207"/>
          <a:ext cx="10080000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551793</xdr:colOff>
      <xdr:row>115</xdr:row>
      <xdr:rowOff>19707</xdr:rowOff>
    </xdr:from>
    <xdr:to>
      <xdr:col>70</xdr:col>
      <xdr:colOff>9776</xdr:colOff>
      <xdr:row>115</xdr:row>
      <xdr:rowOff>19707</xdr:rowOff>
    </xdr:to>
    <xdr:cxnSp macro="">
      <xdr:nvCxnSpPr>
        <xdr:cNvPr id="26" name="Connettore diritto 25">
          <a:extLst>
            <a:ext uri="{FF2B5EF4-FFF2-40B4-BE49-F238E27FC236}">
              <a16:creationId xmlns:a16="http://schemas.microsoft.com/office/drawing/2014/main" id="{84823FA6-7BB7-4E1C-9E1E-FD240D6916E6}"/>
            </a:ext>
          </a:extLst>
        </xdr:cNvPr>
        <xdr:cNvCxnSpPr/>
      </xdr:nvCxnSpPr>
      <xdr:spPr>
        <a:xfrm>
          <a:off x="1162707" y="5281448"/>
          <a:ext cx="10080000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599063</xdr:colOff>
      <xdr:row>112</xdr:row>
      <xdr:rowOff>14450</xdr:rowOff>
    </xdr:from>
    <xdr:to>
      <xdr:col>93</xdr:col>
      <xdr:colOff>2011</xdr:colOff>
      <xdr:row>112</xdr:row>
      <xdr:rowOff>14450</xdr:rowOff>
    </xdr:to>
    <xdr:cxnSp macro="">
      <xdr:nvCxnSpPr>
        <xdr:cNvPr id="27" name="Connettore diritto 26">
          <a:extLst>
            <a:ext uri="{FF2B5EF4-FFF2-40B4-BE49-F238E27FC236}">
              <a16:creationId xmlns:a16="http://schemas.microsoft.com/office/drawing/2014/main" id="{12016163-FDC8-4D0F-80F6-7CC4824C759A}"/>
            </a:ext>
          </a:extLst>
        </xdr:cNvPr>
        <xdr:cNvCxnSpPr/>
      </xdr:nvCxnSpPr>
      <xdr:spPr>
        <a:xfrm>
          <a:off x="599063" y="5039709"/>
          <a:ext cx="12600000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178593</xdr:colOff>
      <xdr:row>17</xdr:row>
      <xdr:rowOff>5953</xdr:rowOff>
    </xdr:from>
    <xdr:to>
      <xdr:col>40</xdr:col>
      <xdr:colOff>12021</xdr:colOff>
      <xdr:row>17</xdr:row>
      <xdr:rowOff>5953</xdr:rowOff>
    </xdr:to>
    <xdr:cxnSp macro="">
      <xdr:nvCxnSpPr>
        <xdr:cNvPr id="29" name="Connettore diritto 28">
          <a:extLst>
            <a:ext uri="{FF2B5EF4-FFF2-40B4-BE49-F238E27FC236}">
              <a16:creationId xmlns:a16="http://schemas.microsoft.com/office/drawing/2014/main" id="{E46EE000-3128-4281-9AA4-A91D4992C985}"/>
            </a:ext>
          </a:extLst>
        </xdr:cNvPr>
        <xdr:cNvCxnSpPr/>
      </xdr:nvCxnSpPr>
      <xdr:spPr>
        <a:xfrm>
          <a:off x="3214687" y="1631156"/>
          <a:ext cx="5369834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772</xdr:colOff>
      <xdr:row>21</xdr:row>
      <xdr:rowOff>8805</xdr:rowOff>
    </xdr:from>
    <xdr:to>
      <xdr:col>60</xdr:col>
      <xdr:colOff>42369</xdr:colOff>
      <xdr:row>21</xdr:row>
      <xdr:rowOff>8805</xdr:rowOff>
    </xdr:to>
    <xdr:cxnSp macro="">
      <xdr:nvCxnSpPr>
        <xdr:cNvPr id="30" name="Connettore diritto 29">
          <a:extLst>
            <a:ext uri="{FF2B5EF4-FFF2-40B4-BE49-F238E27FC236}">
              <a16:creationId xmlns:a16="http://schemas.microsoft.com/office/drawing/2014/main" id="{53C9506A-2657-4051-85CB-FF7ED976DF31}"/>
            </a:ext>
          </a:extLst>
        </xdr:cNvPr>
        <xdr:cNvCxnSpPr/>
      </xdr:nvCxnSpPr>
      <xdr:spPr>
        <a:xfrm>
          <a:off x="3036866" y="1943571"/>
          <a:ext cx="7244878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496411</xdr:colOff>
      <xdr:row>36</xdr:row>
      <xdr:rowOff>45512</xdr:rowOff>
    </xdr:from>
    <xdr:to>
      <xdr:col>94</xdr:col>
      <xdr:colOff>76138</xdr:colOff>
      <xdr:row>36</xdr:row>
      <xdr:rowOff>45512</xdr:rowOff>
    </xdr:to>
    <xdr:cxnSp macro="">
      <xdr:nvCxnSpPr>
        <xdr:cNvPr id="31" name="Connettore diritto 30">
          <a:extLst>
            <a:ext uri="{FF2B5EF4-FFF2-40B4-BE49-F238E27FC236}">
              <a16:creationId xmlns:a16="http://schemas.microsoft.com/office/drawing/2014/main" id="{D6471605-D827-4C68-8247-927FD495C544}"/>
            </a:ext>
          </a:extLst>
        </xdr:cNvPr>
        <xdr:cNvCxnSpPr/>
      </xdr:nvCxnSpPr>
      <xdr:spPr>
        <a:xfrm>
          <a:off x="4139724" y="3141137"/>
          <a:ext cx="9009477" cy="0"/>
        </a:xfrm>
        <a:prstGeom prst="line">
          <a:avLst/>
        </a:prstGeom>
        <a:ln w="285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110656</xdr:colOff>
      <xdr:row>1</xdr:row>
      <xdr:rowOff>112104</xdr:rowOff>
    </xdr:from>
    <xdr:to>
      <xdr:col>19</xdr:col>
      <xdr:colOff>355821</xdr:colOff>
      <xdr:row>15</xdr:row>
      <xdr:rowOff>188304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6CF0D456-28AE-4AC0-BE4E-D0C130189A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343678</xdr:colOff>
      <xdr:row>18</xdr:row>
      <xdr:rowOff>158344</xdr:rowOff>
    </xdr:from>
    <xdr:to>
      <xdr:col>19</xdr:col>
      <xdr:colOff>40344</xdr:colOff>
      <xdr:row>33</xdr:row>
      <xdr:rowOff>42388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27565A9B-ECCB-4C12-AAFE-4B2D047FDC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285751</xdr:colOff>
      <xdr:row>36</xdr:row>
      <xdr:rowOff>43962</xdr:rowOff>
    </xdr:from>
    <xdr:to>
      <xdr:col>18</xdr:col>
      <xdr:colOff>590551</xdr:colOff>
      <xdr:row>50</xdr:row>
      <xdr:rowOff>120162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92978BCD-66A6-4699-9EE2-2AE105041D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159025</xdr:colOff>
      <xdr:row>18</xdr:row>
      <xdr:rowOff>165653</xdr:rowOff>
    </xdr:from>
    <xdr:to>
      <xdr:col>26</xdr:col>
      <xdr:colOff>465291</xdr:colOff>
      <xdr:row>33</xdr:row>
      <xdr:rowOff>51602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31B22758-946D-40BA-B8EA-8703F89EB5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147679</xdr:colOff>
      <xdr:row>36</xdr:row>
      <xdr:rowOff>112643</xdr:rowOff>
    </xdr:from>
    <xdr:to>
      <xdr:col>26</xdr:col>
      <xdr:colOff>452479</xdr:colOff>
      <xdr:row>50</xdr:row>
      <xdr:rowOff>152400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7A5BC127-3EEB-46B2-994C-6A0427674E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41564</xdr:colOff>
      <xdr:row>18</xdr:row>
      <xdr:rowOff>152401</xdr:rowOff>
    </xdr:from>
    <xdr:to>
      <xdr:col>34</xdr:col>
      <xdr:colOff>347830</xdr:colOff>
      <xdr:row>33</xdr:row>
      <xdr:rowOff>38350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A16BE952-809B-4A92-BD2D-D59670D3BB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527678</xdr:colOff>
      <xdr:row>3</xdr:row>
      <xdr:rowOff>146479</xdr:rowOff>
    </xdr:from>
    <xdr:to>
      <xdr:col>66</xdr:col>
      <xdr:colOff>41672</xdr:colOff>
      <xdr:row>37</xdr:row>
      <xdr:rowOff>21771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47D938FB-5221-480B-A7B6-14B1511B8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66078" y="717979"/>
          <a:ext cx="7759923" cy="4218692"/>
        </a:xfrm>
        <a:prstGeom prst="rect">
          <a:avLst/>
        </a:prstGeom>
      </xdr:spPr>
    </xdr:pic>
    <xdr:clientData/>
  </xdr:twoCellAnchor>
  <xdr:twoCellAnchor editAs="oneCell">
    <xdr:from>
      <xdr:col>4</xdr:col>
      <xdr:colOff>518260</xdr:colOff>
      <xdr:row>37</xdr:row>
      <xdr:rowOff>131655</xdr:rowOff>
    </xdr:from>
    <xdr:to>
      <xdr:col>66</xdr:col>
      <xdr:colOff>47101</xdr:colOff>
      <xdr:row>81</xdr:row>
      <xdr:rowOff>108857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15A35C12-BDDC-4DAA-9F88-22CA7DD50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56660" y="5046555"/>
          <a:ext cx="7774770" cy="5463602"/>
        </a:xfrm>
        <a:prstGeom prst="rect">
          <a:avLst/>
        </a:prstGeom>
      </xdr:spPr>
    </xdr:pic>
    <xdr:clientData/>
  </xdr:twoCellAnchor>
  <xdr:twoCellAnchor>
    <xdr:from>
      <xdr:col>14</xdr:col>
      <xdr:colOff>5507</xdr:colOff>
      <xdr:row>1</xdr:row>
      <xdr:rowOff>106630</xdr:rowOff>
    </xdr:from>
    <xdr:to>
      <xdr:col>14</xdr:col>
      <xdr:colOff>5507</xdr:colOff>
      <xdr:row>96</xdr:row>
      <xdr:rowOff>9130</xdr:rowOff>
    </xdr:to>
    <xdr:cxnSp macro="">
      <xdr:nvCxnSpPr>
        <xdr:cNvPr id="5" name="Connettore diritto 4">
          <a:extLst>
            <a:ext uri="{FF2B5EF4-FFF2-40B4-BE49-F238E27FC236}">
              <a16:creationId xmlns:a16="http://schemas.microsoft.com/office/drawing/2014/main" id="{E1419A6B-90CE-4BD6-B442-F825FB139483}"/>
            </a:ext>
          </a:extLst>
        </xdr:cNvPr>
        <xdr:cNvCxnSpPr/>
      </xdr:nvCxnSpPr>
      <xdr:spPr>
        <a:xfrm>
          <a:off x="4191494" y="297130"/>
          <a:ext cx="0" cy="180000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122</xdr:colOff>
      <xdr:row>1</xdr:row>
      <xdr:rowOff>101174</xdr:rowOff>
    </xdr:from>
    <xdr:to>
      <xdr:col>19</xdr:col>
      <xdr:colOff>122</xdr:colOff>
      <xdr:row>9</xdr:row>
      <xdr:rowOff>24974</xdr:rowOff>
    </xdr:to>
    <xdr:cxnSp macro="">
      <xdr:nvCxnSpPr>
        <xdr:cNvPr id="6" name="Connettore diritto 5">
          <a:extLst>
            <a:ext uri="{FF2B5EF4-FFF2-40B4-BE49-F238E27FC236}">
              <a16:creationId xmlns:a16="http://schemas.microsoft.com/office/drawing/2014/main" id="{5EFFD0C8-D922-4E64-B8EC-53904CDB5B28}"/>
            </a:ext>
          </a:extLst>
        </xdr:cNvPr>
        <xdr:cNvCxnSpPr/>
      </xdr:nvCxnSpPr>
      <xdr:spPr>
        <a:xfrm>
          <a:off x="4802036" y="291674"/>
          <a:ext cx="0" cy="14478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1604</xdr:colOff>
      <xdr:row>1</xdr:row>
      <xdr:rowOff>111693</xdr:rowOff>
    </xdr:from>
    <xdr:to>
      <xdr:col>34</xdr:col>
      <xdr:colOff>1604</xdr:colOff>
      <xdr:row>96</xdr:row>
      <xdr:rowOff>14193</xdr:rowOff>
    </xdr:to>
    <xdr:cxnSp macro="">
      <xdr:nvCxnSpPr>
        <xdr:cNvPr id="8" name="Connettore diritto 7">
          <a:extLst>
            <a:ext uri="{FF2B5EF4-FFF2-40B4-BE49-F238E27FC236}">
              <a16:creationId xmlns:a16="http://schemas.microsoft.com/office/drawing/2014/main" id="{E5F37C6A-6093-4110-8312-3B8C20AFAB66}"/>
            </a:ext>
          </a:extLst>
        </xdr:cNvPr>
        <xdr:cNvCxnSpPr/>
      </xdr:nvCxnSpPr>
      <xdr:spPr>
        <a:xfrm>
          <a:off x="6694170" y="302193"/>
          <a:ext cx="0" cy="180000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118241</xdr:colOff>
      <xdr:row>1</xdr:row>
      <xdr:rowOff>107157</xdr:rowOff>
    </xdr:from>
    <xdr:to>
      <xdr:col>48</xdr:col>
      <xdr:colOff>118241</xdr:colOff>
      <xdr:row>96</xdr:row>
      <xdr:rowOff>9657</xdr:rowOff>
    </xdr:to>
    <xdr:cxnSp macro="">
      <xdr:nvCxnSpPr>
        <xdr:cNvPr id="9" name="Connettore diritto 8">
          <a:extLst>
            <a:ext uri="{FF2B5EF4-FFF2-40B4-BE49-F238E27FC236}">
              <a16:creationId xmlns:a16="http://schemas.microsoft.com/office/drawing/2014/main" id="{F5EEFFBF-ADC0-4926-9CD5-614BF68B0947}"/>
            </a:ext>
          </a:extLst>
        </xdr:cNvPr>
        <xdr:cNvCxnSpPr/>
      </xdr:nvCxnSpPr>
      <xdr:spPr>
        <a:xfrm>
          <a:off x="8539655" y="297657"/>
          <a:ext cx="0" cy="180000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610913</xdr:colOff>
      <xdr:row>39</xdr:row>
      <xdr:rowOff>0</xdr:rowOff>
    </xdr:from>
    <xdr:to>
      <xdr:col>2</xdr:col>
      <xdr:colOff>610913</xdr:colOff>
      <xdr:row>133</xdr:row>
      <xdr:rowOff>93000</xdr:rowOff>
    </xdr:to>
    <xdr:cxnSp macro="">
      <xdr:nvCxnSpPr>
        <xdr:cNvPr id="10" name="Connettore diritto 9">
          <a:extLst>
            <a:ext uri="{FF2B5EF4-FFF2-40B4-BE49-F238E27FC236}">
              <a16:creationId xmlns:a16="http://schemas.microsoft.com/office/drawing/2014/main" id="{12982F93-B58C-4863-AD33-B356582930DA}"/>
            </a:ext>
          </a:extLst>
        </xdr:cNvPr>
        <xdr:cNvCxnSpPr/>
      </xdr:nvCxnSpPr>
      <xdr:spPr>
        <a:xfrm>
          <a:off x="1832741" y="7429500"/>
          <a:ext cx="0" cy="180000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0</xdr:colOff>
      <xdr:row>1</xdr:row>
      <xdr:rowOff>65671</xdr:rowOff>
    </xdr:from>
    <xdr:to>
      <xdr:col>42</xdr:col>
      <xdr:colOff>0</xdr:colOff>
      <xdr:row>95</xdr:row>
      <xdr:rowOff>158671</xdr:rowOff>
    </xdr:to>
    <xdr:cxnSp macro="">
      <xdr:nvCxnSpPr>
        <xdr:cNvPr id="11" name="Connettore diritto 10">
          <a:extLst>
            <a:ext uri="{FF2B5EF4-FFF2-40B4-BE49-F238E27FC236}">
              <a16:creationId xmlns:a16="http://schemas.microsoft.com/office/drawing/2014/main" id="{12475C81-FAEB-4821-8809-69F764E8863E}"/>
            </a:ext>
          </a:extLst>
        </xdr:cNvPr>
        <xdr:cNvCxnSpPr/>
      </xdr:nvCxnSpPr>
      <xdr:spPr>
        <a:xfrm>
          <a:off x="7672552" y="256171"/>
          <a:ext cx="0" cy="180000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3810</xdr:colOff>
      <xdr:row>1</xdr:row>
      <xdr:rowOff>134139</xdr:rowOff>
    </xdr:from>
    <xdr:to>
      <xdr:col>29</xdr:col>
      <xdr:colOff>3810</xdr:colOff>
      <xdr:row>96</xdr:row>
      <xdr:rowOff>36639</xdr:rowOff>
    </xdr:to>
    <xdr:cxnSp macro="">
      <xdr:nvCxnSpPr>
        <xdr:cNvPr id="12" name="Connettore diritto 11">
          <a:extLst>
            <a:ext uri="{FF2B5EF4-FFF2-40B4-BE49-F238E27FC236}">
              <a16:creationId xmlns:a16="http://schemas.microsoft.com/office/drawing/2014/main" id="{A04FB1AA-9FF3-4E06-B679-84300B004E90}"/>
            </a:ext>
          </a:extLst>
        </xdr:cNvPr>
        <xdr:cNvCxnSpPr/>
      </xdr:nvCxnSpPr>
      <xdr:spPr>
        <a:xfrm>
          <a:off x="6069330" y="324639"/>
          <a:ext cx="0" cy="12986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132</xdr:colOff>
      <xdr:row>1</xdr:row>
      <xdr:rowOff>98535</xdr:rowOff>
    </xdr:from>
    <xdr:to>
      <xdr:col>39</xdr:col>
      <xdr:colOff>132</xdr:colOff>
      <xdr:row>96</xdr:row>
      <xdr:rowOff>1035</xdr:rowOff>
    </xdr:to>
    <xdr:cxnSp macro="">
      <xdr:nvCxnSpPr>
        <xdr:cNvPr id="13" name="Connettore diritto 12">
          <a:extLst>
            <a:ext uri="{FF2B5EF4-FFF2-40B4-BE49-F238E27FC236}">
              <a16:creationId xmlns:a16="http://schemas.microsoft.com/office/drawing/2014/main" id="{5C014A74-111E-4C80-B11A-611206A327EB}"/>
            </a:ext>
          </a:extLst>
        </xdr:cNvPr>
        <xdr:cNvCxnSpPr/>
      </xdr:nvCxnSpPr>
      <xdr:spPr>
        <a:xfrm>
          <a:off x="7322952" y="289035"/>
          <a:ext cx="0" cy="12986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124810</xdr:colOff>
      <xdr:row>1</xdr:row>
      <xdr:rowOff>137923</xdr:rowOff>
    </xdr:from>
    <xdr:to>
      <xdr:col>23</xdr:col>
      <xdr:colOff>124810</xdr:colOff>
      <xdr:row>96</xdr:row>
      <xdr:rowOff>40423</xdr:rowOff>
    </xdr:to>
    <xdr:cxnSp macro="">
      <xdr:nvCxnSpPr>
        <xdr:cNvPr id="14" name="Connettore diritto 13">
          <a:extLst>
            <a:ext uri="{FF2B5EF4-FFF2-40B4-BE49-F238E27FC236}">
              <a16:creationId xmlns:a16="http://schemas.microsoft.com/office/drawing/2014/main" id="{2C9C61B4-9B9D-4A45-B083-49CAD05E95D8}"/>
            </a:ext>
          </a:extLst>
        </xdr:cNvPr>
        <xdr:cNvCxnSpPr/>
      </xdr:nvCxnSpPr>
      <xdr:spPr>
        <a:xfrm>
          <a:off x="5425965" y="328423"/>
          <a:ext cx="0" cy="180000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1</xdr:row>
      <xdr:rowOff>13138</xdr:rowOff>
    </xdr:from>
    <xdr:to>
      <xdr:col>20</xdr:col>
      <xdr:colOff>0</xdr:colOff>
      <xdr:row>95</xdr:row>
      <xdr:rowOff>106138</xdr:rowOff>
    </xdr:to>
    <xdr:cxnSp macro="">
      <xdr:nvCxnSpPr>
        <xdr:cNvPr id="15" name="Connettore diritto 14">
          <a:extLst>
            <a:ext uri="{FF2B5EF4-FFF2-40B4-BE49-F238E27FC236}">
              <a16:creationId xmlns:a16="http://schemas.microsoft.com/office/drawing/2014/main" id="{A131A7C7-8A25-4ABA-A1F6-3AB4DF6F16F8}"/>
            </a:ext>
          </a:extLst>
        </xdr:cNvPr>
        <xdr:cNvCxnSpPr/>
      </xdr:nvCxnSpPr>
      <xdr:spPr>
        <a:xfrm>
          <a:off x="4926724" y="203638"/>
          <a:ext cx="0" cy="180000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</xdr:colOff>
      <xdr:row>1</xdr:row>
      <xdr:rowOff>45983</xdr:rowOff>
    </xdr:from>
    <xdr:to>
      <xdr:col>44</xdr:col>
      <xdr:colOff>1</xdr:colOff>
      <xdr:row>95</xdr:row>
      <xdr:rowOff>138983</xdr:rowOff>
    </xdr:to>
    <xdr:cxnSp macro="">
      <xdr:nvCxnSpPr>
        <xdr:cNvPr id="16" name="Connettore diritto 15">
          <a:extLst>
            <a:ext uri="{FF2B5EF4-FFF2-40B4-BE49-F238E27FC236}">
              <a16:creationId xmlns:a16="http://schemas.microsoft.com/office/drawing/2014/main" id="{08FE435A-896A-4FCE-9893-03A6752BF8F4}"/>
            </a:ext>
          </a:extLst>
        </xdr:cNvPr>
        <xdr:cNvCxnSpPr/>
      </xdr:nvCxnSpPr>
      <xdr:spPr>
        <a:xfrm>
          <a:off x="7922173" y="236483"/>
          <a:ext cx="0" cy="180000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262765</xdr:colOff>
      <xdr:row>6</xdr:row>
      <xdr:rowOff>0</xdr:rowOff>
    </xdr:from>
    <xdr:to>
      <xdr:col>78</xdr:col>
      <xdr:colOff>118869</xdr:colOff>
      <xdr:row>6</xdr:row>
      <xdr:rowOff>0</xdr:rowOff>
    </xdr:to>
    <xdr:cxnSp macro="">
      <xdr:nvCxnSpPr>
        <xdr:cNvPr id="18" name="Connettore diritto 17">
          <a:extLst>
            <a:ext uri="{FF2B5EF4-FFF2-40B4-BE49-F238E27FC236}">
              <a16:creationId xmlns:a16="http://schemas.microsoft.com/office/drawing/2014/main" id="{A5E267C5-176E-402F-941A-C1B86CECB622}"/>
            </a:ext>
          </a:extLst>
        </xdr:cNvPr>
        <xdr:cNvCxnSpPr/>
      </xdr:nvCxnSpPr>
      <xdr:spPr>
        <a:xfrm>
          <a:off x="1484593" y="1143000"/>
          <a:ext cx="10800000" cy="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11</xdr:row>
      <xdr:rowOff>2251</xdr:rowOff>
    </xdr:from>
    <xdr:to>
      <xdr:col>86</xdr:col>
      <xdr:colOff>79448</xdr:colOff>
      <xdr:row>11</xdr:row>
      <xdr:rowOff>2251</xdr:rowOff>
    </xdr:to>
    <xdr:cxnSp macro="">
      <xdr:nvCxnSpPr>
        <xdr:cNvPr id="19" name="Connettore diritto 18">
          <a:extLst>
            <a:ext uri="{FF2B5EF4-FFF2-40B4-BE49-F238E27FC236}">
              <a16:creationId xmlns:a16="http://schemas.microsoft.com/office/drawing/2014/main" id="{2D0206D5-4F04-4E85-92F6-19790688F646}"/>
            </a:ext>
          </a:extLst>
        </xdr:cNvPr>
        <xdr:cNvCxnSpPr/>
      </xdr:nvCxnSpPr>
      <xdr:spPr>
        <a:xfrm>
          <a:off x="2438400" y="1716751"/>
          <a:ext cx="10829091" cy="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596087</xdr:colOff>
      <xdr:row>16</xdr:row>
      <xdr:rowOff>187</xdr:rowOff>
    </xdr:from>
    <xdr:to>
      <xdr:col>86</xdr:col>
      <xdr:colOff>66311</xdr:colOff>
      <xdr:row>16</xdr:row>
      <xdr:rowOff>187</xdr:rowOff>
    </xdr:to>
    <xdr:cxnSp macro="">
      <xdr:nvCxnSpPr>
        <xdr:cNvPr id="20" name="Connettore diritto 19">
          <a:extLst>
            <a:ext uri="{FF2B5EF4-FFF2-40B4-BE49-F238E27FC236}">
              <a16:creationId xmlns:a16="http://schemas.microsoft.com/office/drawing/2014/main" id="{C0360743-8C65-4317-A385-510860940654}"/>
            </a:ext>
          </a:extLst>
        </xdr:cNvPr>
        <xdr:cNvCxnSpPr/>
      </xdr:nvCxnSpPr>
      <xdr:spPr>
        <a:xfrm>
          <a:off x="2424887" y="2286187"/>
          <a:ext cx="10829467" cy="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26</xdr:row>
      <xdr:rowOff>3</xdr:rowOff>
    </xdr:from>
    <xdr:to>
      <xdr:col>86</xdr:col>
      <xdr:colOff>79824</xdr:colOff>
      <xdr:row>26</xdr:row>
      <xdr:rowOff>3</xdr:rowOff>
    </xdr:to>
    <xdr:cxnSp macro="">
      <xdr:nvCxnSpPr>
        <xdr:cNvPr id="21" name="Connettore diritto 20">
          <a:extLst>
            <a:ext uri="{FF2B5EF4-FFF2-40B4-BE49-F238E27FC236}">
              <a16:creationId xmlns:a16="http://schemas.microsoft.com/office/drawing/2014/main" id="{114D334D-C566-44C9-8186-C28EEFFA82AF}"/>
            </a:ext>
          </a:extLst>
        </xdr:cNvPr>
        <xdr:cNvCxnSpPr/>
      </xdr:nvCxnSpPr>
      <xdr:spPr>
        <a:xfrm>
          <a:off x="2438400" y="3429003"/>
          <a:ext cx="10829467" cy="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146957</xdr:colOff>
      <xdr:row>44</xdr:row>
      <xdr:rowOff>2</xdr:rowOff>
    </xdr:from>
    <xdr:to>
      <xdr:col>82</xdr:col>
      <xdr:colOff>117924</xdr:colOff>
      <xdr:row>44</xdr:row>
      <xdr:rowOff>2</xdr:rowOff>
    </xdr:to>
    <xdr:cxnSp macro="">
      <xdr:nvCxnSpPr>
        <xdr:cNvPr id="22" name="Connettore diritto 21">
          <a:extLst>
            <a:ext uri="{FF2B5EF4-FFF2-40B4-BE49-F238E27FC236}">
              <a16:creationId xmlns:a16="http://schemas.microsoft.com/office/drawing/2014/main" id="{887B430A-D53D-4194-AE64-6BD4B9C7442E}"/>
            </a:ext>
          </a:extLst>
        </xdr:cNvPr>
        <xdr:cNvCxnSpPr/>
      </xdr:nvCxnSpPr>
      <xdr:spPr>
        <a:xfrm>
          <a:off x="1975757" y="5627916"/>
          <a:ext cx="10829467" cy="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141516</xdr:colOff>
      <xdr:row>48</xdr:row>
      <xdr:rowOff>87085</xdr:rowOff>
    </xdr:from>
    <xdr:to>
      <xdr:col>82</xdr:col>
      <xdr:colOff>112483</xdr:colOff>
      <xdr:row>48</xdr:row>
      <xdr:rowOff>87085</xdr:rowOff>
    </xdr:to>
    <xdr:cxnSp macro="">
      <xdr:nvCxnSpPr>
        <xdr:cNvPr id="23" name="Connettore diritto 22">
          <a:extLst>
            <a:ext uri="{FF2B5EF4-FFF2-40B4-BE49-F238E27FC236}">
              <a16:creationId xmlns:a16="http://schemas.microsoft.com/office/drawing/2014/main" id="{4B8D8109-74B5-4BC6-8D3E-BA81979F725F}"/>
            </a:ext>
          </a:extLst>
        </xdr:cNvPr>
        <xdr:cNvCxnSpPr/>
      </xdr:nvCxnSpPr>
      <xdr:spPr>
        <a:xfrm>
          <a:off x="1970316" y="6063342"/>
          <a:ext cx="10829467" cy="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59</xdr:row>
      <xdr:rowOff>0</xdr:rowOff>
    </xdr:from>
    <xdr:to>
      <xdr:col>81</xdr:col>
      <xdr:colOff>96153</xdr:colOff>
      <xdr:row>59</xdr:row>
      <xdr:rowOff>0</xdr:rowOff>
    </xdr:to>
    <xdr:cxnSp macro="">
      <xdr:nvCxnSpPr>
        <xdr:cNvPr id="24" name="Connettore diritto 23">
          <a:extLst>
            <a:ext uri="{FF2B5EF4-FFF2-40B4-BE49-F238E27FC236}">
              <a16:creationId xmlns:a16="http://schemas.microsoft.com/office/drawing/2014/main" id="{175E37F3-34BC-447A-BB64-0F148EEF4310}"/>
            </a:ext>
          </a:extLst>
        </xdr:cNvPr>
        <xdr:cNvCxnSpPr/>
      </xdr:nvCxnSpPr>
      <xdr:spPr>
        <a:xfrm>
          <a:off x="1828800" y="6934200"/>
          <a:ext cx="10829467" cy="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52</xdr:row>
      <xdr:rowOff>41910</xdr:rowOff>
    </xdr:from>
    <xdr:to>
      <xdr:col>86</xdr:col>
      <xdr:colOff>79448</xdr:colOff>
      <xdr:row>52</xdr:row>
      <xdr:rowOff>41910</xdr:rowOff>
    </xdr:to>
    <xdr:cxnSp macro="">
      <xdr:nvCxnSpPr>
        <xdr:cNvPr id="25" name="Connettore diritto 24">
          <a:extLst>
            <a:ext uri="{FF2B5EF4-FFF2-40B4-BE49-F238E27FC236}">
              <a16:creationId xmlns:a16="http://schemas.microsoft.com/office/drawing/2014/main" id="{C40B3766-3BD1-4818-8486-07F913FBF3D4}"/>
            </a:ext>
          </a:extLst>
        </xdr:cNvPr>
        <xdr:cNvCxnSpPr/>
      </xdr:nvCxnSpPr>
      <xdr:spPr>
        <a:xfrm>
          <a:off x="2438400" y="6374130"/>
          <a:ext cx="10873178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51</xdr:row>
      <xdr:rowOff>15240</xdr:rowOff>
    </xdr:from>
    <xdr:to>
      <xdr:col>86</xdr:col>
      <xdr:colOff>79448</xdr:colOff>
      <xdr:row>51</xdr:row>
      <xdr:rowOff>15240</xdr:rowOff>
    </xdr:to>
    <xdr:cxnSp macro="">
      <xdr:nvCxnSpPr>
        <xdr:cNvPr id="26" name="Connettore diritto 25">
          <a:extLst>
            <a:ext uri="{FF2B5EF4-FFF2-40B4-BE49-F238E27FC236}">
              <a16:creationId xmlns:a16="http://schemas.microsoft.com/office/drawing/2014/main" id="{807A18A1-8535-49BD-8888-E39D25CD2B9D}"/>
            </a:ext>
          </a:extLst>
        </xdr:cNvPr>
        <xdr:cNvCxnSpPr/>
      </xdr:nvCxnSpPr>
      <xdr:spPr>
        <a:xfrm>
          <a:off x="2438400" y="6259830"/>
          <a:ext cx="10873178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49</xdr:row>
      <xdr:rowOff>57150</xdr:rowOff>
    </xdr:from>
    <xdr:to>
      <xdr:col>86</xdr:col>
      <xdr:colOff>79448</xdr:colOff>
      <xdr:row>49</xdr:row>
      <xdr:rowOff>57150</xdr:rowOff>
    </xdr:to>
    <xdr:cxnSp macro="">
      <xdr:nvCxnSpPr>
        <xdr:cNvPr id="27" name="Connettore diritto 26">
          <a:extLst>
            <a:ext uri="{FF2B5EF4-FFF2-40B4-BE49-F238E27FC236}">
              <a16:creationId xmlns:a16="http://schemas.microsoft.com/office/drawing/2014/main" id="{EA02D308-7D02-441B-AA18-381CB275DB2E}"/>
            </a:ext>
          </a:extLst>
        </xdr:cNvPr>
        <xdr:cNvCxnSpPr/>
      </xdr:nvCxnSpPr>
      <xdr:spPr>
        <a:xfrm>
          <a:off x="2438400" y="6126480"/>
          <a:ext cx="10873178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48</xdr:row>
      <xdr:rowOff>26670</xdr:rowOff>
    </xdr:from>
    <xdr:to>
      <xdr:col>86</xdr:col>
      <xdr:colOff>79448</xdr:colOff>
      <xdr:row>48</xdr:row>
      <xdr:rowOff>26670</xdr:rowOff>
    </xdr:to>
    <xdr:cxnSp macro="">
      <xdr:nvCxnSpPr>
        <xdr:cNvPr id="28" name="Connettore diritto 27">
          <a:extLst>
            <a:ext uri="{FF2B5EF4-FFF2-40B4-BE49-F238E27FC236}">
              <a16:creationId xmlns:a16="http://schemas.microsoft.com/office/drawing/2014/main" id="{813B128C-F75A-4901-BC82-3EF679B1EF1D}"/>
            </a:ext>
          </a:extLst>
        </xdr:cNvPr>
        <xdr:cNvCxnSpPr/>
      </xdr:nvCxnSpPr>
      <xdr:spPr>
        <a:xfrm>
          <a:off x="2438400" y="6008370"/>
          <a:ext cx="10873178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47</xdr:row>
      <xdr:rowOff>0</xdr:rowOff>
    </xdr:from>
    <xdr:to>
      <xdr:col>86</xdr:col>
      <xdr:colOff>79448</xdr:colOff>
      <xdr:row>47</xdr:row>
      <xdr:rowOff>0</xdr:rowOff>
    </xdr:to>
    <xdr:cxnSp macro="">
      <xdr:nvCxnSpPr>
        <xdr:cNvPr id="29" name="Connettore diritto 28">
          <a:extLst>
            <a:ext uri="{FF2B5EF4-FFF2-40B4-BE49-F238E27FC236}">
              <a16:creationId xmlns:a16="http://schemas.microsoft.com/office/drawing/2014/main" id="{91B55952-FB5C-49D6-A269-FBF57E7CAE3C}"/>
            </a:ext>
          </a:extLst>
        </xdr:cNvPr>
        <xdr:cNvCxnSpPr/>
      </xdr:nvCxnSpPr>
      <xdr:spPr>
        <a:xfrm>
          <a:off x="2438400" y="5894070"/>
          <a:ext cx="10873178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46</xdr:row>
      <xdr:rowOff>22860</xdr:rowOff>
    </xdr:from>
    <xdr:to>
      <xdr:col>86</xdr:col>
      <xdr:colOff>79448</xdr:colOff>
      <xdr:row>46</xdr:row>
      <xdr:rowOff>22860</xdr:rowOff>
    </xdr:to>
    <xdr:cxnSp macro="">
      <xdr:nvCxnSpPr>
        <xdr:cNvPr id="30" name="Connettore diritto 29">
          <a:extLst>
            <a:ext uri="{FF2B5EF4-FFF2-40B4-BE49-F238E27FC236}">
              <a16:creationId xmlns:a16="http://schemas.microsoft.com/office/drawing/2014/main" id="{C04D59E1-719D-419F-8F99-8041137DDF2E}"/>
            </a:ext>
          </a:extLst>
        </xdr:cNvPr>
        <xdr:cNvCxnSpPr/>
      </xdr:nvCxnSpPr>
      <xdr:spPr>
        <a:xfrm>
          <a:off x="2438400" y="5829300"/>
          <a:ext cx="10873178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45</xdr:row>
      <xdr:rowOff>64770</xdr:rowOff>
    </xdr:from>
    <xdr:to>
      <xdr:col>86</xdr:col>
      <xdr:colOff>79448</xdr:colOff>
      <xdr:row>45</xdr:row>
      <xdr:rowOff>64770</xdr:rowOff>
    </xdr:to>
    <xdr:cxnSp macro="">
      <xdr:nvCxnSpPr>
        <xdr:cNvPr id="31" name="Connettore diritto 30">
          <a:extLst>
            <a:ext uri="{FF2B5EF4-FFF2-40B4-BE49-F238E27FC236}">
              <a16:creationId xmlns:a16="http://schemas.microsoft.com/office/drawing/2014/main" id="{60822192-7315-462D-A6DE-6C6BF80CFFDF}"/>
            </a:ext>
          </a:extLst>
        </xdr:cNvPr>
        <xdr:cNvCxnSpPr/>
      </xdr:nvCxnSpPr>
      <xdr:spPr>
        <a:xfrm>
          <a:off x="2438400" y="5783580"/>
          <a:ext cx="10873178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44</xdr:row>
      <xdr:rowOff>41910</xdr:rowOff>
    </xdr:from>
    <xdr:to>
      <xdr:col>86</xdr:col>
      <xdr:colOff>79448</xdr:colOff>
      <xdr:row>44</xdr:row>
      <xdr:rowOff>41910</xdr:rowOff>
    </xdr:to>
    <xdr:cxnSp macro="">
      <xdr:nvCxnSpPr>
        <xdr:cNvPr id="32" name="Connettore diritto 31">
          <a:extLst>
            <a:ext uri="{FF2B5EF4-FFF2-40B4-BE49-F238E27FC236}">
              <a16:creationId xmlns:a16="http://schemas.microsoft.com/office/drawing/2014/main" id="{E407387E-E465-4196-A586-2C72FE969588}"/>
            </a:ext>
          </a:extLst>
        </xdr:cNvPr>
        <xdr:cNvCxnSpPr/>
      </xdr:nvCxnSpPr>
      <xdr:spPr>
        <a:xfrm>
          <a:off x="2438400" y="5673090"/>
          <a:ext cx="10873178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601579</xdr:colOff>
      <xdr:row>11</xdr:row>
      <xdr:rowOff>45118</xdr:rowOff>
    </xdr:from>
    <xdr:to>
      <xdr:col>86</xdr:col>
      <xdr:colOff>69422</xdr:colOff>
      <xdr:row>11</xdr:row>
      <xdr:rowOff>45118</xdr:rowOff>
    </xdr:to>
    <xdr:cxnSp macro="">
      <xdr:nvCxnSpPr>
        <xdr:cNvPr id="33" name="Connettore diritto 32">
          <a:extLst>
            <a:ext uri="{FF2B5EF4-FFF2-40B4-BE49-F238E27FC236}">
              <a16:creationId xmlns:a16="http://schemas.microsoft.com/office/drawing/2014/main" id="{7A3B691B-DEF1-489C-9DE9-EBC1BE460860}"/>
            </a:ext>
          </a:extLst>
        </xdr:cNvPr>
        <xdr:cNvCxnSpPr/>
      </xdr:nvCxnSpPr>
      <xdr:spPr>
        <a:xfrm>
          <a:off x="2436395" y="1764631"/>
          <a:ext cx="10842698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11</xdr:row>
      <xdr:rowOff>100267</xdr:rowOff>
    </xdr:from>
    <xdr:to>
      <xdr:col>86</xdr:col>
      <xdr:colOff>79448</xdr:colOff>
      <xdr:row>11</xdr:row>
      <xdr:rowOff>100267</xdr:rowOff>
    </xdr:to>
    <xdr:cxnSp macro="">
      <xdr:nvCxnSpPr>
        <xdr:cNvPr id="34" name="Connettore diritto 33">
          <a:extLst>
            <a:ext uri="{FF2B5EF4-FFF2-40B4-BE49-F238E27FC236}">
              <a16:creationId xmlns:a16="http://schemas.microsoft.com/office/drawing/2014/main" id="{C4E2DCCA-D8C8-43E8-8515-C8AF25FDB48F}"/>
            </a:ext>
          </a:extLst>
        </xdr:cNvPr>
        <xdr:cNvCxnSpPr/>
      </xdr:nvCxnSpPr>
      <xdr:spPr>
        <a:xfrm>
          <a:off x="2446421" y="1819780"/>
          <a:ext cx="10842698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12</xdr:row>
      <xdr:rowOff>70186</xdr:rowOff>
    </xdr:from>
    <xdr:to>
      <xdr:col>86</xdr:col>
      <xdr:colOff>79448</xdr:colOff>
      <xdr:row>12</xdr:row>
      <xdr:rowOff>70186</xdr:rowOff>
    </xdr:to>
    <xdr:cxnSp macro="">
      <xdr:nvCxnSpPr>
        <xdr:cNvPr id="35" name="Connettore diritto 34">
          <a:extLst>
            <a:ext uri="{FF2B5EF4-FFF2-40B4-BE49-F238E27FC236}">
              <a16:creationId xmlns:a16="http://schemas.microsoft.com/office/drawing/2014/main" id="{3DE38574-698C-49E3-8919-A53A3978B985}"/>
            </a:ext>
          </a:extLst>
        </xdr:cNvPr>
        <xdr:cNvCxnSpPr/>
      </xdr:nvCxnSpPr>
      <xdr:spPr>
        <a:xfrm>
          <a:off x="2446421" y="1905002"/>
          <a:ext cx="10842698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601574</xdr:colOff>
      <xdr:row>13</xdr:row>
      <xdr:rowOff>65172</xdr:rowOff>
    </xdr:from>
    <xdr:to>
      <xdr:col>86</xdr:col>
      <xdr:colOff>69417</xdr:colOff>
      <xdr:row>13</xdr:row>
      <xdr:rowOff>65172</xdr:rowOff>
    </xdr:to>
    <xdr:cxnSp macro="">
      <xdr:nvCxnSpPr>
        <xdr:cNvPr id="36" name="Connettore diritto 35">
          <a:extLst>
            <a:ext uri="{FF2B5EF4-FFF2-40B4-BE49-F238E27FC236}">
              <a16:creationId xmlns:a16="http://schemas.microsoft.com/office/drawing/2014/main" id="{98932F95-B835-432C-B24E-D766CE4A87DE}"/>
            </a:ext>
          </a:extLst>
        </xdr:cNvPr>
        <xdr:cNvCxnSpPr/>
      </xdr:nvCxnSpPr>
      <xdr:spPr>
        <a:xfrm>
          <a:off x="2436390" y="2015290"/>
          <a:ext cx="10842698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15</xdr:row>
      <xdr:rowOff>0</xdr:rowOff>
    </xdr:from>
    <xdr:to>
      <xdr:col>86</xdr:col>
      <xdr:colOff>79448</xdr:colOff>
      <xdr:row>15</xdr:row>
      <xdr:rowOff>0</xdr:rowOff>
    </xdr:to>
    <xdr:cxnSp macro="">
      <xdr:nvCxnSpPr>
        <xdr:cNvPr id="37" name="Connettore diritto 36">
          <a:extLst>
            <a:ext uri="{FF2B5EF4-FFF2-40B4-BE49-F238E27FC236}">
              <a16:creationId xmlns:a16="http://schemas.microsoft.com/office/drawing/2014/main" id="{EAB66C22-C580-4E4D-A019-1AC5193C2DD6}"/>
            </a:ext>
          </a:extLst>
        </xdr:cNvPr>
        <xdr:cNvCxnSpPr/>
      </xdr:nvCxnSpPr>
      <xdr:spPr>
        <a:xfrm>
          <a:off x="2446421" y="2180724"/>
          <a:ext cx="10842698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16</xdr:row>
      <xdr:rowOff>5017</xdr:rowOff>
    </xdr:from>
    <xdr:to>
      <xdr:col>86</xdr:col>
      <xdr:colOff>79448</xdr:colOff>
      <xdr:row>16</xdr:row>
      <xdr:rowOff>5017</xdr:rowOff>
    </xdr:to>
    <xdr:cxnSp macro="">
      <xdr:nvCxnSpPr>
        <xdr:cNvPr id="38" name="Connettore diritto 37">
          <a:extLst>
            <a:ext uri="{FF2B5EF4-FFF2-40B4-BE49-F238E27FC236}">
              <a16:creationId xmlns:a16="http://schemas.microsoft.com/office/drawing/2014/main" id="{EA9D9F11-2D03-43A8-AC8C-9EECD1988668}"/>
            </a:ext>
          </a:extLst>
        </xdr:cNvPr>
        <xdr:cNvCxnSpPr/>
      </xdr:nvCxnSpPr>
      <xdr:spPr>
        <a:xfrm>
          <a:off x="2446421" y="2301043"/>
          <a:ext cx="10842698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606593</xdr:colOff>
      <xdr:row>16</xdr:row>
      <xdr:rowOff>110294</xdr:rowOff>
    </xdr:from>
    <xdr:to>
      <xdr:col>86</xdr:col>
      <xdr:colOff>74436</xdr:colOff>
      <xdr:row>16</xdr:row>
      <xdr:rowOff>110294</xdr:rowOff>
    </xdr:to>
    <xdr:cxnSp macro="">
      <xdr:nvCxnSpPr>
        <xdr:cNvPr id="39" name="Connettore diritto 38">
          <a:extLst>
            <a:ext uri="{FF2B5EF4-FFF2-40B4-BE49-F238E27FC236}">
              <a16:creationId xmlns:a16="http://schemas.microsoft.com/office/drawing/2014/main" id="{6F25E5A7-BFA6-4D04-A607-AB16D2417CE0}"/>
            </a:ext>
          </a:extLst>
        </xdr:cNvPr>
        <xdr:cNvCxnSpPr/>
      </xdr:nvCxnSpPr>
      <xdr:spPr>
        <a:xfrm>
          <a:off x="2441409" y="2406320"/>
          <a:ext cx="10842698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19</xdr:row>
      <xdr:rowOff>75195</xdr:rowOff>
    </xdr:from>
    <xdr:to>
      <xdr:col>86</xdr:col>
      <xdr:colOff>79448</xdr:colOff>
      <xdr:row>19</xdr:row>
      <xdr:rowOff>75195</xdr:rowOff>
    </xdr:to>
    <xdr:cxnSp macro="">
      <xdr:nvCxnSpPr>
        <xdr:cNvPr id="40" name="Connettore diritto 39">
          <a:extLst>
            <a:ext uri="{FF2B5EF4-FFF2-40B4-BE49-F238E27FC236}">
              <a16:creationId xmlns:a16="http://schemas.microsoft.com/office/drawing/2014/main" id="{C25B8337-8CA3-4CE1-A94A-BE9EF75D08ED}"/>
            </a:ext>
          </a:extLst>
        </xdr:cNvPr>
        <xdr:cNvCxnSpPr/>
      </xdr:nvCxnSpPr>
      <xdr:spPr>
        <a:xfrm>
          <a:off x="2446421" y="2717129"/>
          <a:ext cx="10842698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70</xdr:row>
      <xdr:rowOff>92526</xdr:rowOff>
    </xdr:from>
    <xdr:to>
      <xdr:col>86</xdr:col>
      <xdr:colOff>79448</xdr:colOff>
      <xdr:row>70</xdr:row>
      <xdr:rowOff>92526</xdr:rowOff>
    </xdr:to>
    <xdr:cxnSp macro="">
      <xdr:nvCxnSpPr>
        <xdr:cNvPr id="41" name="Connettore diritto 40">
          <a:extLst>
            <a:ext uri="{FF2B5EF4-FFF2-40B4-BE49-F238E27FC236}">
              <a16:creationId xmlns:a16="http://schemas.microsoft.com/office/drawing/2014/main" id="{9296FE71-C1C7-465F-BDE3-93D9215AF0F5}"/>
            </a:ext>
          </a:extLst>
        </xdr:cNvPr>
        <xdr:cNvCxnSpPr/>
      </xdr:nvCxnSpPr>
      <xdr:spPr>
        <a:xfrm>
          <a:off x="2438400" y="8398326"/>
          <a:ext cx="10829091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60960</xdr:rowOff>
    </xdr:from>
    <xdr:to>
      <xdr:col>19</xdr:col>
      <xdr:colOff>510540</xdr:colOff>
      <xdr:row>14</xdr:row>
      <xdr:rowOff>65722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032508EE-747F-4F1A-A76A-8DB3901018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423862</xdr:colOff>
      <xdr:row>15</xdr:row>
      <xdr:rowOff>157162</xdr:rowOff>
    </xdr:from>
    <xdr:to>
      <xdr:col>20</xdr:col>
      <xdr:colOff>119062</xdr:colOff>
      <xdr:row>30</xdr:row>
      <xdr:rowOff>42862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D836205D-28F2-4DAD-83B6-3547F2690B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79258</xdr:colOff>
      <xdr:row>15</xdr:row>
      <xdr:rowOff>12589</xdr:rowOff>
    </xdr:from>
    <xdr:to>
      <xdr:col>32</xdr:col>
      <xdr:colOff>34997</xdr:colOff>
      <xdr:row>44</xdr:row>
      <xdr:rowOff>108172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1428F19B-6F77-251C-E2C8-AD2EC0868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6058" y="2894937"/>
          <a:ext cx="12777217" cy="8439648"/>
        </a:xfrm>
        <a:prstGeom prst="rect">
          <a:avLst/>
        </a:prstGeom>
      </xdr:spPr>
    </xdr:pic>
    <xdr:clientData/>
  </xdr:twoCellAnchor>
  <xdr:twoCellAnchor editAs="oneCell">
    <xdr:from>
      <xdr:col>8</xdr:col>
      <xdr:colOff>117399</xdr:colOff>
      <xdr:row>61</xdr:row>
      <xdr:rowOff>42863</xdr:rowOff>
    </xdr:from>
    <xdr:to>
      <xdr:col>31</xdr:col>
      <xdr:colOff>606928</xdr:colOff>
      <xdr:row>90</xdr:row>
      <xdr:rowOff>33338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2766C3A7-77A5-DECE-3154-245EEE23D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94199" y="11644313"/>
          <a:ext cx="12710104" cy="4219575"/>
        </a:xfrm>
        <a:prstGeom prst="rect">
          <a:avLst/>
        </a:prstGeom>
      </xdr:spPr>
    </xdr:pic>
    <xdr:clientData/>
  </xdr:twoCellAnchor>
  <xdr:twoCellAnchor>
    <xdr:from>
      <xdr:col>18</xdr:col>
      <xdr:colOff>1121</xdr:colOff>
      <xdr:row>9</xdr:row>
      <xdr:rowOff>143771</xdr:rowOff>
    </xdr:from>
    <xdr:to>
      <xdr:col>18</xdr:col>
      <xdr:colOff>1121</xdr:colOff>
      <xdr:row>93</xdr:row>
      <xdr:rowOff>31256</xdr:rowOff>
    </xdr:to>
    <xdr:cxnSp macro="">
      <xdr:nvCxnSpPr>
        <xdr:cNvPr id="5" name="Connettore diritto 4">
          <a:extLst>
            <a:ext uri="{FF2B5EF4-FFF2-40B4-BE49-F238E27FC236}">
              <a16:creationId xmlns:a16="http://schemas.microsoft.com/office/drawing/2014/main" id="{A733D6F0-3513-4ECD-A366-B827AD2CF694}"/>
            </a:ext>
          </a:extLst>
        </xdr:cNvPr>
        <xdr:cNvCxnSpPr/>
      </xdr:nvCxnSpPr>
      <xdr:spPr>
        <a:xfrm>
          <a:off x="10328462" y="1838100"/>
          <a:ext cx="0" cy="1439238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524322</xdr:colOff>
      <xdr:row>9</xdr:row>
      <xdr:rowOff>67124</xdr:rowOff>
    </xdr:from>
    <xdr:to>
      <xdr:col>21</xdr:col>
      <xdr:colOff>524322</xdr:colOff>
      <xdr:row>92</xdr:row>
      <xdr:rowOff>142868</xdr:rowOff>
    </xdr:to>
    <xdr:cxnSp macro="">
      <xdr:nvCxnSpPr>
        <xdr:cNvPr id="6" name="Connettore diritto 5">
          <a:extLst>
            <a:ext uri="{FF2B5EF4-FFF2-40B4-BE49-F238E27FC236}">
              <a16:creationId xmlns:a16="http://schemas.microsoft.com/office/drawing/2014/main" id="{3BA478A6-3448-498D-975C-73C78BC678A6}"/>
            </a:ext>
          </a:extLst>
        </xdr:cNvPr>
        <xdr:cNvCxnSpPr/>
      </xdr:nvCxnSpPr>
      <xdr:spPr>
        <a:xfrm>
          <a:off x="12438416" y="1761453"/>
          <a:ext cx="0" cy="1439238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</xdr:colOff>
      <xdr:row>9</xdr:row>
      <xdr:rowOff>42471</xdr:rowOff>
    </xdr:from>
    <xdr:to>
      <xdr:col>26</xdr:col>
      <xdr:colOff>2</xdr:colOff>
      <xdr:row>92</xdr:row>
      <xdr:rowOff>118215</xdr:rowOff>
    </xdr:to>
    <xdr:cxnSp macro="">
      <xdr:nvCxnSpPr>
        <xdr:cNvPr id="7" name="Connettore diritto 6">
          <a:extLst>
            <a:ext uri="{FF2B5EF4-FFF2-40B4-BE49-F238E27FC236}">
              <a16:creationId xmlns:a16="http://schemas.microsoft.com/office/drawing/2014/main" id="{DEA3449F-1EBF-422A-9985-F67A409D058D}"/>
            </a:ext>
          </a:extLst>
        </xdr:cNvPr>
        <xdr:cNvCxnSpPr/>
      </xdr:nvCxnSpPr>
      <xdr:spPr>
        <a:xfrm>
          <a:off x="14558684" y="1736800"/>
          <a:ext cx="0" cy="1439238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68</xdr:row>
      <xdr:rowOff>60084</xdr:rowOff>
    </xdr:from>
    <xdr:to>
      <xdr:col>27</xdr:col>
      <xdr:colOff>34624</xdr:colOff>
      <xdr:row>68</xdr:row>
      <xdr:rowOff>60084</xdr:rowOff>
    </xdr:to>
    <xdr:cxnSp macro="">
      <xdr:nvCxnSpPr>
        <xdr:cNvPr id="8" name="Connettore diritto 7">
          <a:extLst>
            <a:ext uri="{FF2B5EF4-FFF2-40B4-BE49-F238E27FC236}">
              <a16:creationId xmlns:a16="http://schemas.microsoft.com/office/drawing/2014/main" id="{B07E9030-7FC9-4CA9-A05C-34C52120A5AF}"/>
            </a:ext>
          </a:extLst>
        </xdr:cNvPr>
        <xdr:cNvCxnSpPr/>
      </xdr:nvCxnSpPr>
      <xdr:spPr>
        <a:xfrm>
          <a:off x="4267200" y="12588415"/>
          <a:ext cx="10797217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339314</xdr:colOff>
      <xdr:row>69</xdr:row>
      <xdr:rowOff>119861</xdr:rowOff>
    </xdr:from>
    <xdr:to>
      <xdr:col>27</xdr:col>
      <xdr:colOff>377748</xdr:colOff>
      <xdr:row>69</xdr:row>
      <xdr:rowOff>119861</xdr:rowOff>
    </xdr:to>
    <xdr:cxnSp macro="">
      <xdr:nvCxnSpPr>
        <xdr:cNvPr id="9" name="Connettore diritto 8">
          <a:extLst>
            <a:ext uri="{FF2B5EF4-FFF2-40B4-BE49-F238E27FC236}">
              <a16:creationId xmlns:a16="http://schemas.microsoft.com/office/drawing/2014/main" id="{ED39B84A-E1AE-48C6-B8C9-4F94B0682680}"/>
            </a:ext>
          </a:extLst>
        </xdr:cNvPr>
        <xdr:cNvCxnSpPr/>
      </xdr:nvCxnSpPr>
      <xdr:spPr>
        <a:xfrm>
          <a:off x="4606514" y="12967844"/>
          <a:ext cx="10766069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307078</xdr:colOff>
      <xdr:row>78</xdr:row>
      <xdr:rowOff>60443</xdr:rowOff>
    </xdr:from>
    <xdr:to>
      <xdr:col>26</xdr:col>
      <xdr:colOff>268772</xdr:colOff>
      <xdr:row>78</xdr:row>
      <xdr:rowOff>60443</xdr:rowOff>
    </xdr:to>
    <xdr:cxnSp macro="">
      <xdr:nvCxnSpPr>
        <xdr:cNvPr id="11" name="Connettore diritto 10">
          <a:extLst>
            <a:ext uri="{FF2B5EF4-FFF2-40B4-BE49-F238E27FC236}">
              <a16:creationId xmlns:a16="http://schemas.microsoft.com/office/drawing/2014/main" id="{C1494665-839A-4998-AE26-11C1C902B1F9}"/>
            </a:ext>
          </a:extLst>
        </xdr:cNvPr>
        <xdr:cNvCxnSpPr/>
      </xdr:nvCxnSpPr>
      <xdr:spPr>
        <a:xfrm>
          <a:off x="3964678" y="14081243"/>
          <a:ext cx="10782094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19348</xdr:colOff>
      <xdr:row>67</xdr:row>
      <xdr:rowOff>79297</xdr:rowOff>
    </xdr:from>
    <xdr:to>
      <xdr:col>27</xdr:col>
      <xdr:colOff>68326</xdr:colOff>
      <xdr:row>67</xdr:row>
      <xdr:rowOff>79297</xdr:rowOff>
    </xdr:to>
    <xdr:cxnSp macro="">
      <xdr:nvCxnSpPr>
        <xdr:cNvPr id="12" name="Connettore diritto 11">
          <a:extLst>
            <a:ext uri="{FF2B5EF4-FFF2-40B4-BE49-F238E27FC236}">
              <a16:creationId xmlns:a16="http://schemas.microsoft.com/office/drawing/2014/main" id="{394CF7B5-016E-443A-B463-E814A7F93272}"/>
            </a:ext>
          </a:extLst>
        </xdr:cNvPr>
        <xdr:cNvCxnSpPr/>
      </xdr:nvCxnSpPr>
      <xdr:spPr>
        <a:xfrm>
          <a:off x="4286548" y="12530377"/>
          <a:ext cx="10816038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361950</xdr:colOff>
      <xdr:row>13</xdr:row>
      <xdr:rowOff>0</xdr:rowOff>
    </xdr:from>
    <xdr:to>
      <xdr:col>24</xdr:col>
      <xdr:colOff>361950</xdr:colOff>
      <xdr:row>96</xdr:row>
      <xdr:rowOff>75744</xdr:rowOff>
    </xdr:to>
    <xdr:cxnSp macro="">
      <xdr:nvCxnSpPr>
        <xdr:cNvPr id="13" name="Connettore diritto 12">
          <a:extLst>
            <a:ext uri="{FF2B5EF4-FFF2-40B4-BE49-F238E27FC236}">
              <a16:creationId xmlns:a16="http://schemas.microsoft.com/office/drawing/2014/main" id="{9F58A1F4-3739-49E9-8607-08CA2BF73ED3}"/>
            </a:ext>
          </a:extLst>
        </xdr:cNvPr>
        <xdr:cNvCxnSpPr/>
      </xdr:nvCxnSpPr>
      <xdr:spPr>
        <a:xfrm>
          <a:off x="13818870" y="2476500"/>
          <a:ext cx="0" cy="1461470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110490</xdr:colOff>
      <xdr:row>10</xdr:row>
      <xdr:rowOff>7620</xdr:rowOff>
    </xdr:from>
    <xdr:to>
      <xdr:col>16</xdr:col>
      <xdr:colOff>110490</xdr:colOff>
      <xdr:row>93</xdr:row>
      <xdr:rowOff>83700</xdr:rowOff>
    </xdr:to>
    <xdr:cxnSp macro="">
      <xdr:nvCxnSpPr>
        <xdr:cNvPr id="14" name="Connettore diritto 13">
          <a:extLst>
            <a:ext uri="{FF2B5EF4-FFF2-40B4-BE49-F238E27FC236}">
              <a16:creationId xmlns:a16="http://schemas.microsoft.com/office/drawing/2014/main" id="{C556A8DA-80B9-48C1-A595-54705BBF0AD0}"/>
            </a:ext>
          </a:extLst>
        </xdr:cNvPr>
        <xdr:cNvCxnSpPr/>
      </xdr:nvCxnSpPr>
      <xdr:spPr>
        <a:xfrm>
          <a:off x="9361170" y="1912620"/>
          <a:ext cx="0" cy="14615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523460</xdr:colOff>
      <xdr:row>8</xdr:row>
      <xdr:rowOff>178905</xdr:rowOff>
    </xdr:from>
    <xdr:to>
      <xdr:col>26</xdr:col>
      <xdr:colOff>523460</xdr:colOff>
      <xdr:row>92</xdr:row>
      <xdr:rowOff>62492</xdr:rowOff>
    </xdr:to>
    <xdr:cxnSp macro="">
      <xdr:nvCxnSpPr>
        <xdr:cNvPr id="15" name="Connettore diritto 14">
          <a:extLst>
            <a:ext uri="{FF2B5EF4-FFF2-40B4-BE49-F238E27FC236}">
              <a16:creationId xmlns:a16="http://schemas.microsoft.com/office/drawing/2014/main" id="{427A7CC4-AF4F-43EF-9271-95975E6BFD1B}"/>
            </a:ext>
          </a:extLst>
        </xdr:cNvPr>
        <xdr:cNvCxnSpPr/>
      </xdr:nvCxnSpPr>
      <xdr:spPr>
        <a:xfrm>
          <a:off x="14994834" y="1716157"/>
          <a:ext cx="0" cy="1473264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165733</xdr:colOff>
      <xdr:row>9</xdr:row>
      <xdr:rowOff>109828</xdr:rowOff>
    </xdr:from>
    <xdr:to>
      <xdr:col>20</xdr:col>
      <xdr:colOff>165733</xdr:colOff>
      <xdr:row>92</xdr:row>
      <xdr:rowOff>187477</xdr:rowOff>
    </xdr:to>
    <xdr:cxnSp macro="">
      <xdr:nvCxnSpPr>
        <xdr:cNvPr id="16" name="Connettore diritto 15">
          <a:extLst>
            <a:ext uri="{FF2B5EF4-FFF2-40B4-BE49-F238E27FC236}">
              <a16:creationId xmlns:a16="http://schemas.microsoft.com/office/drawing/2014/main" id="{FE3C1E13-DE32-4C73-968C-4BDFC7A7DC9A}"/>
            </a:ext>
          </a:extLst>
        </xdr:cNvPr>
        <xdr:cNvCxnSpPr/>
      </xdr:nvCxnSpPr>
      <xdr:spPr>
        <a:xfrm>
          <a:off x="11496342" y="1839237"/>
          <a:ext cx="0" cy="1473455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11</xdr:row>
      <xdr:rowOff>0</xdr:rowOff>
    </xdr:from>
    <xdr:to>
      <xdr:col>19</xdr:col>
      <xdr:colOff>0</xdr:colOff>
      <xdr:row>94</xdr:row>
      <xdr:rowOff>77649</xdr:rowOff>
    </xdr:to>
    <xdr:cxnSp macro="">
      <xdr:nvCxnSpPr>
        <xdr:cNvPr id="17" name="Connettore diritto 16">
          <a:extLst>
            <a:ext uri="{FF2B5EF4-FFF2-40B4-BE49-F238E27FC236}">
              <a16:creationId xmlns:a16="http://schemas.microsoft.com/office/drawing/2014/main" id="{352AAB61-0425-4161-AC09-56520166684D}"/>
            </a:ext>
          </a:extLst>
        </xdr:cNvPr>
        <xdr:cNvCxnSpPr/>
      </xdr:nvCxnSpPr>
      <xdr:spPr>
        <a:xfrm>
          <a:off x="10807148" y="2113722"/>
          <a:ext cx="0" cy="1473455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541434</xdr:colOff>
      <xdr:row>75</xdr:row>
      <xdr:rowOff>130617</xdr:rowOff>
    </xdr:from>
    <xdr:to>
      <xdr:col>25</xdr:col>
      <xdr:colOff>420799</xdr:colOff>
      <xdr:row>75</xdr:row>
      <xdr:rowOff>130617</xdr:rowOff>
    </xdr:to>
    <xdr:cxnSp macro="">
      <xdr:nvCxnSpPr>
        <xdr:cNvPr id="18" name="Connettore diritto 17">
          <a:extLst>
            <a:ext uri="{FF2B5EF4-FFF2-40B4-BE49-F238E27FC236}">
              <a16:creationId xmlns:a16="http://schemas.microsoft.com/office/drawing/2014/main" id="{DF85EE9C-59C7-474B-BB2F-7715CA210AC8}"/>
            </a:ext>
          </a:extLst>
        </xdr:cNvPr>
        <xdr:cNvCxnSpPr/>
      </xdr:nvCxnSpPr>
      <xdr:spPr>
        <a:xfrm>
          <a:off x="3589434" y="13853243"/>
          <a:ext cx="10779278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10</xdr:row>
      <xdr:rowOff>0</xdr:rowOff>
    </xdr:from>
    <xdr:to>
      <xdr:col>23</xdr:col>
      <xdr:colOff>0</xdr:colOff>
      <xdr:row>93</xdr:row>
      <xdr:rowOff>75743</xdr:rowOff>
    </xdr:to>
    <xdr:cxnSp macro="">
      <xdr:nvCxnSpPr>
        <xdr:cNvPr id="20" name="Connettore diritto 19">
          <a:extLst>
            <a:ext uri="{FF2B5EF4-FFF2-40B4-BE49-F238E27FC236}">
              <a16:creationId xmlns:a16="http://schemas.microsoft.com/office/drawing/2014/main" id="{11F83845-ECA6-41BA-ADFD-69B9B36135D6}"/>
            </a:ext>
          </a:extLst>
        </xdr:cNvPr>
        <xdr:cNvCxnSpPr/>
      </xdr:nvCxnSpPr>
      <xdr:spPr>
        <a:xfrm>
          <a:off x="12900991" y="1921565"/>
          <a:ext cx="0" cy="1473264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264378</xdr:colOff>
      <xdr:row>8</xdr:row>
      <xdr:rowOff>163466</xdr:rowOff>
    </xdr:from>
    <xdr:to>
      <xdr:col>27</xdr:col>
      <xdr:colOff>264378</xdr:colOff>
      <xdr:row>92</xdr:row>
      <xdr:rowOff>87058</xdr:rowOff>
    </xdr:to>
    <xdr:cxnSp macro="">
      <xdr:nvCxnSpPr>
        <xdr:cNvPr id="21" name="Connettore diritto 20">
          <a:extLst>
            <a:ext uri="{FF2B5EF4-FFF2-40B4-BE49-F238E27FC236}">
              <a16:creationId xmlns:a16="http://schemas.microsoft.com/office/drawing/2014/main" id="{017865FB-DB9B-4AF1-8758-5C25F3821483}"/>
            </a:ext>
          </a:extLst>
        </xdr:cNvPr>
        <xdr:cNvCxnSpPr/>
      </xdr:nvCxnSpPr>
      <xdr:spPr>
        <a:xfrm>
          <a:off x="15259213" y="1700718"/>
          <a:ext cx="0" cy="1477265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307778</xdr:colOff>
      <xdr:row>70</xdr:row>
      <xdr:rowOff>132770</xdr:rowOff>
    </xdr:from>
    <xdr:to>
      <xdr:col>27</xdr:col>
      <xdr:colOff>346212</xdr:colOff>
      <xdr:row>70</xdr:row>
      <xdr:rowOff>132770</xdr:rowOff>
    </xdr:to>
    <xdr:cxnSp macro="">
      <xdr:nvCxnSpPr>
        <xdr:cNvPr id="22" name="Connettore diritto 21">
          <a:extLst>
            <a:ext uri="{FF2B5EF4-FFF2-40B4-BE49-F238E27FC236}">
              <a16:creationId xmlns:a16="http://schemas.microsoft.com/office/drawing/2014/main" id="{9A7917A0-0DC3-4FC8-B8C0-5BED0A107B4D}"/>
            </a:ext>
          </a:extLst>
        </xdr:cNvPr>
        <xdr:cNvCxnSpPr/>
      </xdr:nvCxnSpPr>
      <xdr:spPr>
        <a:xfrm>
          <a:off x="4574978" y="13126527"/>
          <a:ext cx="10766069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369318</xdr:colOff>
      <xdr:row>22</xdr:row>
      <xdr:rowOff>71975</xdr:rowOff>
    </xdr:from>
    <xdr:to>
      <xdr:col>27</xdr:col>
      <xdr:colOff>408771</xdr:colOff>
      <xdr:row>22</xdr:row>
      <xdr:rowOff>71975</xdr:rowOff>
    </xdr:to>
    <xdr:cxnSp macro="">
      <xdr:nvCxnSpPr>
        <xdr:cNvPr id="23" name="Connettore diritto 22">
          <a:extLst>
            <a:ext uri="{FF2B5EF4-FFF2-40B4-BE49-F238E27FC236}">
              <a16:creationId xmlns:a16="http://schemas.microsoft.com/office/drawing/2014/main" id="{D6947691-381E-43AB-BBA1-59BA2CF904D9}"/>
            </a:ext>
          </a:extLst>
        </xdr:cNvPr>
        <xdr:cNvCxnSpPr/>
      </xdr:nvCxnSpPr>
      <xdr:spPr>
        <a:xfrm>
          <a:off x="4636518" y="4431940"/>
          <a:ext cx="10767088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376937</xdr:colOff>
      <xdr:row>23</xdr:row>
      <xdr:rowOff>168715</xdr:rowOff>
    </xdr:from>
    <xdr:to>
      <xdr:col>27</xdr:col>
      <xdr:colOff>414485</xdr:colOff>
      <xdr:row>23</xdr:row>
      <xdr:rowOff>168715</xdr:rowOff>
    </xdr:to>
    <xdr:cxnSp macro="">
      <xdr:nvCxnSpPr>
        <xdr:cNvPr id="24" name="Connettore diritto 23">
          <a:extLst>
            <a:ext uri="{FF2B5EF4-FFF2-40B4-BE49-F238E27FC236}">
              <a16:creationId xmlns:a16="http://schemas.microsoft.com/office/drawing/2014/main" id="{17754620-2EFF-457C-A2C8-DF1D97F4B856}"/>
            </a:ext>
          </a:extLst>
        </xdr:cNvPr>
        <xdr:cNvCxnSpPr/>
      </xdr:nvCxnSpPr>
      <xdr:spPr>
        <a:xfrm>
          <a:off x="4644137" y="4853358"/>
          <a:ext cx="10765183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383563</xdr:colOff>
      <xdr:row>24</xdr:row>
      <xdr:rowOff>105188</xdr:rowOff>
    </xdr:from>
    <xdr:to>
      <xdr:col>27</xdr:col>
      <xdr:colOff>417301</xdr:colOff>
      <xdr:row>24</xdr:row>
      <xdr:rowOff>105188</xdr:rowOff>
    </xdr:to>
    <xdr:cxnSp macro="">
      <xdr:nvCxnSpPr>
        <xdr:cNvPr id="25" name="Connettore diritto 24">
          <a:extLst>
            <a:ext uri="{FF2B5EF4-FFF2-40B4-BE49-F238E27FC236}">
              <a16:creationId xmlns:a16="http://schemas.microsoft.com/office/drawing/2014/main" id="{69D3B3E6-6D7D-4964-98D4-2B20A9B6A493}"/>
            </a:ext>
          </a:extLst>
        </xdr:cNvPr>
        <xdr:cNvCxnSpPr/>
      </xdr:nvCxnSpPr>
      <xdr:spPr>
        <a:xfrm>
          <a:off x="4650763" y="5114510"/>
          <a:ext cx="10761373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406340</xdr:colOff>
      <xdr:row>25</xdr:row>
      <xdr:rowOff>180977</xdr:rowOff>
    </xdr:from>
    <xdr:to>
      <xdr:col>27</xdr:col>
      <xdr:colOff>405788</xdr:colOff>
      <xdr:row>25</xdr:row>
      <xdr:rowOff>180977</xdr:rowOff>
    </xdr:to>
    <xdr:cxnSp macro="">
      <xdr:nvCxnSpPr>
        <xdr:cNvPr id="26" name="Connettore diritto 25">
          <a:extLst>
            <a:ext uri="{FF2B5EF4-FFF2-40B4-BE49-F238E27FC236}">
              <a16:creationId xmlns:a16="http://schemas.microsoft.com/office/drawing/2014/main" id="{5D67CBAC-54C9-4D9C-A845-4873EC4B2489}"/>
            </a:ext>
          </a:extLst>
        </xdr:cNvPr>
        <xdr:cNvCxnSpPr/>
      </xdr:nvCxnSpPr>
      <xdr:spPr>
        <a:xfrm>
          <a:off x="4673540" y="5514977"/>
          <a:ext cx="10727083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393092</xdr:colOff>
      <xdr:row>27</xdr:row>
      <xdr:rowOff>142127</xdr:rowOff>
    </xdr:from>
    <xdr:to>
      <xdr:col>27</xdr:col>
      <xdr:colOff>409685</xdr:colOff>
      <xdr:row>27</xdr:row>
      <xdr:rowOff>142127</xdr:rowOff>
    </xdr:to>
    <xdr:cxnSp macro="">
      <xdr:nvCxnSpPr>
        <xdr:cNvPr id="27" name="Connettore diritto 26">
          <a:extLst>
            <a:ext uri="{FF2B5EF4-FFF2-40B4-BE49-F238E27FC236}">
              <a16:creationId xmlns:a16="http://schemas.microsoft.com/office/drawing/2014/main" id="{84210CAB-5327-4F5C-9247-1F3A29738D80}"/>
            </a:ext>
          </a:extLst>
        </xdr:cNvPr>
        <xdr:cNvCxnSpPr/>
      </xdr:nvCxnSpPr>
      <xdr:spPr>
        <a:xfrm>
          <a:off x="4660292" y="6125484"/>
          <a:ext cx="10744228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322935</xdr:colOff>
      <xdr:row>28</xdr:row>
      <xdr:rowOff>270014</xdr:rowOff>
    </xdr:from>
    <xdr:to>
      <xdr:col>27</xdr:col>
      <xdr:colOff>358578</xdr:colOff>
      <xdr:row>28</xdr:row>
      <xdr:rowOff>270014</xdr:rowOff>
    </xdr:to>
    <xdr:cxnSp macro="">
      <xdr:nvCxnSpPr>
        <xdr:cNvPr id="28" name="Connettore diritto 27">
          <a:extLst>
            <a:ext uri="{FF2B5EF4-FFF2-40B4-BE49-F238E27FC236}">
              <a16:creationId xmlns:a16="http://schemas.microsoft.com/office/drawing/2014/main" id="{14C0C3F9-0CF1-4436-9A35-BADBC00E1E6D}"/>
            </a:ext>
          </a:extLst>
        </xdr:cNvPr>
        <xdr:cNvCxnSpPr/>
      </xdr:nvCxnSpPr>
      <xdr:spPr>
        <a:xfrm>
          <a:off x="4590135" y="6578049"/>
          <a:ext cx="10763278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518985</xdr:colOff>
      <xdr:row>37</xdr:row>
      <xdr:rowOff>110162</xdr:rowOff>
    </xdr:from>
    <xdr:to>
      <xdr:col>28</xdr:col>
      <xdr:colOff>17832</xdr:colOff>
      <xdr:row>37</xdr:row>
      <xdr:rowOff>110162</xdr:rowOff>
    </xdr:to>
    <xdr:cxnSp macro="">
      <xdr:nvCxnSpPr>
        <xdr:cNvPr id="29" name="Connettore diritto 28">
          <a:extLst>
            <a:ext uri="{FF2B5EF4-FFF2-40B4-BE49-F238E27FC236}">
              <a16:creationId xmlns:a16="http://schemas.microsoft.com/office/drawing/2014/main" id="{20DC02E6-C5C2-4D1F-857C-1AEE6A21B459}"/>
            </a:ext>
          </a:extLst>
        </xdr:cNvPr>
        <xdr:cNvCxnSpPr/>
      </xdr:nvCxnSpPr>
      <xdr:spPr>
        <a:xfrm>
          <a:off x="4786185" y="9340301"/>
          <a:ext cx="10749943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355154</xdr:colOff>
      <xdr:row>31</xdr:row>
      <xdr:rowOff>263301</xdr:rowOff>
    </xdr:from>
    <xdr:to>
      <xdr:col>27</xdr:col>
      <xdr:colOff>392702</xdr:colOff>
      <xdr:row>31</xdr:row>
      <xdr:rowOff>263301</xdr:rowOff>
    </xdr:to>
    <xdr:cxnSp macro="">
      <xdr:nvCxnSpPr>
        <xdr:cNvPr id="30" name="Connettore diritto 29">
          <a:extLst>
            <a:ext uri="{FF2B5EF4-FFF2-40B4-BE49-F238E27FC236}">
              <a16:creationId xmlns:a16="http://schemas.microsoft.com/office/drawing/2014/main" id="{41C91B05-8356-4274-AAE1-6E01C592D4E4}"/>
            </a:ext>
          </a:extLst>
        </xdr:cNvPr>
        <xdr:cNvCxnSpPr/>
      </xdr:nvCxnSpPr>
      <xdr:spPr>
        <a:xfrm>
          <a:off x="4622354" y="7545371"/>
          <a:ext cx="10765183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15</xdr:col>
      <xdr:colOff>254690</xdr:colOff>
      <xdr:row>21</xdr:row>
      <xdr:rowOff>33046</xdr:rowOff>
    </xdr:from>
    <xdr:ext cx="905120" cy="280205"/>
    <xdr:sp macro="" textlink="">
      <xdr:nvSpPr>
        <xdr:cNvPr id="31" name="CasellaDiTesto 30">
          <a:extLst>
            <a:ext uri="{FF2B5EF4-FFF2-40B4-BE49-F238E27FC236}">
              <a16:creationId xmlns:a16="http://schemas.microsoft.com/office/drawing/2014/main" id="{C8E8DC63-ED6F-78BE-CCE3-E55F48C15A0A}"/>
            </a:ext>
          </a:extLst>
        </xdr:cNvPr>
        <xdr:cNvSpPr txBox="1"/>
      </xdr:nvSpPr>
      <xdr:spPr>
        <a:xfrm>
          <a:off x="8967994" y="4068333"/>
          <a:ext cx="905120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it-IT" sz="1200" b="1"/>
            <a:t>(15.5, 33.8)</a:t>
          </a:r>
        </a:p>
      </xdr:txBody>
    </xdr:sp>
    <xdr:clientData/>
  </xdr:oneCellAnchor>
  <xdr:oneCellAnchor>
    <xdr:from>
      <xdr:col>6</xdr:col>
      <xdr:colOff>589722</xdr:colOff>
      <xdr:row>21</xdr:row>
      <xdr:rowOff>248975</xdr:rowOff>
    </xdr:from>
    <xdr:ext cx="457433" cy="280205"/>
    <xdr:sp macro="" textlink="">
      <xdr:nvSpPr>
        <xdr:cNvPr id="32" name="CasellaDiTesto 31">
          <a:extLst>
            <a:ext uri="{FF2B5EF4-FFF2-40B4-BE49-F238E27FC236}">
              <a16:creationId xmlns:a16="http://schemas.microsoft.com/office/drawing/2014/main" id="{B0FE7089-03B4-4973-9F67-7B005FA31703}"/>
            </a:ext>
          </a:extLst>
        </xdr:cNvPr>
        <xdr:cNvSpPr txBox="1"/>
      </xdr:nvSpPr>
      <xdr:spPr>
        <a:xfrm>
          <a:off x="4247322" y="4284262"/>
          <a:ext cx="457433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it-IT" sz="1200" b="1"/>
            <a:t>33.8</a:t>
          </a:r>
        </a:p>
      </xdr:txBody>
    </xdr:sp>
    <xdr:clientData/>
  </xdr:oneCellAnchor>
  <xdr:oneCellAnchor>
    <xdr:from>
      <xdr:col>7</xdr:col>
      <xdr:colOff>34124</xdr:colOff>
      <xdr:row>22</xdr:row>
      <xdr:rowOff>300079</xdr:rowOff>
    </xdr:from>
    <xdr:ext cx="459678" cy="280205"/>
    <xdr:sp macro="" textlink="">
      <xdr:nvSpPr>
        <xdr:cNvPr id="33" name="CasellaDiTesto 32">
          <a:extLst>
            <a:ext uri="{FF2B5EF4-FFF2-40B4-BE49-F238E27FC236}">
              <a16:creationId xmlns:a16="http://schemas.microsoft.com/office/drawing/2014/main" id="{4DF08DBE-9BFE-448C-98E8-5E294ECC522E}"/>
            </a:ext>
          </a:extLst>
        </xdr:cNvPr>
        <xdr:cNvSpPr txBox="1"/>
      </xdr:nvSpPr>
      <xdr:spPr>
        <a:xfrm>
          <a:off x="4301324" y="4660044"/>
          <a:ext cx="459678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it-IT" sz="1200" b="1"/>
            <a:t>32.5</a:t>
          </a:r>
        </a:p>
      </xdr:txBody>
    </xdr:sp>
    <xdr:clientData/>
  </xdr:oneCellAnchor>
  <xdr:oneCellAnchor>
    <xdr:from>
      <xdr:col>7</xdr:col>
      <xdr:colOff>0</xdr:colOff>
      <xdr:row>23</xdr:row>
      <xdr:rowOff>270677</xdr:rowOff>
    </xdr:from>
    <xdr:ext cx="459678" cy="280205"/>
    <xdr:sp macro="" textlink="">
      <xdr:nvSpPr>
        <xdr:cNvPr id="34" name="CasellaDiTesto 33">
          <a:extLst>
            <a:ext uri="{FF2B5EF4-FFF2-40B4-BE49-F238E27FC236}">
              <a16:creationId xmlns:a16="http://schemas.microsoft.com/office/drawing/2014/main" id="{E08F05BA-9748-407C-AA81-2A5195E40D82}"/>
            </a:ext>
          </a:extLst>
        </xdr:cNvPr>
        <xdr:cNvSpPr txBox="1"/>
      </xdr:nvSpPr>
      <xdr:spPr>
        <a:xfrm>
          <a:off x="4267200" y="4955320"/>
          <a:ext cx="459678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it-IT" sz="1200" b="1"/>
            <a:t>31.7</a:t>
          </a:r>
        </a:p>
      </xdr:txBody>
    </xdr:sp>
    <xdr:clientData/>
  </xdr:oneCellAnchor>
  <xdr:oneCellAnchor>
    <xdr:from>
      <xdr:col>7</xdr:col>
      <xdr:colOff>112643</xdr:colOff>
      <xdr:row>24</xdr:row>
      <xdr:rowOff>272580</xdr:rowOff>
    </xdr:from>
    <xdr:ext cx="459678" cy="280205"/>
    <xdr:sp macro="" textlink="">
      <xdr:nvSpPr>
        <xdr:cNvPr id="35" name="CasellaDiTesto 34">
          <a:extLst>
            <a:ext uri="{FF2B5EF4-FFF2-40B4-BE49-F238E27FC236}">
              <a16:creationId xmlns:a16="http://schemas.microsoft.com/office/drawing/2014/main" id="{FBA87F57-547A-4DF2-9A28-6D7237315130}"/>
            </a:ext>
          </a:extLst>
        </xdr:cNvPr>
        <xdr:cNvSpPr txBox="1"/>
      </xdr:nvSpPr>
      <xdr:spPr>
        <a:xfrm>
          <a:off x="4379843" y="5281902"/>
          <a:ext cx="459678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it-IT" sz="1200" b="1"/>
            <a:t>30.5</a:t>
          </a:r>
        </a:p>
      </xdr:txBody>
    </xdr:sp>
    <xdr:clientData/>
  </xdr:oneCellAnchor>
  <xdr:oneCellAnchor>
    <xdr:from>
      <xdr:col>7</xdr:col>
      <xdr:colOff>192157</xdr:colOff>
      <xdr:row>26</xdr:row>
      <xdr:rowOff>222554</xdr:rowOff>
    </xdr:from>
    <xdr:ext cx="459678" cy="280205"/>
    <xdr:sp macro="" textlink="">
      <xdr:nvSpPr>
        <xdr:cNvPr id="36" name="CasellaDiTesto 35">
          <a:extLst>
            <a:ext uri="{FF2B5EF4-FFF2-40B4-BE49-F238E27FC236}">
              <a16:creationId xmlns:a16="http://schemas.microsoft.com/office/drawing/2014/main" id="{87E28E01-3B2A-4EC3-A52E-D20A91F07D0F}"/>
            </a:ext>
          </a:extLst>
        </xdr:cNvPr>
        <xdr:cNvSpPr txBox="1"/>
      </xdr:nvSpPr>
      <xdr:spPr>
        <a:xfrm>
          <a:off x="4459357" y="5881232"/>
          <a:ext cx="459678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it-IT" sz="1200" b="1"/>
            <a:t>28.6</a:t>
          </a:r>
        </a:p>
      </xdr:txBody>
    </xdr:sp>
    <xdr:clientData/>
  </xdr:oneCellAnchor>
  <xdr:oneCellAnchor>
    <xdr:from>
      <xdr:col>7</xdr:col>
      <xdr:colOff>79513</xdr:colOff>
      <xdr:row>28</xdr:row>
      <xdr:rowOff>42572</xdr:rowOff>
    </xdr:from>
    <xdr:ext cx="459678" cy="280205"/>
    <xdr:sp macro="" textlink="">
      <xdr:nvSpPr>
        <xdr:cNvPr id="37" name="CasellaDiTesto 36">
          <a:extLst>
            <a:ext uri="{FF2B5EF4-FFF2-40B4-BE49-F238E27FC236}">
              <a16:creationId xmlns:a16="http://schemas.microsoft.com/office/drawing/2014/main" id="{C274E3D0-C2B2-43B2-A359-D489B2D4176A}"/>
            </a:ext>
          </a:extLst>
        </xdr:cNvPr>
        <xdr:cNvSpPr txBox="1"/>
      </xdr:nvSpPr>
      <xdr:spPr>
        <a:xfrm>
          <a:off x="4346713" y="6350607"/>
          <a:ext cx="459678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it-IT" sz="1200" b="1"/>
            <a:t>27.2</a:t>
          </a:r>
        </a:p>
      </xdr:txBody>
    </xdr:sp>
    <xdr:clientData/>
  </xdr:oneCellAnchor>
  <xdr:oneCellAnchor>
    <xdr:from>
      <xdr:col>7</xdr:col>
      <xdr:colOff>109910</xdr:colOff>
      <xdr:row>31</xdr:row>
      <xdr:rowOff>3809</xdr:rowOff>
    </xdr:from>
    <xdr:ext cx="537648" cy="280205"/>
    <xdr:sp macro="" textlink="">
      <xdr:nvSpPr>
        <xdr:cNvPr id="38" name="CasellaDiTesto 37">
          <a:extLst>
            <a:ext uri="{FF2B5EF4-FFF2-40B4-BE49-F238E27FC236}">
              <a16:creationId xmlns:a16="http://schemas.microsoft.com/office/drawing/2014/main" id="{754718E8-6BEC-4C05-89F5-9A70C787D95D}"/>
            </a:ext>
          </a:extLst>
        </xdr:cNvPr>
        <xdr:cNvSpPr txBox="1"/>
      </xdr:nvSpPr>
      <xdr:spPr>
        <a:xfrm>
          <a:off x="4377110" y="7285879"/>
          <a:ext cx="537648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it-IT" sz="1200" b="1"/>
            <a:t>24.25</a:t>
          </a:r>
        </a:p>
      </xdr:txBody>
    </xdr:sp>
    <xdr:clientData/>
  </xdr:oneCellAnchor>
  <xdr:twoCellAnchor>
    <xdr:from>
      <xdr:col>7</xdr:col>
      <xdr:colOff>379753</xdr:colOff>
      <xdr:row>34</xdr:row>
      <xdr:rowOff>232332</xdr:rowOff>
    </xdr:from>
    <xdr:to>
      <xdr:col>27</xdr:col>
      <xdr:colOff>424921</xdr:colOff>
      <xdr:row>34</xdr:row>
      <xdr:rowOff>232332</xdr:rowOff>
    </xdr:to>
    <xdr:cxnSp macro="">
      <xdr:nvCxnSpPr>
        <xdr:cNvPr id="39" name="Connettore diritto 38">
          <a:extLst>
            <a:ext uri="{FF2B5EF4-FFF2-40B4-BE49-F238E27FC236}">
              <a16:creationId xmlns:a16="http://schemas.microsoft.com/office/drawing/2014/main" id="{59BA21C1-2E3C-4625-8319-7BD58A37E2B9}"/>
            </a:ext>
          </a:extLst>
        </xdr:cNvPr>
        <xdr:cNvCxnSpPr/>
      </xdr:nvCxnSpPr>
      <xdr:spPr>
        <a:xfrm>
          <a:off x="4646953" y="8488436"/>
          <a:ext cx="10772803" cy="0"/>
        </a:xfrm>
        <a:prstGeom prst="line">
          <a:avLst/>
        </a:prstGeom>
        <a:ln w="19050">
          <a:solidFill>
            <a:schemeClr val="accent6">
              <a:lumMod val="50000"/>
            </a:schemeClr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7</xdr:col>
      <xdr:colOff>110821</xdr:colOff>
      <xdr:row>33</xdr:row>
      <xdr:rowOff>300079</xdr:rowOff>
    </xdr:from>
    <xdr:ext cx="537648" cy="280205"/>
    <xdr:sp macro="" textlink="">
      <xdr:nvSpPr>
        <xdr:cNvPr id="40" name="CasellaDiTesto 39">
          <a:extLst>
            <a:ext uri="{FF2B5EF4-FFF2-40B4-BE49-F238E27FC236}">
              <a16:creationId xmlns:a16="http://schemas.microsoft.com/office/drawing/2014/main" id="{F6EF29F6-98DC-4471-8049-EB1CE9FD97EA}"/>
            </a:ext>
          </a:extLst>
        </xdr:cNvPr>
        <xdr:cNvSpPr txBox="1"/>
      </xdr:nvSpPr>
      <xdr:spPr>
        <a:xfrm>
          <a:off x="4378021" y="8231505"/>
          <a:ext cx="537648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it-IT" sz="1200" b="1"/>
            <a:t>21.35</a:t>
          </a:r>
        </a:p>
      </xdr:txBody>
    </xdr:sp>
    <xdr:clientData/>
  </xdr:oneCellAnchor>
  <xdr:oneCellAnchor>
    <xdr:from>
      <xdr:col>7</xdr:col>
      <xdr:colOff>147844</xdr:colOff>
      <xdr:row>36</xdr:row>
      <xdr:rowOff>110821</xdr:rowOff>
    </xdr:from>
    <xdr:ext cx="537648" cy="280205"/>
    <xdr:sp macro="" textlink="">
      <xdr:nvSpPr>
        <xdr:cNvPr id="41" name="CasellaDiTesto 40">
          <a:extLst>
            <a:ext uri="{FF2B5EF4-FFF2-40B4-BE49-F238E27FC236}">
              <a16:creationId xmlns:a16="http://schemas.microsoft.com/office/drawing/2014/main" id="{2095E2DF-FE20-48E1-A9E2-DBE2B976805A}"/>
            </a:ext>
          </a:extLst>
        </xdr:cNvPr>
        <xdr:cNvSpPr txBox="1"/>
      </xdr:nvSpPr>
      <xdr:spPr>
        <a:xfrm>
          <a:off x="4415044" y="9016282"/>
          <a:ext cx="537648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it-IT" sz="1200" b="1"/>
            <a:t>18.75</a:t>
          </a: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484864</xdr:colOff>
      <xdr:row>1</xdr:row>
      <xdr:rowOff>146685</xdr:rowOff>
    </xdr:from>
    <xdr:to>
      <xdr:col>17</xdr:col>
      <xdr:colOff>180064</xdr:colOff>
      <xdr:row>20</xdr:row>
      <xdr:rowOff>32385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F678BE8C-8D2A-20B1-8DD2-9D37079904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484615</xdr:colOff>
      <xdr:row>22</xdr:row>
      <xdr:rowOff>177497</xdr:rowOff>
    </xdr:from>
    <xdr:to>
      <xdr:col>17</xdr:col>
      <xdr:colOff>179815</xdr:colOff>
      <xdr:row>37</xdr:row>
      <xdr:rowOff>38349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53E0FDD1-72E9-8C86-3302-C395D816DB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24186</xdr:colOff>
      <xdr:row>8</xdr:row>
      <xdr:rowOff>3645</xdr:rowOff>
    </xdr:from>
    <xdr:to>
      <xdr:col>39</xdr:col>
      <xdr:colOff>563218</xdr:colOff>
      <xdr:row>41</xdr:row>
      <xdr:rowOff>52160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78B5C062-818E-B227-0888-3BC0EF88F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8871" y="1461384"/>
          <a:ext cx="8291554" cy="5067776"/>
        </a:xfrm>
        <a:prstGeom prst="rect">
          <a:avLst/>
        </a:prstGeom>
      </xdr:spPr>
    </xdr:pic>
    <xdr:clientData/>
  </xdr:twoCellAnchor>
  <xdr:twoCellAnchor editAs="oneCell">
    <xdr:from>
      <xdr:col>12</xdr:col>
      <xdr:colOff>70597</xdr:colOff>
      <xdr:row>9</xdr:row>
      <xdr:rowOff>80741</xdr:rowOff>
    </xdr:from>
    <xdr:to>
      <xdr:col>39</xdr:col>
      <xdr:colOff>467500</xdr:colOff>
      <xdr:row>37</xdr:row>
      <xdr:rowOff>2238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771DECAA-42CD-CB6C-A134-9D36973C9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alphaModFix amt="50000"/>
        </a:blip>
        <a:stretch>
          <a:fillRect/>
        </a:stretch>
      </xdr:blipFill>
      <xdr:spPr>
        <a:xfrm>
          <a:off x="3093749" y="1720698"/>
          <a:ext cx="7490958" cy="4360975"/>
        </a:xfrm>
        <a:prstGeom prst="rect">
          <a:avLst/>
        </a:prstGeom>
      </xdr:spPr>
    </xdr:pic>
    <xdr:clientData/>
  </xdr:twoCellAnchor>
  <xdr:twoCellAnchor>
    <xdr:from>
      <xdr:col>7</xdr:col>
      <xdr:colOff>152400</xdr:colOff>
      <xdr:row>25</xdr:row>
      <xdr:rowOff>152400</xdr:rowOff>
    </xdr:from>
    <xdr:to>
      <xdr:col>38</xdr:col>
      <xdr:colOff>393785</xdr:colOff>
      <xdr:row>25</xdr:row>
      <xdr:rowOff>152400</xdr:rowOff>
    </xdr:to>
    <xdr:cxnSp macro="">
      <xdr:nvCxnSpPr>
        <xdr:cNvPr id="6" name="Connettore diritto 5">
          <a:extLst>
            <a:ext uri="{FF2B5EF4-FFF2-40B4-BE49-F238E27FC236}">
              <a16:creationId xmlns:a16="http://schemas.microsoft.com/office/drawing/2014/main" id="{4C17A859-69F1-B8D9-FA74-BED8AE6452FB}"/>
            </a:ext>
          </a:extLst>
        </xdr:cNvPr>
        <xdr:cNvCxnSpPr/>
      </xdr:nvCxnSpPr>
      <xdr:spPr>
        <a:xfrm flipH="1">
          <a:off x="2098431" y="4695092"/>
          <a:ext cx="79200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152452</xdr:colOff>
      <xdr:row>33</xdr:row>
      <xdr:rowOff>3</xdr:rowOff>
    </xdr:from>
    <xdr:to>
      <xdr:col>38</xdr:col>
      <xdr:colOff>393837</xdr:colOff>
      <xdr:row>33</xdr:row>
      <xdr:rowOff>3</xdr:rowOff>
    </xdr:to>
    <xdr:cxnSp macro="">
      <xdr:nvCxnSpPr>
        <xdr:cNvPr id="7" name="Connettore diritto 6">
          <a:extLst>
            <a:ext uri="{FF2B5EF4-FFF2-40B4-BE49-F238E27FC236}">
              <a16:creationId xmlns:a16="http://schemas.microsoft.com/office/drawing/2014/main" id="{D61D565A-1F58-40E6-9A02-FFD30955DD4B}"/>
            </a:ext>
          </a:extLst>
        </xdr:cNvPr>
        <xdr:cNvCxnSpPr/>
      </xdr:nvCxnSpPr>
      <xdr:spPr>
        <a:xfrm flipH="1">
          <a:off x="2092088" y="5725394"/>
          <a:ext cx="7889094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124730</xdr:colOff>
      <xdr:row>19</xdr:row>
      <xdr:rowOff>58891</xdr:rowOff>
    </xdr:from>
    <xdr:to>
      <xdr:col>38</xdr:col>
      <xdr:colOff>366115</xdr:colOff>
      <xdr:row>19</xdr:row>
      <xdr:rowOff>58891</xdr:rowOff>
    </xdr:to>
    <xdr:cxnSp macro="">
      <xdr:nvCxnSpPr>
        <xdr:cNvPr id="8" name="Connettore diritto 7">
          <a:extLst>
            <a:ext uri="{FF2B5EF4-FFF2-40B4-BE49-F238E27FC236}">
              <a16:creationId xmlns:a16="http://schemas.microsoft.com/office/drawing/2014/main" id="{DA5FB86A-DC90-48EE-9E75-FC08DD357612}"/>
            </a:ext>
          </a:extLst>
        </xdr:cNvPr>
        <xdr:cNvCxnSpPr/>
      </xdr:nvCxnSpPr>
      <xdr:spPr>
        <a:xfrm flipH="1">
          <a:off x="2064366" y="3546773"/>
          <a:ext cx="7889094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115996</xdr:colOff>
      <xdr:row>24</xdr:row>
      <xdr:rowOff>56317</xdr:rowOff>
    </xdr:from>
    <xdr:to>
      <xdr:col>38</xdr:col>
      <xdr:colOff>362527</xdr:colOff>
      <xdr:row>24</xdr:row>
      <xdr:rowOff>56317</xdr:rowOff>
    </xdr:to>
    <xdr:cxnSp macro="">
      <xdr:nvCxnSpPr>
        <xdr:cNvPr id="9" name="Connettore diritto 8">
          <a:extLst>
            <a:ext uri="{FF2B5EF4-FFF2-40B4-BE49-F238E27FC236}">
              <a16:creationId xmlns:a16="http://schemas.microsoft.com/office/drawing/2014/main" id="{7B900129-FA73-417B-B7DB-34BA31336097}"/>
            </a:ext>
          </a:extLst>
        </xdr:cNvPr>
        <xdr:cNvCxnSpPr/>
      </xdr:nvCxnSpPr>
      <xdr:spPr>
        <a:xfrm flipH="1">
          <a:off x="2055632" y="4462062"/>
          <a:ext cx="789424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114322</xdr:colOff>
      <xdr:row>21</xdr:row>
      <xdr:rowOff>107390</xdr:rowOff>
    </xdr:from>
    <xdr:to>
      <xdr:col>38</xdr:col>
      <xdr:colOff>355707</xdr:colOff>
      <xdr:row>21</xdr:row>
      <xdr:rowOff>107390</xdr:rowOff>
    </xdr:to>
    <xdr:cxnSp macro="">
      <xdr:nvCxnSpPr>
        <xdr:cNvPr id="10" name="Connettore diritto 9">
          <a:extLst>
            <a:ext uri="{FF2B5EF4-FFF2-40B4-BE49-F238E27FC236}">
              <a16:creationId xmlns:a16="http://schemas.microsoft.com/office/drawing/2014/main" id="{6E15C220-79EF-4A86-81DF-3552C38BD242}"/>
            </a:ext>
          </a:extLst>
        </xdr:cNvPr>
        <xdr:cNvCxnSpPr/>
      </xdr:nvCxnSpPr>
      <xdr:spPr>
        <a:xfrm flipH="1">
          <a:off x="2053958" y="3962417"/>
          <a:ext cx="7889094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155881</xdr:colOff>
      <xdr:row>27</xdr:row>
      <xdr:rowOff>86591</xdr:rowOff>
    </xdr:from>
    <xdr:to>
      <xdr:col>38</xdr:col>
      <xdr:colOff>397266</xdr:colOff>
      <xdr:row>27</xdr:row>
      <xdr:rowOff>86591</xdr:rowOff>
    </xdr:to>
    <xdr:cxnSp macro="">
      <xdr:nvCxnSpPr>
        <xdr:cNvPr id="11" name="Connettore diritto 10">
          <a:extLst>
            <a:ext uri="{FF2B5EF4-FFF2-40B4-BE49-F238E27FC236}">
              <a16:creationId xmlns:a16="http://schemas.microsoft.com/office/drawing/2014/main" id="{ABF7092D-11ED-445D-B31D-B90613893FE7}"/>
            </a:ext>
          </a:extLst>
        </xdr:cNvPr>
        <xdr:cNvCxnSpPr/>
      </xdr:nvCxnSpPr>
      <xdr:spPr>
        <a:xfrm flipH="1">
          <a:off x="2095517" y="5043055"/>
          <a:ext cx="7889094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122355</xdr:colOff>
      <xdr:row>18</xdr:row>
      <xdr:rowOff>72051</xdr:rowOff>
    </xdr:from>
    <xdr:to>
      <xdr:col>38</xdr:col>
      <xdr:colOff>363740</xdr:colOff>
      <xdr:row>18</xdr:row>
      <xdr:rowOff>72051</xdr:rowOff>
    </xdr:to>
    <xdr:cxnSp macro="">
      <xdr:nvCxnSpPr>
        <xdr:cNvPr id="12" name="Connettore diritto 11">
          <a:extLst>
            <a:ext uri="{FF2B5EF4-FFF2-40B4-BE49-F238E27FC236}">
              <a16:creationId xmlns:a16="http://schemas.microsoft.com/office/drawing/2014/main" id="{30A844E9-DDB3-412F-8C24-01D59457943B}"/>
            </a:ext>
          </a:extLst>
        </xdr:cNvPr>
        <xdr:cNvCxnSpPr/>
      </xdr:nvCxnSpPr>
      <xdr:spPr>
        <a:xfrm flipH="1">
          <a:off x="2064366" y="3363891"/>
          <a:ext cx="7900574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52686</xdr:colOff>
      <xdr:row>16</xdr:row>
      <xdr:rowOff>119957</xdr:rowOff>
    </xdr:from>
    <xdr:to>
      <xdr:col>38</xdr:col>
      <xdr:colOff>516140</xdr:colOff>
      <xdr:row>16</xdr:row>
      <xdr:rowOff>119957</xdr:rowOff>
    </xdr:to>
    <xdr:cxnSp macro="">
      <xdr:nvCxnSpPr>
        <xdr:cNvPr id="13" name="Connettore diritto 12">
          <a:extLst>
            <a:ext uri="{FF2B5EF4-FFF2-40B4-BE49-F238E27FC236}">
              <a16:creationId xmlns:a16="http://schemas.microsoft.com/office/drawing/2014/main" id="{A8AD03F3-DECB-469E-8C45-236A65D7204A}"/>
            </a:ext>
          </a:extLst>
        </xdr:cNvPr>
        <xdr:cNvCxnSpPr/>
      </xdr:nvCxnSpPr>
      <xdr:spPr>
        <a:xfrm flipH="1">
          <a:off x="2216766" y="3046037"/>
          <a:ext cx="7900574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205086</xdr:colOff>
      <xdr:row>14</xdr:row>
      <xdr:rowOff>53340</xdr:rowOff>
    </xdr:from>
    <xdr:to>
      <xdr:col>39</xdr:col>
      <xdr:colOff>58940</xdr:colOff>
      <xdr:row>14</xdr:row>
      <xdr:rowOff>53340</xdr:rowOff>
    </xdr:to>
    <xdr:cxnSp macro="">
      <xdr:nvCxnSpPr>
        <xdr:cNvPr id="14" name="Connettore diritto 13">
          <a:extLst>
            <a:ext uri="{FF2B5EF4-FFF2-40B4-BE49-F238E27FC236}">
              <a16:creationId xmlns:a16="http://schemas.microsoft.com/office/drawing/2014/main" id="{CC1782B2-584C-49EA-9530-B9306EF68B35}"/>
            </a:ext>
          </a:extLst>
        </xdr:cNvPr>
        <xdr:cNvCxnSpPr/>
      </xdr:nvCxnSpPr>
      <xdr:spPr>
        <a:xfrm flipH="1">
          <a:off x="2358141" y="2595502"/>
          <a:ext cx="7856476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205086</xdr:colOff>
      <xdr:row>13</xdr:row>
      <xdr:rowOff>20906</xdr:rowOff>
    </xdr:from>
    <xdr:to>
      <xdr:col>39</xdr:col>
      <xdr:colOff>57364</xdr:colOff>
      <xdr:row>13</xdr:row>
      <xdr:rowOff>20906</xdr:rowOff>
    </xdr:to>
    <xdr:cxnSp macro="">
      <xdr:nvCxnSpPr>
        <xdr:cNvPr id="15" name="Connettore diritto 14">
          <a:extLst>
            <a:ext uri="{FF2B5EF4-FFF2-40B4-BE49-F238E27FC236}">
              <a16:creationId xmlns:a16="http://schemas.microsoft.com/office/drawing/2014/main" id="{3E476E8E-1360-4172-919E-549D8CE7A9BC}"/>
            </a:ext>
          </a:extLst>
        </xdr:cNvPr>
        <xdr:cNvCxnSpPr/>
      </xdr:nvCxnSpPr>
      <xdr:spPr>
        <a:xfrm flipH="1">
          <a:off x="2358141" y="2381485"/>
          <a:ext cx="78549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372208</xdr:colOff>
      <xdr:row>10</xdr:row>
      <xdr:rowOff>64477</xdr:rowOff>
    </xdr:from>
    <xdr:to>
      <xdr:col>53</xdr:col>
      <xdr:colOff>67408</xdr:colOff>
      <xdr:row>25</xdr:row>
      <xdr:rowOff>82062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5EB8B6DC-CC78-E0CF-7E90-122A3D1E85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9</xdr:col>
      <xdr:colOff>27708</xdr:colOff>
      <xdr:row>44</xdr:row>
      <xdr:rowOff>88179</xdr:rowOff>
    </xdr:from>
    <xdr:to>
      <xdr:col>40</xdr:col>
      <xdr:colOff>1444</xdr:colOff>
      <xdr:row>71</xdr:row>
      <xdr:rowOff>41563</xdr:rowOff>
    </xdr:to>
    <xdr:pic>
      <xdr:nvPicPr>
        <xdr:cNvPr id="17" name="Immagine 16">
          <a:extLst>
            <a:ext uri="{FF2B5EF4-FFF2-40B4-BE49-F238E27FC236}">
              <a16:creationId xmlns:a16="http://schemas.microsoft.com/office/drawing/2014/main" id="{DECAC42A-BF02-E31B-DE59-5EA02E50F5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19216" y="6852394"/>
          <a:ext cx="8426074" cy="2807954"/>
        </a:xfrm>
        <a:prstGeom prst="rect">
          <a:avLst/>
        </a:prstGeom>
      </xdr:spPr>
    </xdr:pic>
    <xdr:clientData/>
  </xdr:twoCellAnchor>
  <xdr:twoCellAnchor editAs="oneCell">
    <xdr:from>
      <xdr:col>12</xdr:col>
      <xdr:colOff>87923</xdr:colOff>
      <xdr:row>46</xdr:row>
      <xdr:rowOff>32239</xdr:rowOff>
    </xdr:from>
    <xdr:to>
      <xdr:col>39</xdr:col>
      <xdr:colOff>509953</xdr:colOff>
      <xdr:row>69</xdr:row>
      <xdr:rowOff>93786</xdr:rowOff>
    </xdr:to>
    <xdr:pic>
      <xdr:nvPicPr>
        <xdr:cNvPr id="18" name="Immagine 17">
          <a:extLst>
            <a:ext uri="{FF2B5EF4-FFF2-40B4-BE49-F238E27FC236}">
              <a16:creationId xmlns:a16="http://schemas.microsoft.com/office/drawing/2014/main" id="{C624D11C-C562-4355-9AB4-3745F0EDA0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alphaModFix amt="50000"/>
        </a:blip>
        <a:srcRect l="456" b="50536"/>
        <a:stretch/>
      </xdr:blipFill>
      <xdr:spPr>
        <a:xfrm>
          <a:off x="3128303" y="7019779"/>
          <a:ext cx="7554350" cy="2339927"/>
        </a:xfrm>
        <a:prstGeom prst="rect">
          <a:avLst/>
        </a:prstGeom>
      </xdr:spPr>
    </xdr:pic>
    <xdr:clientData/>
  </xdr:twoCellAnchor>
  <xdr:twoCellAnchor>
    <xdr:from>
      <xdr:col>9</xdr:col>
      <xdr:colOff>46060</xdr:colOff>
      <xdr:row>66</xdr:row>
      <xdr:rowOff>46892</xdr:rowOff>
    </xdr:from>
    <xdr:to>
      <xdr:col>39</xdr:col>
      <xdr:colOff>124662</xdr:colOff>
      <xdr:row>66</xdr:row>
      <xdr:rowOff>46892</xdr:rowOff>
    </xdr:to>
    <xdr:cxnSp macro="">
      <xdr:nvCxnSpPr>
        <xdr:cNvPr id="19" name="Connettore diritto 18">
          <a:extLst>
            <a:ext uri="{FF2B5EF4-FFF2-40B4-BE49-F238E27FC236}">
              <a16:creationId xmlns:a16="http://schemas.microsoft.com/office/drawing/2014/main" id="{60131A54-35ED-4E12-8426-CAF2BF09E509}"/>
            </a:ext>
          </a:extLst>
        </xdr:cNvPr>
        <xdr:cNvCxnSpPr/>
      </xdr:nvCxnSpPr>
      <xdr:spPr>
        <a:xfrm flipH="1">
          <a:off x="2432209" y="9055909"/>
          <a:ext cx="7903253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34835</xdr:colOff>
      <xdr:row>61</xdr:row>
      <xdr:rowOff>43541</xdr:rowOff>
    </xdr:from>
    <xdr:to>
      <xdr:col>39</xdr:col>
      <xdr:colOff>110758</xdr:colOff>
      <xdr:row>61</xdr:row>
      <xdr:rowOff>43541</xdr:rowOff>
    </xdr:to>
    <xdr:cxnSp macro="">
      <xdr:nvCxnSpPr>
        <xdr:cNvPr id="20" name="Connettore diritto 19">
          <a:extLst>
            <a:ext uri="{FF2B5EF4-FFF2-40B4-BE49-F238E27FC236}">
              <a16:creationId xmlns:a16="http://schemas.microsoft.com/office/drawing/2014/main" id="{930BC51D-3E40-420D-BE7F-CC2BF586E9B3}"/>
            </a:ext>
          </a:extLst>
        </xdr:cNvPr>
        <xdr:cNvCxnSpPr/>
      </xdr:nvCxnSpPr>
      <xdr:spPr>
        <a:xfrm flipH="1">
          <a:off x="2420984" y="8551815"/>
          <a:ext cx="7900574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21767</xdr:colOff>
      <xdr:row>57</xdr:row>
      <xdr:rowOff>39199</xdr:rowOff>
    </xdr:from>
    <xdr:to>
      <xdr:col>39</xdr:col>
      <xdr:colOff>97690</xdr:colOff>
      <xdr:row>57</xdr:row>
      <xdr:rowOff>39199</xdr:rowOff>
    </xdr:to>
    <xdr:cxnSp macro="">
      <xdr:nvCxnSpPr>
        <xdr:cNvPr id="21" name="Connettore diritto 20">
          <a:extLst>
            <a:ext uri="{FF2B5EF4-FFF2-40B4-BE49-F238E27FC236}">
              <a16:creationId xmlns:a16="http://schemas.microsoft.com/office/drawing/2014/main" id="{FCBBC2EE-77A5-4EC5-B42F-D8A001F33C82}"/>
            </a:ext>
          </a:extLst>
        </xdr:cNvPr>
        <xdr:cNvCxnSpPr/>
      </xdr:nvCxnSpPr>
      <xdr:spPr>
        <a:xfrm flipH="1">
          <a:off x="2407916" y="8146879"/>
          <a:ext cx="7900574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69668</xdr:colOff>
      <xdr:row>54</xdr:row>
      <xdr:rowOff>4354</xdr:rowOff>
    </xdr:from>
    <xdr:to>
      <xdr:col>39</xdr:col>
      <xdr:colOff>148270</xdr:colOff>
      <xdr:row>54</xdr:row>
      <xdr:rowOff>4354</xdr:rowOff>
    </xdr:to>
    <xdr:cxnSp macro="">
      <xdr:nvCxnSpPr>
        <xdr:cNvPr id="22" name="Connettore diritto 21">
          <a:extLst>
            <a:ext uri="{FF2B5EF4-FFF2-40B4-BE49-F238E27FC236}">
              <a16:creationId xmlns:a16="http://schemas.microsoft.com/office/drawing/2014/main" id="{1B5E2434-D627-4D8C-9CE9-7CDE5C8C0E9C}"/>
            </a:ext>
          </a:extLst>
        </xdr:cNvPr>
        <xdr:cNvCxnSpPr/>
      </xdr:nvCxnSpPr>
      <xdr:spPr>
        <a:xfrm flipH="1">
          <a:off x="2455817" y="7811588"/>
          <a:ext cx="7903253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44413</xdr:colOff>
      <xdr:row>52</xdr:row>
      <xdr:rowOff>25894</xdr:rowOff>
    </xdr:from>
    <xdr:to>
      <xdr:col>39</xdr:col>
      <xdr:colOff>123015</xdr:colOff>
      <xdr:row>52</xdr:row>
      <xdr:rowOff>25894</xdr:rowOff>
    </xdr:to>
    <xdr:cxnSp macro="">
      <xdr:nvCxnSpPr>
        <xdr:cNvPr id="23" name="Connettore diritto 22">
          <a:extLst>
            <a:ext uri="{FF2B5EF4-FFF2-40B4-BE49-F238E27FC236}">
              <a16:creationId xmlns:a16="http://schemas.microsoft.com/office/drawing/2014/main" id="{22C1505E-D0CF-47D3-89C0-81017EBF713D}"/>
            </a:ext>
          </a:extLst>
        </xdr:cNvPr>
        <xdr:cNvCxnSpPr/>
      </xdr:nvCxnSpPr>
      <xdr:spPr>
        <a:xfrm flipH="1">
          <a:off x="2430287" y="7579311"/>
          <a:ext cx="7902048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51814</xdr:colOff>
      <xdr:row>55</xdr:row>
      <xdr:rowOff>92476</xdr:rowOff>
    </xdr:from>
    <xdr:to>
      <xdr:col>39</xdr:col>
      <xdr:colOff>130416</xdr:colOff>
      <xdr:row>55</xdr:row>
      <xdr:rowOff>92476</xdr:rowOff>
    </xdr:to>
    <xdr:cxnSp macro="">
      <xdr:nvCxnSpPr>
        <xdr:cNvPr id="24" name="Connettore diritto 23">
          <a:extLst>
            <a:ext uri="{FF2B5EF4-FFF2-40B4-BE49-F238E27FC236}">
              <a16:creationId xmlns:a16="http://schemas.microsoft.com/office/drawing/2014/main" id="{A26E75E2-C34B-4EC9-B5B5-5C3D1A61E04E}"/>
            </a:ext>
          </a:extLst>
        </xdr:cNvPr>
        <xdr:cNvCxnSpPr/>
      </xdr:nvCxnSpPr>
      <xdr:spPr>
        <a:xfrm flipH="1">
          <a:off x="2437688" y="7945515"/>
          <a:ext cx="7902048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44454</xdr:colOff>
      <xdr:row>65</xdr:row>
      <xdr:rowOff>36984</xdr:rowOff>
    </xdr:from>
    <xdr:to>
      <xdr:col>39</xdr:col>
      <xdr:colOff>123056</xdr:colOff>
      <xdr:row>65</xdr:row>
      <xdr:rowOff>36984</xdr:rowOff>
    </xdr:to>
    <xdr:cxnSp macro="">
      <xdr:nvCxnSpPr>
        <xdr:cNvPr id="25" name="Connettore diritto 24">
          <a:extLst>
            <a:ext uri="{FF2B5EF4-FFF2-40B4-BE49-F238E27FC236}">
              <a16:creationId xmlns:a16="http://schemas.microsoft.com/office/drawing/2014/main" id="{5307E98C-923C-4A6F-82DD-D9163E456863}"/>
            </a:ext>
          </a:extLst>
        </xdr:cNvPr>
        <xdr:cNvCxnSpPr/>
      </xdr:nvCxnSpPr>
      <xdr:spPr>
        <a:xfrm flipH="1">
          <a:off x="2430328" y="8888761"/>
          <a:ext cx="7902048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30399</xdr:colOff>
      <xdr:row>63</xdr:row>
      <xdr:rowOff>34028</xdr:rowOff>
    </xdr:from>
    <xdr:to>
      <xdr:col>39</xdr:col>
      <xdr:colOff>109001</xdr:colOff>
      <xdr:row>63</xdr:row>
      <xdr:rowOff>34028</xdr:rowOff>
    </xdr:to>
    <xdr:cxnSp macro="">
      <xdr:nvCxnSpPr>
        <xdr:cNvPr id="26" name="Connettore diritto 25">
          <a:extLst>
            <a:ext uri="{FF2B5EF4-FFF2-40B4-BE49-F238E27FC236}">
              <a16:creationId xmlns:a16="http://schemas.microsoft.com/office/drawing/2014/main" id="{0035D359-92CE-44C3-BA86-B0660715BAB5}"/>
            </a:ext>
          </a:extLst>
        </xdr:cNvPr>
        <xdr:cNvCxnSpPr/>
      </xdr:nvCxnSpPr>
      <xdr:spPr>
        <a:xfrm flipH="1">
          <a:off x="2416273" y="8686057"/>
          <a:ext cx="7902048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42237</xdr:colOff>
      <xdr:row>60</xdr:row>
      <xdr:rowOff>60664</xdr:rowOff>
    </xdr:from>
    <xdr:to>
      <xdr:col>39</xdr:col>
      <xdr:colOff>120839</xdr:colOff>
      <xdr:row>60</xdr:row>
      <xdr:rowOff>60664</xdr:rowOff>
    </xdr:to>
    <xdr:cxnSp macro="">
      <xdr:nvCxnSpPr>
        <xdr:cNvPr id="27" name="Connettore diritto 26">
          <a:extLst>
            <a:ext uri="{FF2B5EF4-FFF2-40B4-BE49-F238E27FC236}">
              <a16:creationId xmlns:a16="http://schemas.microsoft.com/office/drawing/2014/main" id="{F431AC59-3D48-4CC5-8271-EE02145E4183}"/>
            </a:ext>
          </a:extLst>
        </xdr:cNvPr>
        <xdr:cNvCxnSpPr/>
      </xdr:nvCxnSpPr>
      <xdr:spPr>
        <a:xfrm flipH="1">
          <a:off x="2428111" y="8413072"/>
          <a:ext cx="7902048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150223</xdr:colOff>
      <xdr:row>65</xdr:row>
      <xdr:rowOff>93616</xdr:rowOff>
    </xdr:from>
    <xdr:to>
      <xdr:col>52</xdr:col>
      <xdr:colOff>455023</xdr:colOff>
      <xdr:row>82</xdr:row>
      <xdr:rowOff>58782</xdr:rowOff>
    </xdr:to>
    <xdr:graphicFrame macro="">
      <xdr:nvGraphicFramePr>
        <xdr:cNvPr id="29" name="Grafico 28">
          <a:extLst>
            <a:ext uri="{FF2B5EF4-FFF2-40B4-BE49-F238E27FC236}">
              <a16:creationId xmlns:a16="http://schemas.microsoft.com/office/drawing/2014/main" id="{6FC0D1DD-939E-70CA-234D-5C73608D6A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46361</xdr:colOff>
      <xdr:row>9</xdr:row>
      <xdr:rowOff>19161</xdr:rowOff>
    </xdr:from>
    <xdr:to>
      <xdr:col>39</xdr:col>
      <xdr:colOff>251184</xdr:colOff>
      <xdr:row>43</xdr:row>
      <xdr:rowOff>83336</xdr:rowOff>
    </xdr:to>
    <xdr:pic>
      <xdr:nvPicPr>
        <xdr:cNvPr id="27" name="Immagine 26">
          <a:extLst>
            <a:ext uri="{FF2B5EF4-FFF2-40B4-BE49-F238E27FC236}">
              <a16:creationId xmlns:a16="http://schemas.microsoft.com/office/drawing/2014/main" id="{183E510F-BBA8-18D3-11C6-E6303BEA0A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641"/>
        <a:stretch/>
      </xdr:blipFill>
      <xdr:spPr>
        <a:xfrm>
          <a:off x="2425767" y="1656232"/>
          <a:ext cx="8006720" cy="5078627"/>
        </a:xfrm>
        <a:prstGeom prst="rect">
          <a:avLst/>
        </a:prstGeom>
      </xdr:spPr>
    </xdr:pic>
    <xdr:clientData/>
  </xdr:twoCellAnchor>
  <xdr:twoCellAnchor editAs="oneCell">
    <xdr:from>
      <xdr:col>12</xdr:col>
      <xdr:colOff>51541</xdr:colOff>
      <xdr:row>6</xdr:row>
      <xdr:rowOff>94458</xdr:rowOff>
    </xdr:from>
    <xdr:to>
      <xdr:col>39</xdr:col>
      <xdr:colOff>357748</xdr:colOff>
      <xdr:row>39</xdr:row>
      <xdr:rowOff>9544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AB226EAB-4EC1-4FEB-91BB-47B442F2A4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alphaModFix amt="50000"/>
        </a:blip>
        <a:srcRect l="303" t="16233" r="4012" b="780"/>
        <a:stretch/>
      </xdr:blipFill>
      <xdr:spPr>
        <a:xfrm>
          <a:off x="3085934" y="1188472"/>
          <a:ext cx="7425464" cy="5088522"/>
        </a:xfrm>
        <a:prstGeom prst="rect">
          <a:avLst/>
        </a:prstGeom>
      </xdr:spPr>
    </xdr:pic>
    <xdr:clientData/>
  </xdr:twoCellAnchor>
  <xdr:twoCellAnchor>
    <xdr:from>
      <xdr:col>8</xdr:col>
      <xdr:colOff>218881</xdr:colOff>
      <xdr:row>26</xdr:row>
      <xdr:rowOff>124874</xdr:rowOff>
    </xdr:from>
    <xdr:to>
      <xdr:col>39</xdr:col>
      <xdr:colOff>69508</xdr:colOff>
      <xdr:row>26</xdr:row>
      <xdr:rowOff>124874</xdr:rowOff>
    </xdr:to>
    <xdr:cxnSp macro="">
      <xdr:nvCxnSpPr>
        <xdr:cNvPr id="4" name="Connettore diritto 3">
          <a:extLst>
            <a:ext uri="{FF2B5EF4-FFF2-40B4-BE49-F238E27FC236}">
              <a16:creationId xmlns:a16="http://schemas.microsoft.com/office/drawing/2014/main" id="{E694C82B-ADCD-4473-AD28-1BA1632D9139}"/>
            </a:ext>
          </a:extLst>
        </xdr:cNvPr>
        <xdr:cNvCxnSpPr/>
      </xdr:nvCxnSpPr>
      <xdr:spPr>
        <a:xfrm flipH="1">
          <a:off x="2377062" y="4854190"/>
          <a:ext cx="7873749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111954</xdr:colOff>
      <xdr:row>25</xdr:row>
      <xdr:rowOff>120338</xdr:rowOff>
    </xdr:from>
    <xdr:to>
      <xdr:col>39</xdr:col>
      <xdr:colOff>187035</xdr:colOff>
      <xdr:row>25</xdr:row>
      <xdr:rowOff>120338</xdr:rowOff>
    </xdr:to>
    <xdr:cxnSp macro="">
      <xdr:nvCxnSpPr>
        <xdr:cNvPr id="7" name="Connettore diritto 6">
          <a:extLst>
            <a:ext uri="{FF2B5EF4-FFF2-40B4-BE49-F238E27FC236}">
              <a16:creationId xmlns:a16="http://schemas.microsoft.com/office/drawing/2014/main" id="{FA178940-7183-4027-B93F-7B0D02C3A4DF}"/>
            </a:ext>
          </a:extLst>
        </xdr:cNvPr>
        <xdr:cNvCxnSpPr/>
      </xdr:nvCxnSpPr>
      <xdr:spPr>
        <a:xfrm flipH="1">
          <a:off x="2491360" y="4667757"/>
          <a:ext cx="7876978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20698</xdr:colOff>
      <xdr:row>23</xdr:row>
      <xdr:rowOff>109947</xdr:rowOff>
    </xdr:from>
    <xdr:to>
      <xdr:col>39</xdr:col>
      <xdr:colOff>90633</xdr:colOff>
      <xdr:row>23</xdr:row>
      <xdr:rowOff>109947</xdr:rowOff>
    </xdr:to>
    <xdr:cxnSp macro="">
      <xdr:nvCxnSpPr>
        <xdr:cNvPr id="8" name="Connettore diritto 7">
          <a:extLst>
            <a:ext uri="{FF2B5EF4-FFF2-40B4-BE49-F238E27FC236}">
              <a16:creationId xmlns:a16="http://schemas.microsoft.com/office/drawing/2014/main" id="{0BF9FF69-9889-4DD2-ABDA-A2D4EF4687B3}"/>
            </a:ext>
          </a:extLst>
        </xdr:cNvPr>
        <xdr:cNvCxnSpPr/>
      </xdr:nvCxnSpPr>
      <xdr:spPr>
        <a:xfrm flipH="1">
          <a:off x="2384757" y="4299088"/>
          <a:ext cx="7820032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69619</xdr:colOff>
      <xdr:row>21</xdr:row>
      <xdr:rowOff>105156</xdr:rowOff>
    </xdr:from>
    <xdr:to>
      <xdr:col>39</xdr:col>
      <xdr:colOff>139554</xdr:colOff>
      <xdr:row>21</xdr:row>
      <xdr:rowOff>105156</xdr:rowOff>
    </xdr:to>
    <xdr:cxnSp macro="">
      <xdr:nvCxnSpPr>
        <xdr:cNvPr id="10" name="Connettore diritto 9">
          <a:extLst>
            <a:ext uri="{FF2B5EF4-FFF2-40B4-BE49-F238E27FC236}">
              <a16:creationId xmlns:a16="http://schemas.microsoft.com/office/drawing/2014/main" id="{6F37C9B5-A32A-4CF5-A6F3-BBF1EA946EB1}"/>
            </a:ext>
          </a:extLst>
        </xdr:cNvPr>
        <xdr:cNvCxnSpPr/>
      </xdr:nvCxnSpPr>
      <xdr:spPr>
        <a:xfrm flipH="1">
          <a:off x="2433678" y="3930024"/>
          <a:ext cx="7820032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181274</xdr:colOff>
      <xdr:row>17</xdr:row>
      <xdr:rowOff>75469</xdr:rowOff>
    </xdr:from>
    <xdr:to>
      <xdr:col>39</xdr:col>
      <xdr:colOff>35128</xdr:colOff>
      <xdr:row>17</xdr:row>
      <xdr:rowOff>75469</xdr:rowOff>
    </xdr:to>
    <xdr:cxnSp macro="">
      <xdr:nvCxnSpPr>
        <xdr:cNvPr id="11" name="Connettore diritto 10">
          <a:extLst>
            <a:ext uri="{FF2B5EF4-FFF2-40B4-BE49-F238E27FC236}">
              <a16:creationId xmlns:a16="http://schemas.microsoft.com/office/drawing/2014/main" id="{86A6DB62-F749-42A6-92B8-ED10557FC371}"/>
            </a:ext>
          </a:extLst>
        </xdr:cNvPr>
        <xdr:cNvCxnSpPr/>
      </xdr:nvCxnSpPr>
      <xdr:spPr>
        <a:xfrm flipH="1">
          <a:off x="2326025" y="3171791"/>
          <a:ext cx="7823259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39513</xdr:colOff>
      <xdr:row>15</xdr:row>
      <xdr:rowOff>141497</xdr:rowOff>
    </xdr:from>
    <xdr:to>
      <xdr:col>39</xdr:col>
      <xdr:colOff>113861</xdr:colOff>
      <xdr:row>15</xdr:row>
      <xdr:rowOff>141497</xdr:rowOff>
    </xdr:to>
    <xdr:cxnSp macro="">
      <xdr:nvCxnSpPr>
        <xdr:cNvPr id="12" name="Connettore diritto 11">
          <a:extLst>
            <a:ext uri="{FF2B5EF4-FFF2-40B4-BE49-F238E27FC236}">
              <a16:creationId xmlns:a16="http://schemas.microsoft.com/office/drawing/2014/main" id="{FE9168CA-C8A0-4C9B-9E1C-EE4DA7217433}"/>
            </a:ext>
          </a:extLst>
        </xdr:cNvPr>
        <xdr:cNvCxnSpPr/>
      </xdr:nvCxnSpPr>
      <xdr:spPr>
        <a:xfrm flipH="1">
          <a:off x="2413062" y="2865242"/>
          <a:ext cx="7856476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206099</xdr:colOff>
      <xdr:row>14</xdr:row>
      <xdr:rowOff>89419</xdr:rowOff>
    </xdr:from>
    <xdr:to>
      <xdr:col>39</xdr:col>
      <xdr:colOff>56958</xdr:colOff>
      <xdr:row>14</xdr:row>
      <xdr:rowOff>89419</xdr:rowOff>
    </xdr:to>
    <xdr:cxnSp macro="">
      <xdr:nvCxnSpPr>
        <xdr:cNvPr id="13" name="Connettore diritto 12">
          <a:extLst>
            <a:ext uri="{FF2B5EF4-FFF2-40B4-BE49-F238E27FC236}">
              <a16:creationId xmlns:a16="http://schemas.microsoft.com/office/drawing/2014/main" id="{1578D5E8-EA42-4B7B-8131-21EF34E7D906}"/>
            </a:ext>
          </a:extLst>
        </xdr:cNvPr>
        <xdr:cNvCxnSpPr/>
      </xdr:nvCxnSpPr>
      <xdr:spPr>
        <a:xfrm flipH="1">
          <a:off x="2365578" y="2665842"/>
          <a:ext cx="7879176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372208</xdr:colOff>
      <xdr:row>10</xdr:row>
      <xdr:rowOff>64477</xdr:rowOff>
    </xdr:from>
    <xdr:to>
      <xdr:col>53</xdr:col>
      <xdr:colOff>67408</xdr:colOff>
      <xdr:row>25</xdr:row>
      <xdr:rowOff>82062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835459A9-C77B-4B50-AEDA-1757ECCA9C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45</xdr:col>
      <xdr:colOff>410200</xdr:colOff>
      <xdr:row>67</xdr:row>
      <xdr:rowOff>30863</xdr:rowOff>
    </xdr:from>
    <xdr:to>
      <xdr:col>53</xdr:col>
      <xdr:colOff>105400</xdr:colOff>
      <xdr:row>83</xdr:row>
      <xdr:rowOff>13958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8B285BBF-87BD-472B-AC92-9505C929EC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9</xdr:col>
      <xdr:colOff>46382</xdr:colOff>
      <xdr:row>47</xdr:row>
      <xdr:rowOff>36266</xdr:rowOff>
    </xdr:from>
    <xdr:to>
      <xdr:col>39</xdr:col>
      <xdr:colOff>265044</xdr:colOff>
      <xdr:row>71</xdr:row>
      <xdr:rowOff>19197</xdr:rowOff>
    </xdr:to>
    <xdr:pic>
      <xdr:nvPicPr>
        <xdr:cNvPr id="28" name="Immagine 27">
          <a:extLst>
            <a:ext uri="{FF2B5EF4-FFF2-40B4-BE49-F238E27FC236}">
              <a16:creationId xmlns:a16="http://schemas.microsoft.com/office/drawing/2014/main" id="{FE3D5B4B-674D-F5D4-E702-3F741F587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05269" y="7205692"/>
          <a:ext cx="7951305" cy="2540601"/>
        </a:xfrm>
        <a:prstGeom prst="rect">
          <a:avLst/>
        </a:prstGeom>
      </xdr:spPr>
    </xdr:pic>
    <xdr:clientData/>
  </xdr:twoCellAnchor>
  <xdr:twoCellAnchor editAs="oneCell">
    <xdr:from>
      <xdr:col>12</xdr:col>
      <xdr:colOff>28170</xdr:colOff>
      <xdr:row>48</xdr:row>
      <xdr:rowOff>25083</xdr:rowOff>
    </xdr:from>
    <xdr:to>
      <xdr:col>39</xdr:col>
      <xdr:colOff>261382</xdr:colOff>
      <xdr:row>69</xdr:row>
      <xdr:rowOff>145399</xdr:rowOff>
    </xdr:to>
    <xdr:pic>
      <xdr:nvPicPr>
        <xdr:cNvPr id="29" name="Immagine 28">
          <a:extLst>
            <a:ext uri="{FF2B5EF4-FFF2-40B4-BE49-F238E27FC236}">
              <a16:creationId xmlns:a16="http://schemas.microsoft.com/office/drawing/2014/main" id="{3F19803D-34A9-4E8D-9BC5-309204B4BFC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alphaModFix amt="50000"/>
        </a:blip>
        <a:srcRect l="303" t="7460" r="5370" b="54938"/>
        <a:stretch/>
      </xdr:blipFill>
      <xdr:spPr>
        <a:xfrm>
          <a:off x="3068274" y="7167352"/>
          <a:ext cx="7363636" cy="2193114"/>
        </a:xfrm>
        <a:prstGeom prst="rect">
          <a:avLst/>
        </a:prstGeom>
      </xdr:spPr>
    </xdr:pic>
    <xdr:clientData/>
  </xdr:twoCellAnchor>
  <xdr:twoCellAnchor>
    <xdr:from>
      <xdr:col>9</xdr:col>
      <xdr:colOff>47379</xdr:colOff>
      <xdr:row>57</xdr:row>
      <xdr:rowOff>98701</xdr:rowOff>
    </xdr:from>
    <xdr:to>
      <xdr:col>39</xdr:col>
      <xdr:colOff>124580</xdr:colOff>
      <xdr:row>57</xdr:row>
      <xdr:rowOff>98701</xdr:rowOff>
    </xdr:to>
    <xdr:cxnSp macro="">
      <xdr:nvCxnSpPr>
        <xdr:cNvPr id="30" name="Connettore diritto 29">
          <a:extLst>
            <a:ext uri="{FF2B5EF4-FFF2-40B4-BE49-F238E27FC236}">
              <a16:creationId xmlns:a16="http://schemas.microsoft.com/office/drawing/2014/main" id="{138F286D-86F1-452A-BA9A-70ED051C4C22}"/>
            </a:ext>
          </a:extLst>
        </xdr:cNvPr>
        <xdr:cNvCxnSpPr/>
      </xdr:nvCxnSpPr>
      <xdr:spPr>
        <a:xfrm flipH="1">
          <a:off x="2424187" y="8129312"/>
          <a:ext cx="787092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98708</xdr:colOff>
      <xdr:row>53</xdr:row>
      <xdr:rowOff>19747</xdr:rowOff>
    </xdr:from>
    <xdr:to>
      <xdr:col>39</xdr:col>
      <xdr:colOff>175909</xdr:colOff>
      <xdr:row>53</xdr:row>
      <xdr:rowOff>19747</xdr:rowOff>
    </xdr:to>
    <xdr:cxnSp macro="">
      <xdr:nvCxnSpPr>
        <xdr:cNvPr id="31" name="Connettore diritto 30">
          <a:extLst>
            <a:ext uri="{FF2B5EF4-FFF2-40B4-BE49-F238E27FC236}">
              <a16:creationId xmlns:a16="http://schemas.microsoft.com/office/drawing/2014/main" id="{3CFF21DA-740F-4BF6-A5BE-ED04CD7F2830}"/>
            </a:ext>
          </a:extLst>
        </xdr:cNvPr>
        <xdr:cNvCxnSpPr/>
      </xdr:nvCxnSpPr>
      <xdr:spPr>
        <a:xfrm flipH="1">
          <a:off x="2475516" y="7655540"/>
          <a:ext cx="787092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98705</xdr:colOff>
      <xdr:row>54</xdr:row>
      <xdr:rowOff>35534</xdr:rowOff>
    </xdr:from>
    <xdr:to>
      <xdr:col>39</xdr:col>
      <xdr:colOff>175906</xdr:colOff>
      <xdr:row>54</xdr:row>
      <xdr:rowOff>35534</xdr:rowOff>
    </xdr:to>
    <xdr:cxnSp macro="">
      <xdr:nvCxnSpPr>
        <xdr:cNvPr id="32" name="Connettore diritto 31">
          <a:extLst>
            <a:ext uri="{FF2B5EF4-FFF2-40B4-BE49-F238E27FC236}">
              <a16:creationId xmlns:a16="http://schemas.microsoft.com/office/drawing/2014/main" id="{48467195-71D0-4938-BC96-5AA32D12A060}"/>
            </a:ext>
          </a:extLst>
        </xdr:cNvPr>
        <xdr:cNvCxnSpPr/>
      </xdr:nvCxnSpPr>
      <xdr:spPr>
        <a:xfrm flipH="1">
          <a:off x="2475513" y="7770031"/>
          <a:ext cx="787092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138183</xdr:colOff>
      <xdr:row>51</xdr:row>
      <xdr:rowOff>71070</xdr:rowOff>
    </xdr:from>
    <xdr:to>
      <xdr:col>39</xdr:col>
      <xdr:colOff>436483</xdr:colOff>
      <xdr:row>51</xdr:row>
      <xdr:rowOff>71070</xdr:rowOff>
    </xdr:to>
    <xdr:cxnSp macro="">
      <xdr:nvCxnSpPr>
        <xdr:cNvPr id="33" name="Connettore diritto 32">
          <a:extLst>
            <a:ext uri="{FF2B5EF4-FFF2-40B4-BE49-F238E27FC236}">
              <a16:creationId xmlns:a16="http://schemas.microsoft.com/office/drawing/2014/main" id="{6023DDFB-8E85-4F43-9A63-558EB0A5477B}"/>
            </a:ext>
          </a:extLst>
        </xdr:cNvPr>
        <xdr:cNvCxnSpPr/>
      </xdr:nvCxnSpPr>
      <xdr:spPr>
        <a:xfrm flipH="1">
          <a:off x="2736090" y="7509453"/>
          <a:ext cx="787092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132667</xdr:colOff>
      <xdr:row>52</xdr:row>
      <xdr:rowOff>89238</xdr:rowOff>
    </xdr:from>
    <xdr:to>
      <xdr:col>39</xdr:col>
      <xdr:colOff>209868</xdr:colOff>
      <xdr:row>52</xdr:row>
      <xdr:rowOff>89238</xdr:rowOff>
    </xdr:to>
    <xdr:cxnSp macro="">
      <xdr:nvCxnSpPr>
        <xdr:cNvPr id="34" name="Connettore diritto 33">
          <a:extLst>
            <a:ext uri="{FF2B5EF4-FFF2-40B4-BE49-F238E27FC236}">
              <a16:creationId xmlns:a16="http://schemas.microsoft.com/office/drawing/2014/main" id="{BAB872A4-A014-49A0-B60D-91352563AA1F}"/>
            </a:ext>
          </a:extLst>
        </xdr:cNvPr>
        <xdr:cNvCxnSpPr/>
      </xdr:nvCxnSpPr>
      <xdr:spPr>
        <a:xfrm flipH="1">
          <a:off x="2509475" y="7626326"/>
          <a:ext cx="787092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59220</xdr:colOff>
      <xdr:row>57</xdr:row>
      <xdr:rowOff>23688</xdr:rowOff>
    </xdr:from>
    <xdr:to>
      <xdr:col>39</xdr:col>
      <xdr:colOff>136421</xdr:colOff>
      <xdr:row>57</xdr:row>
      <xdr:rowOff>23688</xdr:rowOff>
    </xdr:to>
    <xdr:cxnSp macro="">
      <xdr:nvCxnSpPr>
        <xdr:cNvPr id="35" name="Connettore diritto 34">
          <a:extLst>
            <a:ext uri="{FF2B5EF4-FFF2-40B4-BE49-F238E27FC236}">
              <a16:creationId xmlns:a16="http://schemas.microsoft.com/office/drawing/2014/main" id="{65156E73-1683-47D3-A5F4-980BF6FF2DE4}"/>
            </a:ext>
          </a:extLst>
        </xdr:cNvPr>
        <xdr:cNvCxnSpPr/>
      </xdr:nvCxnSpPr>
      <xdr:spPr>
        <a:xfrm flipH="1">
          <a:off x="2436028" y="8054299"/>
          <a:ext cx="787092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39847</xdr:colOff>
      <xdr:row>58</xdr:row>
      <xdr:rowOff>68717</xdr:rowOff>
    </xdr:from>
    <xdr:to>
      <xdr:col>39</xdr:col>
      <xdr:colOff>117428</xdr:colOff>
      <xdr:row>58</xdr:row>
      <xdr:rowOff>68717</xdr:rowOff>
    </xdr:to>
    <xdr:cxnSp macro="">
      <xdr:nvCxnSpPr>
        <xdr:cNvPr id="36" name="Connettore diritto 35">
          <a:extLst>
            <a:ext uri="{FF2B5EF4-FFF2-40B4-BE49-F238E27FC236}">
              <a16:creationId xmlns:a16="http://schemas.microsoft.com/office/drawing/2014/main" id="{6A50A680-19F9-4F9D-B8F1-EE609AD54F98}"/>
            </a:ext>
          </a:extLst>
        </xdr:cNvPr>
        <xdr:cNvCxnSpPr/>
      </xdr:nvCxnSpPr>
      <xdr:spPr>
        <a:xfrm flipH="1">
          <a:off x="2411534" y="8233440"/>
          <a:ext cx="7853653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45395</xdr:colOff>
      <xdr:row>59</xdr:row>
      <xdr:rowOff>38911</xdr:rowOff>
    </xdr:from>
    <xdr:to>
      <xdr:col>39</xdr:col>
      <xdr:colOff>122976</xdr:colOff>
      <xdr:row>59</xdr:row>
      <xdr:rowOff>38911</xdr:rowOff>
    </xdr:to>
    <xdr:cxnSp macro="">
      <xdr:nvCxnSpPr>
        <xdr:cNvPr id="37" name="Connettore diritto 36">
          <a:extLst>
            <a:ext uri="{FF2B5EF4-FFF2-40B4-BE49-F238E27FC236}">
              <a16:creationId xmlns:a16="http://schemas.microsoft.com/office/drawing/2014/main" id="{E78DB2AA-31EF-4183-A9E6-3AE2AEC7EEB4}"/>
            </a:ext>
          </a:extLst>
        </xdr:cNvPr>
        <xdr:cNvCxnSpPr/>
      </xdr:nvCxnSpPr>
      <xdr:spPr>
        <a:xfrm flipH="1">
          <a:off x="2418944" y="8320392"/>
          <a:ext cx="7859709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28766</xdr:colOff>
      <xdr:row>59</xdr:row>
      <xdr:rowOff>94893</xdr:rowOff>
    </xdr:from>
    <xdr:to>
      <xdr:col>39</xdr:col>
      <xdr:colOff>106347</xdr:colOff>
      <xdr:row>59</xdr:row>
      <xdr:rowOff>94893</xdr:rowOff>
    </xdr:to>
    <xdr:cxnSp macro="">
      <xdr:nvCxnSpPr>
        <xdr:cNvPr id="38" name="Connettore diritto 37">
          <a:extLst>
            <a:ext uri="{FF2B5EF4-FFF2-40B4-BE49-F238E27FC236}">
              <a16:creationId xmlns:a16="http://schemas.microsoft.com/office/drawing/2014/main" id="{6EAE6AC4-D845-401A-AB4C-9D700BBB22AD}"/>
            </a:ext>
          </a:extLst>
        </xdr:cNvPr>
        <xdr:cNvCxnSpPr/>
      </xdr:nvCxnSpPr>
      <xdr:spPr>
        <a:xfrm flipH="1">
          <a:off x="2409657" y="8364750"/>
          <a:ext cx="7884486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176212</xdr:colOff>
      <xdr:row>55</xdr:row>
      <xdr:rowOff>76200</xdr:rowOff>
    </xdr:from>
    <xdr:to>
      <xdr:col>39</xdr:col>
      <xdr:colOff>253413</xdr:colOff>
      <xdr:row>55</xdr:row>
      <xdr:rowOff>76200</xdr:rowOff>
    </xdr:to>
    <xdr:cxnSp macro="">
      <xdr:nvCxnSpPr>
        <xdr:cNvPr id="39" name="Connettore diritto 38">
          <a:extLst>
            <a:ext uri="{FF2B5EF4-FFF2-40B4-BE49-F238E27FC236}">
              <a16:creationId xmlns:a16="http://schemas.microsoft.com/office/drawing/2014/main" id="{40CD3AAB-8426-4769-ADE2-3FDF092F3B2A}"/>
            </a:ext>
          </a:extLst>
        </xdr:cNvPr>
        <xdr:cNvCxnSpPr/>
      </xdr:nvCxnSpPr>
      <xdr:spPr>
        <a:xfrm flipH="1">
          <a:off x="2538412" y="7924800"/>
          <a:ext cx="7821026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133257</xdr:colOff>
      <xdr:row>52</xdr:row>
      <xdr:rowOff>17789</xdr:rowOff>
    </xdr:from>
    <xdr:to>
      <xdr:col>39</xdr:col>
      <xdr:colOff>431557</xdr:colOff>
      <xdr:row>52</xdr:row>
      <xdr:rowOff>17789</xdr:rowOff>
    </xdr:to>
    <xdr:cxnSp macro="">
      <xdr:nvCxnSpPr>
        <xdr:cNvPr id="40" name="Connettore diritto 39">
          <a:extLst>
            <a:ext uri="{FF2B5EF4-FFF2-40B4-BE49-F238E27FC236}">
              <a16:creationId xmlns:a16="http://schemas.microsoft.com/office/drawing/2014/main" id="{D90B991D-5B95-4B9B-9E3C-40BC2D264A14}"/>
            </a:ext>
          </a:extLst>
        </xdr:cNvPr>
        <xdr:cNvCxnSpPr/>
      </xdr:nvCxnSpPr>
      <xdr:spPr>
        <a:xfrm flipH="1">
          <a:off x="2728068" y="7673884"/>
          <a:ext cx="7862152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96064</xdr:colOff>
      <xdr:row>19</xdr:row>
      <xdr:rowOff>167618</xdr:rowOff>
    </xdr:from>
    <xdr:to>
      <xdr:col>39</xdr:col>
      <xdr:colOff>165999</xdr:colOff>
      <xdr:row>19</xdr:row>
      <xdr:rowOff>167618</xdr:rowOff>
    </xdr:to>
    <xdr:cxnSp macro="">
      <xdr:nvCxnSpPr>
        <xdr:cNvPr id="41" name="Connettore diritto 40">
          <a:extLst>
            <a:ext uri="{FF2B5EF4-FFF2-40B4-BE49-F238E27FC236}">
              <a16:creationId xmlns:a16="http://schemas.microsoft.com/office/drawing/2014/main" id="{D8523545-C26A-4230-8523-4F48B93101D5}"/>
            </a:ext>
          </a:extLst>
        </xdr:cNvPr>
        <xdr:cNvCxnSpPr/>
      </xdr:nvCxnSpPr>
      <xdr:spPr>
        <a:xfrm flipH="1">
          <a:off x="2460123" y="3628213"/>
          <a:ext cx="7820032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3546</xdr:colOff>
      <xdr:row>13</xdr:row>
      <xdr:rowOff>124408</xdr:rowOff>
    </xdr:from>
    <xdr:to>
      <xdr:col>39</xdr:col>
      <xdr:colOff>76318</xdr:colOff>
      <xdr:row>13</xdr:row>
      <xdr:rowOff>124408</xdr:rowOff>
    </xdr:to>
    <xdr:cxnSp macro="">
      <xdr:nvCxnSpPr>
        <xdr:cNvPr id="42" name="Connettore diritto 41">
          <a:extLst>
            <a:ext uri="{FF2B5EF4-FFF2-40B4-BE49-F238E27FC236}">
              <a16:creationId xmlns:a16="http://schemas.microsoft.com/office/drawing/2014/main" id="{EE4F382C-A08D-4985-8385-B4A2F85AA3EA}"/>
            </a:ext>
          </a:extLst>
        </xdr:cNvPr>
        <xdr:cNvCxnSpPr/>
      </xdr:nvCxnSpPr>
      <xdr:spPr>
        <a:xfrm flipH="1">
          <a:off x="2376632" y="2494772"/>
          <a:ext cx="7853336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94397</xdr:colOff>
      <xdr:row>19</xdr:row>
      <xdr:rowOff>31685</xdr:rowOff>
    </xdr:from>
    <xdr:to>
      <xdr:col>39</xdr:col>
      <xdr:colOff>167326</xdr:colOff>
      <xdr:row>19</xdr:row>
      <xdr:rowOff>31685</xdr:rowOff>
    </xdr:to>
    <xdr:cxnSp macro="">
      <xdr:nvCxnSpPr>
        <xdr:cNvPr id="43" name="Connettore diritto 42">
          <a:extLst>
            <a:ext uri="{FF2B5EF4-FFF2-40B4-BE49-F238E27FC236}">
              <a16:creationId xmlns:a16="http://schemas.microsoft.com/office/drawing/2014/main" id="{1513E49C-5BF4-4CA0-AF2B-AC27962FB903}"/>
            </a:ext>
          </a:extLst>
        </xdr:cNvPr>
        <xdr:cNvCxnSpPr/>
      </xdr:nvCxnSpPr>
      <xdr:spPr>
        <a:xfrm flipH="1">
          <a:off x="2467946" y="3481762"/>
          <a:ext cx="7855057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217741</xdr:colOff>
      <xdr:row>14</xdr:row>
      <xdr:rowOff>26672</xdr:rowOff>
    </xdr:from>
    <xdr:to>
      <xdr:col>39</xdr:col>
      <xdr:colOff>70019</xdr:colOff>
      <xdr:row>14</xdr:row>
      <xdr:rowOff>26672</xdr:rowOff>
    </xdr:to>
    <xdr:cxnSp macro="">
      <xdr:nvCxnSpPr>
        <xdr:cNvPr id="44" name="Connettore diritto 43">
          <a:extLst>
            <a:ext uri="{FF2B5EF4-FFF2-40B4-BE49-F238E27FC236}">
              <a16:creationId xmlns:a16="http://schemas.microsoft.com/office/drawing/2014/main" id="{7D48BDF5-7A73-402C-96E5-F8988AEC258C}"/>
            </a:ext>
          </a:extLst>
        </xdr:cNvPr>
        <xdr:cNvCxnSpPr/>
      </xdr:nvCxnSpPr>
      <xdr:spPr>
        <a:xfrm flipH="1">
          <a:off x="2384869" y="2586992"/>
          <a:ext cx="791119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104775</xdr:colOff>
      <xdr:row>70</xdr:row>
      <xdr:rowOff>11151</xdr:rowOff>
    </xdr:from>
    <xdr:to>
      <xdr:col>41</xdr:col>
      <xdr:colOff>538018</xdr:colOff>
      <xdr:row>82</xdr:row>
      <xdr:rowOff>168166</xdr:rowOff>
    </xdr:to>
    <xdr:pic>
      <xdr:nvPicPr>
        <xdr:cNvPr id="35" name="Immagine 34">
          <a:extLst>
            <a:ext uri="{FF2B5EF4-FFF2-40B4-BE49-F238E27FC236}">
              <a16:creationId xmlns:a16="http://schemas.microsoft.com/office/drawing/2014/main" id="{B22F8095-BDB8-9A9F-70AD-37F314BECD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3258"/>
        <a:stretch/>
      </xdr:blipFill>
      <xdr:spPr>
        <a:xfrm>
          <a:off x="2038678" y="9523013"/>
          <a:ext cx="9882043" cy="2364187"/>
        </a:xfrm>
        <a:prstGeom prst="rect">
          <a:avLst/>
        </a:prstGeom>
      </xdr:spPr>
    </xdr:pic>
    <xdr:clientData/>
  </xdr:twoCellAnchor>
  <xdr:twoCellAnchor editAs="oneCell">
    <xdr:from>
      <xdr:col>9</xdr:col>
      <xdr:colOff>199977</xdr:colOff>
      <xdr:row>6</xdr:row>
      <xdr:rowOff>140677</xdr:rowOff>
    </xdr:from>
    <xdr:to>
      <xdr:col>41</xdr:col>
      <xdr:colOff>263505</xdr:colOff>
      <xdr:row>40</xdr:row>
      <xdr:rowOff>58614</xdr:rowOff>
    </xdr:to>
    <xdr:pic>
      <xdr:nvPicPr>
        <xdr:cNvPr id="30" name="Immagine 29">
          <a:extLst>
            <a:ext uri="{FF2B5EF4-FFF2-40B4-BE49-F238E27FC236}">
              <a16:creationId xmlns:a16="http://schemas.microsoft.com/office/drawing/2014/main" id="{205525C6-3747-40C7-8F4F-4DA9C881BF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807"/>
        <a:stretch/>
      </xdr:blipFill>
      <xdr:spPr>
        <a:xfrm>
          <a:off x="2591485" y="1230923"/>
          <a:ext cx="9125466" cy="5193322"/>
        </a:xfrm>
        <a:prstGeom prst="rect">
          <a:avLst/>
        </a:prstGeom>
      </xdr:spPr>
    </xdr:pic>
    <xdr:clientData/>
  </xdr:twoCellAnchor>
  <xdr:twoCellAnchor editAs="oneCell">
    <xdr:from>
      <xdr:col>13</xdr:col>
      <xdr:colOff>74455</xdr:colOff>
      <xdr:row>6</xdr:row>
      <xdr:rowOff>129627</xdr:rowOff>
    </xdr:from>
    <xdr:to>
      <xdr:col>39</xdr:col>
      <xdr:colOff>603401</xdr:colOff>
      <xdr:row>39</xdr:row>
      <xdr:rowOff>44713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D302BAFB-F31A-47EE-B7CA-63037E39A3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alphaModFix amt="50000"/>
        </a:blip>
        <a:srcRect l="303" t="16233" r="4012" b="780"/>
        <a:stretch/>
      </xdr:blipFill>
      <xdr:spPr>
        <a:xfrm>
          <a:off x="3340991" y="1233808"/>
          <a:ext cx="7450206" cy="5125441"/>
        </a:xfrm>
        <a:prstGeom prst="rect">
          <a:avLst/>
        </a:prstGeom>
      </xdr:spPr>
    </xdr:pic>
    <xdr:clientData/>
  </xdr:twoCellAnchor>
  <xdr:twoCellAnchor>
    <xdr:from>
      <xdr:col>10</xdr:col>
      <xdr:colOff>196544</xdr:colOff>
      <xdr:row>20</xdr:row>
      <xdr:rowOff>86500</xdr:rowOff>
    </xdr:from>
    <xdr:to>
      <xdr:col>39</xdr:col>
      <xdr:colOff>489217</xdr:colOff>
      <xdr:row>20</xdr:row>
      <xdr:rowOff>86500</xdr:rowOff>
    </xdr:to>
    <xdr:cxnSp macro="">
      <xdr:nvCxnSpPr>
        <xdr:cNvPr id="6" name="Connettore diritto 5">
          <a:extLst>
            <a:ext uri="{FF2B5EF4-FFF2-40B4-BE49-F238E27FC236}">
              <a16:creationId xmlns:a16="http://schemas.microsoft.com/office/drawing/2014/main" id="{D1F81387-C707-4000-84CB-2B8DF77B22FE}"/>
            </a:ext>
          </a:extLst>
        </xdr:cNvPr>
        <xdr:cNvCxnSpPr/>
      </xdr:nvCxnSpPr>
      <xdr:spPr>
        <a:xfrm flipH="1">
          <a:off x="2810790" y="3720654"/>
          <a:ext cx="7912673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46172</xdr:colOff>
      <xdr:row>15</xdr:row>
      <xdr:rowOff>99295</xdr:rowOff>
    </xdr:from>
    <xdr:to>
      <xdr:col>39</xdr:col>
      <xdr:colOff>561584</xdr:colOff>
      <xdr:row>15</xdr:row>
      <xdr:rowOff>99295</xdr:rowOff>
    </xdr:to>
    <xdr:cxnSp macro="">
      <xdr:nvCxnSpPr>
        <xdr:cNvPr id="7" name="Connettore diritto 6">
          <a:extLst>
            <a:ext uri="{FF2B5EF4-FFF2-40B4-BE49-F238E27FC236}">
              <a16:creationId xmlns:a16="http://schemas.microsoft.com/office/drawing/2014/main" id="{E66B02F2-3DDC-48E8-9EBE-7BD3B859F3A9}"/>
            </a:ext>
          </a:extLst>
        </xdr:cNvPr>
        <xdr:cNvCxnSpPr/>
      </xdr:nvCxnSpPr>
      <xdr:spPr>
        <a:xfrm flipH="1">
          <a:off x="2883157" y="2824910"/>
          <a:ext cx="7912673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58181</xdr:colOff>
      <xdr:row>12</xdr:row>
      <xdr:rowOff>34440</xdr:rowOff>
    </xdr:from>
    <xdr:to>
      <xdr:col>39</xdr:col>
      <xdr:colOff>580251</xdr:colOff>
      <xdr:row>12</xdr:row>
      <xdr:rowOff>34440</xdr:rowOff>
    </xdr:to>
    <xdr:cxnSp macro="">
      <xdr:nvCxnSpPr>
        <xdr:cNvPr id="8" name="Connettore diritto 7">
          <a:extLst>
            <a:ext uri="{FF2B5EF4-FFF2-40B4-BE49-F238E27FC236}">
              <a16:creationId xmlns:a16="http://schemas.microsoft.com/office/drawing/2014/main" id="{7140020F-7774-4B6F-A2A5-544B5A89419C}"/>
            </a:ext>
          </a:extLst>
        </xdr:cNvPr>
        <xdr:cNvCxnSpPr/>
      </xdr:nvCxnSpPr>
      <xdr:spPr>
        <a:xfrm flipH="1">
          <a:off x="2895166" y="2214932"/>
          <a:ext cx="791933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92267</xdr:colOff>
      <xdr:row>11</xdr:row>
      <xdr:rowOff>71157</xdr:rowOff>
    </xdr:from>
    <xdr:to>
      <xdr:col>40</xdr:col>
      <xdr:colOff>2492</xdr:colOff>
      <xdr:row>11</xdr:row>
      <xdr:rowOff>71157</xdr:rowOff>
    </xdr:to>
    <xdr:cxnSp macro="">
      <xdr:nvCxnSpPr>
        <xdr:cNvPr id="9" name="Connettore diritto 8">
          <a:extLst>
            <a:ext uri="{FF2B5EF4-FFF2-40B4-BE49-F238E27FC236}">
              <a16:creationId xmlns:a16="http://schemas.microsoft.com/office/drawing/2014/main" id="{C4ACC973-F45C-4213-818B-3CFA4F341F26}"/>
            </a:ext>
          </a:extLst>
        </xdr:cNvPr>
        <xdr:cNvCxnSpPr/>
      </xdr:nvCxnSpPr>
      <xdr:spPr>
        <a:xfrm flipH="1">
          <a:off x="2929252" y="2069942"/>
          <a:ext cx="7917086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372208</xdr:colOff>
      <xdr:row>10</xdr:row>
      <xdr:rowOff>64477</xdr:rowOff>
    </xdr:from>
    <xdr:to>
      <xdr:col>53</xdr:col>
      <xdr:colOff>67408</xdr:colOff>
      <xdr:row>25</xdr:row>
      <xdr:rowOff>82062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C93CBE1D-F44F-4F27-9BD4-67615FA10F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45</xdr:col>
      <xdr:colOff>410200</xdr:colOff>
      <xdr:row>67</xdr:row>
      <xdr:rowOff>30863</xdr:rowOff>
    </xdr:from>
    <xdr:to>
      <xdr:col>53</xdr:col>
      <xdr:colOff>105400</xdr:colOff>
      <xdr:row>83</xdr:row>
      <xdr:rowOff>13958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AB052DC2-ADD4-410C-BEA4-15703CB6B2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11</xdr:col>
      <xdr:colOff>4194</xdr:colOff>
      <xdr:row>70</xdr:row>
      <xdr:rowOff>163902</xdr:rowOff>
    </xdr:from>
    <xdr:to>
      <xdr:col>40</xdr:col>
      <xdr:colOff>79485</xdr:colOff>
      <xdr:row>81</xdr:row>
      <xdr:rowOff>147637</xdr:rowOff>
    </xdr:to>
    <xdr:pic>
      <xdr:nvPicPr>
        <xdr:cNvPr id="14" name="Immagine 13">
          <a:extLst>
            <a:ext uri="{FF2B5EF4-FFF2-40B4-BE49-F238E27FC236}">
              <a16:creationId xmlns:a16="http://schemas.microsoft.com/office/drawing/2014/main" id="{5E930F23-F807-456C-BB7A-3C51290DBA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alphaModFix amt="50000"/>
        </a:blip>
        <a:srcRect l="303" t="7683" r="5370" b="54938"/>
        <a:stretch/>
      </xdr:blipFill>
      <xdr:spPr>
        <a:xfrm>
          <a:off x="2827907" y="9595449"/>
          <a:ext cx="8048974" cy="2008067"/>
        </a:xfrm>
        <a:prstGeom prst="rect">
          <a:avLst/>
        </a:prstGeom>
      </xdr:spPr>
    </xdr:pic>
    <xdr:clientData/>
  </xdr:twoCellAnchor>
  <xdr:twoCellAnchor>
    <xdr:from>
      <xdr:col>9</xdr:col>
      <xdr:colOff>47379</xdr:colOff>
      <xdr:row>57</xdr:row>
      <xdr:rowOff>98701</xdr:rowOff>
    </xdr:from>
    <xdr:to>
      <xdr:col>39</xdr:col>
      <xdr:colOff>124580</xdr:colOff>
      <xdr:row>57</xdr:row>
      <xdr:rowOff>98701</xdr:rowOff>
    </xdr:to>
    <xdr:cxnSp macro="">
      <xdr:nvCxnSpPr>
        <xdr:cNvPr id="15" name="Connettore diritto 14">
          <a:extLst>
            <a:ext uri="{FF2B5EF4-FFF2-40B4-BE49-F238E27FC236}">
              <a16:creationId xmlns:a16="http://schemas.microsoft.com/office/drawing/2014/main" id="{549A5CFD-BB67-41AA-A9E7-3BDF62B0FAD1}"/>
            </a:ext>
          </a:extLst>
        </xdr:cNvPr>
        <xdr:cNvCxnSpPr/>
      </xdr:nvCxnSpPr>
      <xdr:spPr>
        <a:xfrm flipH="1">
          <a:off x="2424819" y="8175901"/>
          <a:ext cx="787246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98708</xdr:colOff>
      <xdr:row>53</xdr:row>
      <xdr:rowOff>19747</xdr:rowOff>
    </xdr:from>
    <xdr:to>
      <xdr:col>39</xdr:col>
      <xdr:colOff>175909</xdr:colOff>
      <xdr:row>53</xdr:row>
      <xdr:rowOff>19747</xdr:rowOff>
    </xdr:to>
    <xdr:cxnSp macro="">
      <xdr:nvCxnSpPr>
        <xdr:cNvPr id="16" name="Connettore diritto 15">
          <a:extLst>
            <a:ext uri="{FF2B5EF4-FFF2-40B4-BE49-F238E27FC236}">
              <a16:creationId xmlns:a16="http://schemas.microsoft.com/office/drawing/2014/main" id="{0FB3F8E1-3FBC-4E78-9FA6-1FCEED317270}"/>
            </a:ext>
          </a:extLst>
        </xdr:cNvPr>
        <xdr:cNvCxnSpPr/>
      </xdr:nvCxnSpPr>
      <xdr:spPr>
        <a:xfrm flipH="1">
          <a:off x="2476148" y="7700707"/>
          <a:ext cx="787246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98705</xdr:colOff>
      <xdr:row>54</xdr:row>
      <xdr:rowOff>35534</xdr:rowOff>
    </xdr:from>
    <xdr:to>
      <xdr:col>39</xdr:col>
      <xdr:colOff>175906</xdr:colOff>
      <xdr:row>54</xdr:row>
      <xdr:rowOff>35534</xdr:rowOff>
    </xdr:to>
    <xdr:cxnSp macro="">
      <xdr:nvCxnSpPr>
        <xdr:cNvPr id="17" name="Connettore diritto 16">
          <a:extLst>
            <a:ext uri="{FF2B5EF4-FFF2-40B4-BE49-F238E27FC236}">
              <a16:creationId xmlns:a16="http://schemas.microsoft.com/office/drawing/2014/main" id="{2C2F489A-3329-4576-BF28-1B7EC4255230}"/>
            </a:ext>
          </a:extLst>
        </xdr:cNvPr>
        <xdr:cNvCxnSpPr/>
      </xdr:nvCxnSpPr>
      <xdr:spPr>
        <a:xfrm flipH="1">
          <a:off x="2476145" y="7815554"/>
          <a:ext cx="787246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138183</xdr:colOff>
      <xdr:row>51</xdr:row>
      <xdr:rowOff>71070</xdr:rowOff>
    </xdr:from>
    <xdr:to>
      <xdr:col>39</xdr:col>
      <xdr:colOff>436483</xdr:colOff>
      <xdr:row>51</xdr:row>
      <xdr:rowOff>71070</xdr:rowOff>
    </xdr:to>
    <xdr:cxnSp macro="">
      <xdr:nvCxnSpPr>
        <xdr:cNvPr id="18" name="Connettore diritto 17">
          <a:extLst>
            <a:ext uri="{FF2B5EF4-FFF2-40B4-BE49-F238E27FC236}">
              <a16:creationId xmlns:a16="http://schemas.microsoft.com/office/drawing/2014/main" id="{A3ED9BFE-4F43-47A7-8ED8-EA95BAE2313C}"/>
            </a:ext>
          </a:extLst>
        </xdr:cNvPr>
        <xdr:cNvCxnSpPr/>
      </xdr:nvCxnSpPr>
      <xdr:spPr>
        <a:xfrm flipH="1">
          <a:off x="2736603" y="7553910"/>
          <a:ext cx="787258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132667</xdr:colOff>
      <xdr:row>52</xdr:row>
      <xdr:rowOff>89238</xdr:rowOff>
    </xdr:from>
    <xdr:to>
      <xdr:col>39</xdr:col>
      <xdr:colOff>209868</xdr:colOff>
      <xdr:row>52</xdr:row>
      <xdr:rowOff>89238</xdr:rowOff>
    </xdr:to>
    <xdr:cxnSp macro="">
      <xdr:nvCxnSpPr>
        <xdr:cNvPr id="19" name="Connettore diritto 18">
          <a:extLst>
            <a:ext uri="{FF2B5EF4-FFF2-40B4-BE49-F238E27FC236}">
              <a16:creationId xmlns:a16="http://schemas.microsoft.com/office/drawing/2014/main" id="{A56098D0-19B0-40AE-BE6C-23C14EA0BC0E}"/>
            </a:ext>
          </a:extLst>
        </xdr:cNvPr>
        <xdr:cNvCxnSpPr/>
      </xdr:nvCxnSpPr>
      <xdr:spPr>
        <a:xfrm flipH="1">
          <a:off x="2510107" y="7671138"/>
          <a:ext cx="787246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59220</xdr:colOff>
      <xdr:row>57</xdr:row>
      <xdr:rowOff>23688</xdr:rowOff>
    </xdr:from>
    <xdr:to>
      <xdr:col>39</xdr:col>
      <xdr:colOff>136421</xdr:colOff>
      <xdr:row>57</xdr:row>
      <xdr:rowOff>23688</xdr:rowOff>
    </xdr:to>
    <xdr:cxnSp macro="">
      <xdr:nvCxnSpPr>
        <xdr:cNvPr id="20" name="Connettore diritto 19">
          <a:extLst>
            <a:ext uri="{FF2B5EF4-FFF2-40B4-BE49-F238E27FC236}">
              <a16:creationId xmlns:a16="http://schemas.microsoft.com/office/drawing/2014/main" id="{A940ED5D-D53B-4D6E-8708-AC81CC5179D3}"/>
            </a:ext>
          </a:extLst>
        </xdr:cNvPr>
        <xdr:cNvCxnSpPr/>
      </xdr:nvCxnSpPr>
      <xdr:spPr>
        <a:xfrm flipH="1">
          <a:off x="2436660" y="8100888"/>
          <a:ext cx="787246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39847</xdr:colOff>
      <xdr:row>58</xdr:row>
      <xdr:rowOff>68717</xdr:rowOff>
    </xdr:from>
    <xdr:to>
      <xdr:col>39</xdr:col>
      <xdr:colOff>117428</xdr:colOff>
      <xdr:row>58</xdr:row>
      <xdr:rowOff>68717</xdr:rowOff>
    </xdr:to>
    <xdr:cxnSp macro="">
      <xdr:nvCxnSpPr>
        <xdr:cNvPr id="21" name="Connettore diritto 20">
          <a:extLst>
            <a:ext uri="{FF2B5EF4-FFF2-40B4-BE49-F238E27FC236}">
              <a16:creationId xmlns:a16="http://schemas.microsoft.com/office/drawing/2014/main" id="{6FF3AB09-A485-44AA-9885-FF0FCE527DF4}"/>
            </a:ext>
          </a:extLst>
        </xdr:cNvPr>
        <xdr:cNvCxnSpPr/>
      </xdr:nvCxnSpPr>
      <xdr:spPr>
        <a:xfrm flipH="1">
          <a:off x="2417287" y="8244977"/>
          <a:ext cx="787284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45395</xdr:colOff>
      <xdr:row>59</xdr:row>
      <xdr:rowOff>38911</xdr:rowOff>
    </xdr:from>
    <xdr:to>
      <xdr:col>39</xdr:col>
      <xdr:colOff>122976</xdr:colOff>
      <xdr:row>59</xdr:row>
      <xdr:rowOff>38911</xdr:rowOff>
    </xdr:to>
    <xdr:cxnSp macro="">
      <xdr:nvCxnSpPr>
        <xdr:cNvPr id="22" name="Connettore diritto 21">
          <a:extLst>
            <a:ext uri="{FF2B5EF4-FFF2-40B4-BE49-F238E27FC236}">
              <a16:creationId xmlns:a16="http://schemas.microsoft.com/office/drawing/2014/main" id="{3FD5F0D3-2BD5-4ABE-BA63-608333194664}"/>
            </a:ext>
          </a:extLst>
        </xdr:cNvPr>
        <xdr:cNvCxnSpPr/>
      </xdr:nvCxnSpPr>
      <xdr:spPr>
        <a:xfrm flipH="1">
          <a:off x="2422835" y="8314231"/>
          <a:ext cx="787284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130018</xdr:colOff>
      <xdr:row>76</xdr:row>
      <xdr:rowOff>60</xdr:rowOff>
    </xdr:from>
    <xdr:to>
      <xdr:col>39</xdr:col>
      <xdr:colOff>207599</xdr:colOff>
      <xdr:row>76</xdr:row>
      <xdr:rowOff>60</xdr:rowOff>
    </xdr:to>
    <xdr:cxnSp macro="">
      <xdr:nvCxnSpPr>
        <xdr:cNvPr id="23" name="Connettore diritto 22">
          <a:extLst>
            <a:ext uri="{FF2B5EF4-FFF2-40B4-BE49-F238E27FC236}">
              <a16:creationId xmlns:a16="http://schemas.microsoft.com/office/drawing/2014/main" id="{2C8C4C6C-7520-43FF-AF52-4E90835AC915}"/>
            </a:ext>
          </a:extLst>
        </xdr:cNvPr>
        <xdr:cNvCxnSpPr/>
      </xdr:nvCxnSpPr>
      <xdr:spPr>
        <a:xfrm flipH="1">
          <a:off x="2510909" y="10535788"/>
          <a:ext cx="7884486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176212</xdr:colOff>
      <xdr:row>55</xdr:row>
      <xdr:rowOff>76200</xdr:rowOff>
    </xdr:from>
    <xdr:to>
      <xdr:col>39</xdr:col>
      <xdr:colOff>253413</xdr:colOff>
      <xdr:row>55</xdr:row>
      <xdr:rowOff>76200</xdr:rowOff>
    </xdr:to>
    <xdr:cxnSp macro="">
      <xdr:nvCxnSpPr>
        <xdr:cNvPr id="24" name="Connettore diritto 23">
          <a:extLst>
            <a:ext uri="{FF2B5EF4-FFF2-40B4-BE49-F238E27FC236}">
              <a16:creationId xmlns:a16="http://schemas.microsoft.com/office/drawing/2014/main" id="{776B3EB7-D6DF-46BA-BC0C-0A2E53286FE7}"/>
            </a:ext>
          </a:extLst>
        </xdr:cNvPr>
        <xdr:cNvCxnSpPr/>
      </xdr:nvCxnSpPr>
      <xdr:spPr>
        <a:xfrm flipH="1">
          <a:off x="2553652" y="7955280"/>
          <a:ext cx="787246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133257</xdr:colOff>
      <xdr:row>52</xdr:row>
      <xdr:rowOff>17789</xdr:rowOff>
    </xdr:from>
    <xdr:to>
      <xdr:col>39</xdr:col>
      <xdr:colOff>431557</xdr:colOff>
      <xdr:row>52</xdr:row>
      <xdr:rowOff>17789</xdr:rowOff>
    </xdr:to>
    <xdr:cxnSp macro="">
      <xdr:nvCxnSpPr>
        <xdr:cNvPr id="25" name="Connettore diritto 24">
          <a:extLst>
            <a:ext uri="{FF2B5EF4-FFF2-40B4-BE49-F238E27FC236}">
              <a16:creationId xmlns:a16="http://schemas.microsoft.com/office/drawing/2014/main" id="{75EBE378-AC1D-49CF-AC6D-08779C4F38F4}"/>
            </a:ext>
          </a:extLst>
        </xdr:cNvPr>
        <xdr:cNvCxnSpPr/>
      </xdr:nvCxnSpPr>
      <xdr:spPr>
        <a:xfrm flipH="1">
          <a:off x="2731677" y="7599689"/>
          <a:ext cx="787258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66756</xdr:colOff>
      <xdr:row>12</xdr:row>
      <xdr:rowOff>114865</xdr:rowOff>
    </xdr:from>
    <xdr:to>
      <xdr:col>39</xdr:col>
      <xdr:colOff>582168</xdr:colOff>
      <xdr:row>12</xdr:row>
      <xdr:rowOff>114865</xdr:rowOff>
    </xdr:to>
    <xdr:cxnSp macro="">
      <xdr:nvCxnSpPr>
        <xdr:cNvPr id="26" name="Connettore diritto 25">
          <a:extLst>
            <a:ext uri="{FF2B5EF4-FFF2-40B4-BE49-F238E27FC236}">
              <a16:creationId xmlns:a16="http://schemas.microsoft.com/office/drawing/2014/main" id="{462F0141-B810-4DE9-8F03-7BAB27850352}"/>
            </a:ext>
          </a:extLst>
        </xdr:cNvPr>
        <xdr:cNvCxnSpPr/>
      </xdr:nvCxnSpPr>
      <xdr:spPr>
        <a:xfrm flipH="1">
          <a:off x="2903741" y="2295357"/>
          <a:ext cx="7912673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205766</xdr:colOff>
      <xdr:row>17</xdr:row>
      <xdr:rowOff>178222</xdr:rowOff>
    </xdr:from>
    <xdr:to>
      <xdr:col>39</xdr:col>
      <xdr:colOff>501433</xdr:colOff>
      <xdr:row>17</xdr:row>
      <xdr:rowOff>178222</xdr:rowOff>
    </xdr:to>
    <xdr:cxnSp macro="">
      <xdr:nvCxnSpPr>
        <xdr:cNvPr id="28" name="Connettore diritto 27">
          <a:extLst>
            <a:ext uri="{FF2B5EF4-FFF2-40B4-BE49-F238E27FC236}">
              <a16:creationId xmlns:a16="http://schemas.microsoft.com/office/drawing/2014/main" id="{28820AFC-1CAD-4039-B15B-FCDF9FC0E973}"/>
            </a:ext>
          </a:extLst>
        </xdr:cNvPr>
        <xdr:cNvCxnSpPr/>
      </xdr:nvCxnSpPr>
      <xdr:spPr>
        <a:xfrm flipH="1">
          <a:off x="2820012" y="3267253"/>
          <a:ext cx="7915667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12586</xdr:colOff>
      <xdr:row>21</xdr:row>
      <xdr:rowOff>6785</xdr:rowOff>
    </xdr:from>
    <xdr:to>
      <xdr:col>39</xdr:col>
      <xdr:colOff>533080</xdr:colOff>
      <xdr:row>21</xdr:row>
      <xdr:rowOff>6785</xdr:rowOff>
    </xdr:to>
    <xdr:cxnSp macro="">
      <xdr:nvCxnSpPr>
        <xdr:cNvPr id="29" name="Connettore diritto 28">
          <a:extLst>
            <a:ext uri="{FF2B5EF4-FFF2-40B4-BE49-F238E27FC236}">
              <a16:creationId xmlns:a16="http://schemas.microsoft.com/office/drawing/2014/main" id="{282A06DC-FC62-48A5-847E-0989F6B8491C}"/>
            </a:ext>
          </a:extLst>
        </xdr:cNvPr>
        <xdr:cNvCxnSpPr/>
      </xdr:nvCxnSpPr>
      <xdr:spPr>
        <a:xfrm flipH="1">
          <a:off x="2826543" y="3835835"/>
          <a:ext cx="7860187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56569</xdr:colOff>
      <xdr:row>13</xdr:row>
      <xdr:rowOff>150722</xdr:rowOff>
    </xdr:from>
    <xdr:to>
      <xdr:col>39</xdr:col>
      <xdr:colOff>571981</xdr:colOff>
      <xdr:row>13</xdr:row>
      <xdr:rowOff>150722</xdr:rowOff>
    </xdr:to>
    <xdr:cxnSp macro="">
      <xdr:nvCxnSpPr>
        <xdr:cNvPr id="31" name="Connettore diritto 30">
          <a:extLst>
            <a:ext uri="{FF2B5EF4-FFF2-40B4-BE49-F238E27FC236}">
              <a16:creationId xmlns:a16="http://schemas.microsoft.com/office/drawing/2014/main" id="{D1A59DA9-9A9C-4C29-894C-350788C4F682}"/>
            </a:ext>
          </a:extLst>
        </xdr:cNvPr>
        <xdr:cNvCxnSpPr/>
      </xdr:nvCxnSpPr>
      <xdr:spPr>
        <a:xfrm flipH="1">
          <a:off x="2880282" y="2543114"/>
          <a:ext cx="787949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102576</xdr:colOff>
      <xdr:row>16</xdr:row>
      <xdr:rowOff>61590</xdr:rowOff>
    </xdr:from>
    <xdr:to>
      <xdr:col>40</xdr:col>
      <xdr:colOff>8388</xdr:colOff>
      <xdr:row>16</xdr:row>
      <xdr:rowOff>61590</xdr:rowOff>
    </xdr:to>
    <xdr:cxnSp macro="">
      <xdr:nvCxnSpPr>
        <xdr:cNvPr id="33" name="Connettore diritto 32">
          <a:extLst>
            <a:ext uri="{FF2B5EF4-FFF2-40B4-BE49-F238E27FC236}">
              <a16:creationId xmlns:a16="http://schemas.microsoft.com/office/drawing/2014/main" id="{49C4A51E-FB32-4E6C-B577-1C90957BA4CE}"/>
            </a:ext>
          </a:extLst>
        </xdr:cNvPr>
        <xdr:cNvCxnSpPr/>
      </xdr:nvCxnSpPr>
      <xdr:spPr>
        <a:xfrm flipH="1">
          <a:off x="2926289" y="3006073"/>
          <a:ext cx="787949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105539</xdr:colOff>
      <xdr:row>11</xdr:row>
      <xdr:rowOff>42735</xdr:rowOff>
    </xdr:from>
    <xdr:to>
      <xdr:col>40</xdr:col>
      <xdr:colOff>15764</xdr:colOff>
      <xdr:row>11</xdr:row>
      <xdr:rowOff>42735</xdr:rowOff>
    </xdr:to>
    <xdr:cxnSp macro="">
      <xdr:nvCxnSpPr>
        <xdr:cNvPr id="34" name="Connettore diritto 33">
          <a:extLst>
            <a:ext uri="{FF2B5EF4-FFF2-40B4-BE49-F238E27FC236}">
              <a16:creationId xmlns:a16="http://schemas.microsoft.com/office/drawing/2014/main" id="{25C1E715-F7B5-4FEC-B062-A27FE1A95247}"/>
            </a:ext>
          </a:extLst>
        </xdr:cNvPr>
        <xdr:cNvCxnSpPr/>
      </xdr:nvCxnSpPr>
      <xdr:spPr>
        <a:xfrm flipH="1">
          <a:off x="2929252" y="2067067"/>
          <a:ext cx="7883908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124267</xdr:colOff>
      <xdr:row>77</xdr:row>
      <xdr:rowOff>25940</xdr:rowOff>
    </xdr:from>
    <xdr:to>
      <xdr:col>39</xdr:col>
      <xdr:colOff>201848</xdr:colOff>
      <xdr:row>77</xdr:row>
      <xdr:rowOff>25940</xdr:rowOff>
    </xdr:to>
    <xdr:cxnSp macro="">
      <xdr:nvCxnSpPr>
        <xdr:cNvPr id="36" name="Connettore diritto 35">
          <a:extLst>
            <a:ext uri="{FF2B5EF4-FFF2-40B4-BE49-F238E27FC236}">
              <a16:creationId xmlns:a16="http://schemas.microsoft.com/office/drawing/2014/main" id="{138E23E0-3A34-4E3A-A437-CC6C1FB6A8FD}"/>
            </a:ext>
          </a:extLst>
        </xdr:cNvPr>
        <xdr:cNvCxnSpPr/>
      </xdr:nvCxnSpPr>
      <xdr:spPr>
        <a:xfrm flipH="1">
          <a:off x="2505158" y="10745698"/>
          <a:ext cx="7884486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132893</xdr:colOff>
      <xdr:row>76</xdr:row>
      <xdr:rowOff>69072</xdr:rowOff>
    </xdr:from>
    <xdr:to>
      <xdr:col>39</xdr:col>
      <xdr:colOff>210474</xdr:colOff>
      <xdr:row>76</xdr:row>
      <xdr:rowOff>69072</xdr:rowOff>
    </xdr:to>
    <xdr:cxnSp macro="">
      <xdr:nvCxnSpPr>
        <xdr:cNvPr id="37" name="Connettore diritto 36">
          <a:extLst>
            <a:ext uri="{FF2B5EF4-FFF2-40B4-BE49-F238E27FC236}">
              <a16:creationId xmlns:a16="http://schemas.microsoft.com/office/drawing/2014/main" id="{BF5C2D3D-9336-4954-8D7D-ADBC2467B8A5}"/>
            </a:ext>
          </a:extLst>
        </xdr:cNvPr>
        <xdr:cNvCxnSpPr/>
      </xdr:nvCxnSpPr>
      <xdr:spPr>
        <a:xfrm flipH="1">
          <a:off x="2513784" y="10604800"/>
          <a:ext cx="7884486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155897</xdr:colOff>
      <xdr:row>75</xdr:row>
      <xdr:rowOff>46067</xdr:rowOff>
    </xdr:from>
    <xdr:to>
      <xdr:col>39</xdr:col>
      <xdr:colOff>233478</xdr:colOff>
      <xdr:row>75</xdr:row>
      <xdr:rowOff>46067</xdr:rowOff>
    </xdr:to>
    <xdr:cxnSp macro="">
      <xdr:nvCxnSpPr>
        <xdr:cNvPr id="38" name="Connettore diritto 37">
          <a:extLst>
            <a:ext uri="{FF2B5EF4-FFF2-40B4-BE49-F238E27FC236}">
              <a16:creationId xmlns:a16="http://schemas.microsoft.com/office/drawing/2014/main" id="{962E7026-F55F-46FC-A46D-FCC3B69D54E9}"/>
            </a:ext>
          </a:extLst>
        </xdr:cNvPr>
        <xdr:cNvCxnSpPr/>
      </xdr:nvCxnSpPr>
      <xdr:spPr>
        <a:xfrm flipH="1">
          <a:off x="2536788" y="10397765"/>
          <a:ext cx="7884486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147270</xdr:colOff>
      <xdr:row>74</xdr:row>
      <xdr:rowOff>152459</xdr:rowOff>
    </xdr:from>
    <xdr:to>
      <xdr:col>39</xdr:col>
      <xdr:colOff>224851</xdr:colOff>
      <xdr:row>74</xdr:row>
      <xdr:rowOff>152459</xdr:rowOff>
    </xdr:to>
    <xdr:cxnSp macro="">
      <xdr:nvCxnSpPr>
        <xdr:cNvPr id="39" name="Connettore diritto 38">
          <a:extLst>
            <a:ext uri="{FF2B5EF4-FFF2-40B4-BE49-F238E27FC236}">
              <a16:creationId xmlns:a16="http://schemas.microsoft.com/office/drawing/2014/main" id="{C12EF6AE-0A1B-4A22-BBAC-CB45204F636B}"/>
            </a:ext>
          </a:extLst>
        </xdr:cNvPr>
        <xdr:cNvCxnSpPr/>
      </xdr:nvCxnSpPr>
      <xdr:spPr>
        <a:xfrm flipH="1">
          <a:off x="2528161" y="10320127"/>
          <a:ext cx="7884486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144395</xdr:colOff>
      <xdr:row>72</xdr:row>
      <xdr:rowOff>140957</xdr:rowOff>
    </xdr:from>
    <xdr:to>
      <xdr:col>39</xdr:col>
      <xdr:colOff>221976</xdr:colOff>
      <xdr:row>72</xdr:row>
      <xdr:rowOff>140957</xdr:rowOff>
    </xdr:to>
    <xdr:cxnSp macro="">
      <xdr:nvCxnSpPr>
        <xdr:cNvPr id="40" name="Connettore diritto 39">
          <a:extLst>
            <a:ext uri="{FF2B5EF4-FFF2-40B4-BE49-F238E27FC236}">
              <a16:creationId xmlns:a16="http://schemas.microsoft.com/office/drawing/2014/main" id="{8361B143-F573-46B2-865A-EEBAF79760F7}"/>
            </a:ext>
          </a:extLst>
        </xdr:cNvPr>
        <xdr:cNvCxnSpPr/>
      </xdr:nvCxnSpPr>
      <xdr:spPr>
        <a:xfrm flipH="1">
          <a:off x="2525286" y="9940565"/>
          <a:ext cx="7884486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153022</xdr:colOff>
      <xdr:row>73</xdr:row>
      <xdr:rowOff>89198</xdr:rowOff>
    </xdr:from>
    <xdr:to>
      <xdr:col>39</xdr:col>
      <xdr:colOff>230603</xdr:colOff>
      <xdr:row>73</xdr:row>
      <xdr:rowOff>89198</xdr:rowOff>
    </xdr:to>
    <xdr:cxnSp macro="">
      <xdr:nvCxnSpPr>
        <xdr:cNvPr id="41" name="Connettore diritto 40">
          <a:extLst>
            <a:ext uri="{FF2B5EF4-FFF2-40B4-BE49-F238E27FC236}">
              <a16:creationId xmlns:a16="http://schemas.microsoft.com/office/drawing/2014/main" id="{AB5D1DFB-609B-4DE3-A1CF-EA328E576F07}"/>
            </a:ext>
          </a:extLst>
        </xdr:cNvPr>
        <xdr:cNvCxnSpPr/>
      </xdr:nvCxnSpPr>
      <xdr:spPr>
        <a:xfrm flipH="1">
          <a:off x="2533913" y="10072836"/>
          <a:ext cx="7884486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153022</xdr:colOff>
      <xdr:row>73</xdr:row>
      <xdr:rowOff>152458</xdr:rowOff>
    </xdr:from>
    <xdr:to>
      <xdr:col>39</xdr:col>
      <xdr:colOff>230603</xdr:colOff>
      <xdr:row>73</xdr:row>
      <xdr:rowOff>152458</xdr:rowOff>
    </xdr:to>
    <xdr:cxnSp macro="">
      <xdr:nvCxnSpPr>
        <xdr:cNvPr id="42" name="Connettore diritto 41">
          <a:extLst>
            <a:ext uri="{FF2B5EF4-FFF2-40B4-BE49-F238E27FC236}">
              <a16:creationId xmlns:a16="http://schemas.microsoft.com/office/drawing/2014/main" id="{DA21424B-1EB7-4942-AFA1-E71D4B030DB5}"/>
            </a:ext>
          </a:extLst>
        </xdr:cNvPr>
        <xdr:cNvCxnSpPr/>
      </xdr:nvCxnSpPr>
      <xdr:spPr>
        <a:xfrm flipH="1">
          <a:off x="2533913" y="10136096"/>
          <a:ext cx="7884486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</xdr:colOff>
      <xdr:row>7</xdr:row>
      <xdr:rowOff>7620</xdr:rowOff>
    </xdr:from>
    <xdr:to>
      <xdr:col>14</xdr:col>
      <xdr:colOff>281940</xdr:colOff>
      <xdr:row>17</xdr:row>
      <xdr:rowOff>175260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CF8A5BB1-DEC0-4E06-9EBB-2995041F6C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518160</xdr:colOff>
      <xdr:row>19</xdr:row>
      <xdr:rowOff>106680</xdr:rowOff>
    </xdr:from>
    <xdr:to>
      <xdr:col>15</xdr:col>
      <xdr:colOff>213360</xdr:colOff>
      <xdr:row>30</xdr:row>
      <xdr:rowOff>167640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93CF204C-5AC2-4AF0-AF6B-6504C558B2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137161</xdr:colOff>
      <xdr:row>6</xdr:row>
      <xdr:rowOff>185</xdr:rowOff>
    </xdr:from>
    <xdr:to>
      <xdr:col>40</xdr:col>
      <xdr:colOff>259081</xdr:colOff>
      <xdr:row>39</xdr:row>
      <xdr:rowOff>75264</xdr:rowOff>
    </xdr:to>
    <xdr:pic>
      <xdr:nvPicPr>
        <xdr:cNvPr id="53" name="Immagine 52">
          <a:extLst>
            <a:ext uri="{FF2B5EF4-FFF2-40B4-BE49-F238E27FC236}">
              <a16:creationId xmlns:a16="http://schemas.microsoft.com/office/drawing/2014/main" id="{66DAABFF-1444-8EF9-6CC2-8558E8D69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6761" y="1097465"/>
          <a:ext cx="10294620" cy="5271919"/>
        </a:xfrm>
        <a:prstGeom prst="rect">
          <a:avLst/>
        </a:prstGeom>
      </xdr:spPr>
    </xdr:pic>
    <xdr:clientData/>
  </xdr:twoCellAnchor>
  <xdr:twoCellAnchor editAs="oneCell">
    <xdr:from>
      <xdr:col>5</xdr:col>
      <xdr:colOff>82041</xdr:colOff>
      <xdr:row>7</xdr:row>
      <xdr:rowOff>85725</xdr:rowOff>
    </xdr:from>
    <xdr:to>
      <xdr:col>40</xdr:col>
      <xdr:colOff>197309</xdr:colOff>
      <xdr:row>37</xdr:row>
      <xdr:rowOff>2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BCFA6C63-0E19-44B6-87CA-750045FC4E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alphaModFix amt="50000"/>
        </a:blip>
        <a:srcRect l="303" t="16233" r="4012" b="780"/>
        <a:stretch/>
      </xdr:blipFill>
      <xdr:spPr>
        <a:xfrm>
          <a:off x="1574510" y="1373242"/>
          <a:ext cx="9395902" cy="4759546"/>
        </a:xfrm>
        <a:prstGeom prst="rect">
          <a:avLst/>
        </a:prstGeom>
      </xdr:spPr>
    </xdr:pic>
    <xdr:clientData/>
  </xdr:twoCellAnchor>
  <xdr:twoCellAnchor>
    <xdr:from>
      <xdr:col>45</xdr:col>
      <xdr:colOff>372208</xdr:colOff>
      <xdr:row>10</xdr:row>
      <xdr:rowOff>64477</xdr:rowOff>
    </xdr:from>
    <xdr:to>
      <xdr:col>53</xdr:col>
      <xdr:colOff>67408</xdr:colOff>
      <xdr:row>25</xdr:row>
      <xdr:rowOff>82062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BEBF03B4-2272-4445-9878-55F5CE2E84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45</xdr:col>
      <xdr:colOff>410200</xdr:colOff>
      <xdr:row>67</xdr:row>
      <xdr:rowOff>30863</xdr:rowOff>
    </xdr:from>
    <xdr:to>
      <xdr:col>53</xdr:col>
      <xdr:colOff>105400</xdr:colOff>
      <xdr:row>83</xdr:row>
      <xdr:rowOff>13958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4034D988-BEBB-4BFC-AAF8-56B4649877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47379</xdr:colOff>
      <xdr:row>57</xdr:row>
      <xdr:rowOff>98701</xdr:rowOff>
    </xdr:from>
    <xdr:to>
      <xdr:col>39</xdr:col>
      <xdr:colOff>124580</xdr:colOff>
      <xdr:row>57</xdr:row>
      <xdr:rowOff>98701</xdr:rowOff>
    </xdr:to>
    <xdr:cxnSp macro="">
      <xdr:nvCxnSpPr>
        <xdr:cNvPr id="12" name="Connettore diritto 11">
          <a:extLst>
            <a:ext uri="{FF2B5EF4-FFF2-40B4-BE49-F238E27FC236}">
              <a16:creationId xmlns:a16="http://schemas.microsoft.com/office/drawing/2014/main" id="{1BF47778-1DE6-48E5-B39D-EAF6CBFB10AC}"/>
            </a:ext>
          </a:extLst>
        </xdr:cNvPr>
        <xdr:cNvCxnSpPr/>
      </xdr:nvCxnSpPr>
      <xdr:spPr>
        <a:xfrm flipH="1">
          <a:off x="2424819" y="8175901"/>
          <a:ext cx="787246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98708</xdr:colOff>
      <xdr:row>53</xdr:row>
      <xdr:rowOff>19747</xdr:rowOff>
    </xdr:from>
    <xdr:to>
      <xdr:col>39</xdr:col>
      <xdr:colOff>175909</xdr:colOff>
      <xdr:row>53</xdr:row>
      <xdr:rowOff>19747</xdr:rowOff>
    </xdr:to>
    <xdr:cxnSp macro="">
      <xdr:nvCxnSpPr>
        <xdr:cNvPr id="13" name="Connettore diritto 12">
          <a:extLst>
            <a:ext uri="{FF2B5EF4-FFF2-40B4-BE49-F238E27FC236}">
              <a16:creationId xmlns:a16="http://schemas.microsoft.com/office/drawing/2014/main" id="{510AB646-E014-4CDE-8BA3-712BDE21C446}"/>
            </a:ext>
          </a:extLst>
        </xdr:cNvPr>
        <xdr:cNvCxnSpPr/>
      </xdr:nvCxnSpPr>
      <xdr:spPr>
        <a:xfrm flipH="1">
          <a:off x="2476148" y="7700707"/>
          <a:ext cx="787246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98705</xdr:colOff>
      <xdr:row>54</xdr:row>
      <xdr:rowOff>35534</xdr:rowOff>
    </xdr:from>
    <xdr:to>
      <xdr:col>39</xdr:col>
      <xdr:colOff>175906</xdr:colOff>
      <xdr:row>54</xdr:row>
      <xdr:rowOff>35534</xdr:rowOff>
    </xdr:to>
    <xdr:cxnSp macro="">
      <xdr:nvCxnSpPr>
        <xdr:cNvPr id="14" name="Connettore diritto 13">
          <a:extLst>
            <a:ext uri="{FF2B5EF4-FFF2-40B4-BE49-F238E27FC236}">
              <a16:creationId xmlns:a16="http://schemas.microsoft.com/office/drawing/2014/main" id="{53A77F96-C57F-4B8E-A924-4B10CE91D159}"/>
            </a:ext>
          </a:extLst>
        </xdr:cNvPr>
        <xdr:cNvCxnSpPr/>
      </xdr:nvCxnSpPr>
      <xdr:spPr>
        <a:xfrm flipH="1">
          <a:off x="2476145" y="7815554"/>
          <a:ext cx="787246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138183</xdr:colOff>
      <xdr:row>51</xdr:row>
      <xdr:rowOff>71070</xdr:rowOff>
    </xdr:from>
    <xdr:to>
      <xdr:col>39</xdr:col>
      <xdr:colOff>436483</xdr:colOff>
      <xdr:row>51</xdr:row>
      <xdr:rowOff>71070</xdr:rowOff>
    </xdr:to>
    <xdr:cxnSp macro="">
      <xdr:nvCxnSpPr>
        <xdr:cNvPr id="15" name="Connettore diritto 14">
          <a:extLst>
            <a:ext uri="{FF2B5EF4-FFF2-40B4-BE49-F238E27FC236}">
              <a16:creationId xmlns:a16="http://schemas.microsoft.com/office/drawing/2014/main" id="{75A8D380-4409-46E9-9B77-018D26F8586A}"/>
            </a:ext>
          </a:extLst>
        </xdr:cNvPr>
        <xdr:cNvCxnSpPr/>
      </xdr:nvCxnSpPr>
      <xdr:spPr>
        <a:xfrm flipH="1">
          <a:off x="2736603" y="7553910"/>
          <a:ext cx="787258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132667</xdr:colOff>
      <xdr:row>52</xdr:row>
      <xdr:rowOff>89238</xdr:rowOff>
    </xdr:from>
    <xdr:to>
      <xdr:col>39</xdr:col>
      <xdr:colOff>209868</xdr:colOff>
      <xdr:row>52</xdr:row>
      <xdr:rowOff>89238</xdr:rowOff>
    </xdr:to>
    <xdr:cxnSp macro="">
      <xdr:nvCxnSpPr>
        <xdr:cNvPr id="16" name="Connettore diritto 15">
          <a:extLst>
            <a:ext uri="{FF2B5EF4-FFF2-40B4-BE49-F238E27FC236}">
              <a16:creationId xmlns:a16="http://schemas.microsoft.com/office/drawing/2014/main" id="{C323A1BB-09B3-4E58-AC9E-41FE52FD541A}"/>
            </a:ext>
          </a:extLst>
        </xdr:cNvPr>
        <xdr:cNvCxnSpPr/>
      </xdr:nvCxnSpPr>
      <xdr:spPr>
        <a:xfrm flipH="1">
          <a:off x="2510107" y="7671138"/>
          <a:ext cx="787246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59220</xdr:colOff>
      <xdr:row>57</xdr:row>
      <xdr:rowOff>23688</xdr:rowOff>
    </xdr:from>
    <xdr:to>
      <xdr:col>39</xdr:col>
      <xdr:colOff>136421</xdr:colOff>
      <xdr:row>57</xdr:row>
      <xdr:rowOff>23688</xdr:rowOff>
    </xdr:to>
    <xdr:cxnSp macro="">
      <xdr:nvCxnSpPr>
        <xdr:cNvPr id="17" name="Connettore diritto 16">
          <a:extLst>
            <a:ext uri="{FF2B5EF4-FFF2-40B4-BE49-F238E27FC236}">
              <a16:creationId xmlns:a16="http://schemas.microsoft.com/office/drawing/2014/main" id="{4E962AC3-E8C8-454F-806A-7F16AB2F39A5}"/>
            </a:ext>
          </a:extLst>
        </xdr:cNvPr>
        <xdr:cNvCxnSpPr/>
      </xdr:nvCxnSpPr>
      <xdr:spPr>
        <a:xfrm flipH="1">
          <a:off x="2436660" y="8100888"/>
          <a:ext cx="787246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39847</xdr:colOff>
      <xdr:row>58</xdr:row>
      <xdr:rowOff>68717</xdr:rowOff>
    </xdr:from>
    <xdr:to>
      <xdr:col>39</xdr:col>
      <xdr:colOff>117428</xdr:colOff>
      <xdr:row>58</xdr:row>
      <xdr:rowOff>68717</xdr:rowOff>
    </xdr:to>
    <xdr:cxnSp macro="">
      <xdr:nvCxnSpPr>
        <xdr:cNvPr id="18" name="Connettore diritto 17">
          <a:extLst>
            <a:ext uri="{FF2B5EF4-FFF2-40B4-BE49-F238E27FC236}">
              <a16:creationId xmlns:a16="http://schemas.microsoft.com/office/drawing/2014/main" id="{FFB339B5-C309-4C4D-9BF7-B8E1E02328D9}"/>
            </a:ext>
          </a:extLst>
        </xdr:cNvPr>
        <xdr:cNvCxnSpPr/>
      </xdr:nvCxnSpPr>
      <xdr:spPr>
        <a:xfrm flipH="1">
          <a:off x="2417287" y="8244977"/>
          <a:ext cx="787284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45395</xdr:colOff>
      <xdr:row>59</xdr:row>
      <xdr:rowOff>38911</xdr:rowOff>
    </xdr:from>
    <xdr:to>
      <xdr:col>39</xdr:col>
      <xdr:colOff>122976</xdr:colOff>
      <xdr:row>59</xdr:row>
      <xdr:rowOff>38911</xdr:rowOff>
    </xdr:to>
    <xdr:cxnSp macro="">
      <xdr:nvCxnSpPr>
        <xdr:cNvPr id="19" name="Connettore diritto 18">
          <a:extLst>
            <a:ext uri="{FF2B5EF4-FFF2-40B4-BE49-F238E27FC236}">
              <a16:creationId xmlns:a16="http://schemas.microsoft.com/office/drawing/2014/main" id="{2A87AC31-2F25-4798-88BF-7713D805F9CE}"/>
            </a:ext>
          </a:extLst>
        </xdr:cNvPr>
        <xdr:cNvCxnSpPr/>
      </xdr:nvCxnSpPr>
      <xdr:spPr>
        <a:xfrm flipH="1">
          <a:off x="2422835" y="8314231"/>
          <a:ext cx="787284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130018</xdr:colOff>
      <xdr:row>76</xdr:row>
      <xdr:rowOff>60</xdr:rowOff>
    </xdr:from>
    <xdr:to>
      <xdr:col>39</xdr:col>
      <xdr:colOff>207599</xdr:colOff>
      <xdr:row>76</xdr:row>
      <xdr:rowOff>60</xdr:rowOff>
    </xdr:to>
    <xdr:cxnSp macro="">
      <xdr:nvCxnSpPr>
        <xdr:cNvPr id="20" name="Connettore diritto 19">
          <a:extLst>
            <a:ext uri="{FF2B5EF4-FFF2-40B4-BE49-F238E27FC236}">
              <a16:creationId xmlns:a16="http://schemas.microsoft.com/office/drawing/2014/main" id="{E066279E-484E-423E-A556-62089030958D}"/>
            </a:ext>
          </a:extLst>
        </xdr:cNvPr>
        <xdr:cNvCxnSpPr/>
      </xdr:nvCxnSpPr>
      <xdr:spPr>
        <a:xfrm flipH="1">
          <a:off x="2507458" y="10546140"/>
          <a:ext cx="787284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176212</xdr:colOff>
      <xdr:row>55</xdr:row>
      <xdr:rowOff>76200</xdr:rowOff>
    </xdr:from>
    <xdr:to>
      <xdr:col>39</xdr:col>
      <xdr:colOff>253413</xdr:colOff>
      <xdr:row>55</xdr:row>
      <xdr:rowOff>76200</xdr:rowOff>
    </xdr:to>
    <xdr:cxnSp macro="">
      <xdr:nvCxnSpPr>
        <xdr:cNvPr id="21" name="Connettore diritto 20">
          <a:extLst>
            <a:ext uri="{FF2B5EF4-FFF2-40B4-BE49-F238E27FC236}">
              <a16:creationId xmlns:a16="http://schemas.microsoft.com/office/drawing/2014/main" id="{6357A9F5-F54D-4794-B5C0-37650533F321}"/>
            </a:ext>
          </a:extLst>
        </xdr:cNvPr>
        <xdr:cNvCxnSpPr/>
      </xdr:nvCxnSpPr>
      <xdr:spPr>
        <a:xfrm flipH="1">
          <a:off x="2553652" y="7955280"/>
          <a:ext cx="787246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7361</xdr:colOff>
      <xdr:row>21</xdr:row>
      <xdr:rowOff>473</xdr:rowOff>
    </xdr:from>
    <xdr:to>
      <xdr:col>38</xdr:col>
      <xdr:colOff>353692</xdr:colOff>
      <xdr:row>21</xdr:row>
      <xdr:rowOff>473</xdr:rowOff>
    </xdr:to>
    <xdr:cxnSp macro="">
      <xdr:nvCxnSpPr>
        <xdr:cNvPr id="22" name="Connettore diritto 21">
          <a:extLst>
            <a:ext uri="{FF2B5EF4-FFF2-40B4-BE49-F238E27FC236}">
              <a16:creationId xmlns:a16="http://schemas.microsoft.com/office/drawing/2014/main" id="{6B06BC9C-94A4-4CD9-A056-4FDFDCB85B12}"/>
            </a:ext>
          </a:extLst>
        </xdr:cNvPr>
        <xdr:cNvCxnSpPr/>
      </xdr:nvCxnSpPr>
      <xdr:spPr>
        <a:xfrm flipH="1">
          <a:off x="838634" y="3855500"/>
          <a:ext cx="9102403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124267</xdr:colOff>
      <xdr:row>77</xdr:row>
      <xdr:rowOff>25940</xdr:rowOff>
    </xdr:from>
    <xdr:to>
      <xdr:col>39</xdr:col>
      <xdr:colOff>201848</xdr:colOff>
      <xdr:row>77</xdr:row>
      <xdr:rowOff>25940</xdr:rowOff>
    </xdr:to>
    <xdr:cxnSp macro="">
      <xdr:nvCxnSpPr>
        <xdr:cNvPr id="29" name="Connettore diritto 28">
          <a:extLst>
            <a:ext uri="{FF2B5EF4-FFF2-40B4-BE49-F238E27FC236}">
              <a16:creationId xmlns:a16="http://schemas.microsoft.com/office/drawing/2014/main" id="{C80F707E-6125-48C2-9813-B594BED3BC98}"/>
            </a:ext>
          </a:extLst>
        </xdr:cNvPr>
        <xdr:cNvCxnSpPr/>
      </xdr:nvCxnSpPr>
      <xdr:spPr>
        <a:xfrm flipH="1">
          <a:off x="2501707" y="10754900"/>
          <a:ext cx="787284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132893</xdr:colOff>
      <xdr:row>76</xdr:row>
      <xdr:rowOff>69072</xdr:rowOff>
    </xdr:from>
    <xdr:to>
      <xdr:col>39</xdr:col>
      <xdr:colOff>210474</xdr:colOff>
      <xdr:row>76</xdr:row>
      <xdr:rowOff>69072</xdr:rowOff>
    </xdr:to>
    <xdr:cxnSp macro="">
      <xdr:nvCxnSpPr>
        <xdr:cNvPr id="30" name="Connettore diritto 29">
          <a:extLst>
            <a:ext uri="{FF2B5EF4-FFF2-40B4-BE49-F238E27FC236}">
              <a16:creationId xmlns:a16="http://schemas.microsoft.com/office/drawing/2014/main" id="{9676B65F-E7F6-4A3F-A653-2B2F477F3FC7}"/>
            </a:ext>
          </a:extLst>
        </xdr:cNvPr>
        <xdr:cNvCxnSpPr/>
      </xdr:nvCxnSpPr>
      <xdr:spPr>
        <a:xfrm flipH="1">
          <a:off x="2510333" y="10615152"/>
          <a:ext cx="787284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155897</xdr:colOff>
      <xdr:row>75</xdr:row>
      <xdr:rowOff>46067</xdr:rowOff>
    </xdr:from>
    <xdr:to>
      <xdr:col>39</xdr:col>
      <xdr:colOff>233478</xdr:colOff>
      <xdr:row>75</xdr:row>
      <xdr:rowOff>46067</xdr:rowOff>
    </xdr:to>
    <xdr:cxnSp macro="">
      <xdr:nvCxnSpPr>
        <xdr:cNvPr id="31" name="Connettore diritto 30">
          <a:extLst>
            <a:ext uri="{FF2B5EF4-FFF2-40B4-BE49-F238E27FC236}">
              <a16:creationId xmlns:a16="http://schemas.microsoft.com/office/drawing/2014/main" id="{56842E7F-ED80-4F3F-A73D-1F3FB39A9435}"/>
            </a:ext>
          </a:extLst>
        </xdr:cNvPr>
        <xdr:cNvCxnSpPr/>
      </xdr:nvCxnSpPr>
      <xdr:spPr>
        <a:xfrm flipH="1">
          <a:off x="2533337" y="10409267"/>
          <a:ext cx="787284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147270</xdr:colOff>
      <xdr:row>74</xdr:row>
      <xdr:rowOff>152459</xdr:rowOff>
    </xdr:from>
    <xdr:to>
      <xdr:col>39</xdr:col>
      <xdr:colOff>224851</xdr:colOff>
      <xdr:row>74</xdr:row>
      <xdr:rowOff>152459</xdr:rowOff>
    </xdr:to>
    <xdr:cxnSp macro="">
      <xdr:nvCxnSpPr>
        <xdr:cNvPr id="32" name="Connettore diritto 31">
          <a:extLst>
            <a:ext uri="{FF2B5EF4-FFF2-40B4-BE49-F238E27FC236}">
              <a16:creationId xmlns:a16="http://schemas.microsoft.com/office/drawing/2014/main" id="{0CF71C0A-CBB2-45AA-8738-E0821DDC0BD3}"/>
            </a:ext>
          </a:extLst>
        </xdr:cNvPr>
        <xdr:cNvCxnSpPr/>
      </xdr:nvCxnSpPr>
      <xdr:spPr>
        <a:xfrm flipH="1">
          <a:off x="2524710" y="10332779"/>
          <a:ext cx="787284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144395</xdr:colOff>
      <xdr:row>72</xdr:row>
      <xdr:rowOff>140957</xdr:rowOff>
    </xdr:from>
    <xdr:to>
      <xdr:col>39</xdr:col>
      <xdr:colOff>221976</xdr:colOff>
      <xdr:row>72</xdr:row>
      <xdr:rowOff>140957</xdr:rowOff>
    </xdr:to>
    <xdr:cxnSp macro="">
      <xdr:nvCxnSpPr>
        <xdr:cNvPr id="33" name="Connettore diritto 32">
          <a:extLst>
            <a:ext uri="{FF2B5EF4-FFF2-40B4-BE49-F238E27FC236}">
              <a16:creationId xmlns:a16="http://schemas.microsoft.com/office/drawing/2014/main" id="{8EB6C910-1D48-4F00-8FAC-919054B6A845}"/>
            </a:ext>
          </a:extLst>
        </xdr:cNvPr>
        <xdr:cNvCxnSpPr/>
      </xdr:nvCxnSpPr>
      <xdr:spPr>
        <a:xfrm flipH="1">
          <a:off x="2521835" y="9955517"/>
          <a:ext cx="787284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153022</xdr:colOff>
      <xdr:row>73</xdr:row>
      <xdr:rowOff>89198</xdr:rowOff>
    </xdr:from>
    <xdr:to>
      <xdr:col>39</xdr:col>
      <xdr:colOff>230603</xdr:colOff>
      <xdr:row>73</xdr:row>
      <xdr:rowOff>89198</xdr:rowOff>
    </xdr:to>
    <xdr:cxnSp macro="">
      <xdr:nvCxnSpPr>
        <xdr:cNvPr id="34" name="Connettore diritto 33">
          <a:extLst>
            <a:ext uri="{FF2B5EF4-FFF2-40B4-BE49-F238E27FC236}">
              <a16:creationId xmlns:a16="http://schemas.microsoft.com/office/drawing/2014/main" id="{983BEEEC-3AF6-41BD-A440-338FDFCE5A38}"/>
            </a:ext>
          </a:extLst>
        </xdr:cNvPr>
        <xdr:cNvCxnSpPr/>
      </xdr:nvCxnSpPr>
      <xdr:spPr>
        <a:xfrm flipH="1">
          <a:off x="2530462" y="10086638"/>
          <a:ext cx="787284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153022</xdr:colOff>
      <xdr:row>73</xdr:row>
      <xdr:rowOff>152458</xdr:rowOff>
    </xdr:from>
    <xdr:to>
      <xdr:col>39</xdr:col>
      <xdr:colOff>230603</xdr:colOff>
      <xdr:row>73</xdr:row>
      <xdr:rowOff>152458</xdr:rowOff>
    </xdr:to>
    <xdr:cxnSp macro="">
      <xdr:nvCxnSpPr>
        <xdr:cNvPr id="35" name="Connettore diritto 34">
          <a:extLst>
            <a:ext uri="{FF2B5EF4-FFF2-40B4-BE49-F238E27FC236}">
              <a16:creationId xmlns:a16="http://schemas.microsoft.com/office/drawing/2014/main" id="{463F7AB6-C768-42DE-A2D1-934CA484DB8D}"/>
            </a:ext>
          </a:extLst>
        </xdr:cNvPr>
        <xdr:cNvCxnSpPr/>
      </xdr:nvCxnSpPr>
      <xdr:spPr>
        <a:xfrm flipH="1">
          <a:off x="2530462" y="10149898"/>
          <a:ext cx="787284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205740</xdr:colOff>
      <xdr:row>78</xdr:row>
      <xdr:rowOff>103379</xdr:rowOff>
    </xdr:from>
    <xdr:to>
      <xdr:col>39</xdr:col>
      <xdr:colOff>236220</xdr:colOff>
      <xdr:row>93</xdr:row>
      <xdr:rowOff>48261</xdr:rowOff>
    </xdr:to>
    <xdr:pic>
      <xdr:nvPicPr>
        <xdr:cNvPr id="36" name="Immagine 35">
          <a:extLst>
            <a:ext uri="{FF2B5EF4-FFF2-40B4-BE49-F238E27FC236}">
              <a16:creationId xmlns:a16="http://schemas.microsoft.com/office/drawing/2014/main" id="{767E30EF-A529-8271-56BE-A36342445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20240" y="11015219"/>
          <a:ext cx="8488680" cy="2688082"/>
        </a:xfrm>
        <a:prstGeom prst="rect">
          <a:avLst/>
        </a:prstGeom>
      </xdr:spPr>
    </xdr:pic>
    <xdr:clientData/>
  </xdr:twoCellAnchor>
  <xdr:twoCellAnchor editAs="oneCell">
    <xdr:from>
      <xdr:col>10</xdr:col>
      <xdr:colOff>39809</xdr:colOff>
      <xdr:row>77</xdr:row>
      <xdr:rowOff>109728</xdr:rowOff>
    </xdr:from>
    <xdr:to>
      <xdr:col>39</xdr:col>
      <xdr:colOff>192024</xdr:colOff>
      <xdr:row>91</xdr:row>
      <xdr:rowOff>148869</xdr:rowOff>
    </xdr:to>
    <xdr:pic>
      <xdr:nvPicPr>
        <xdr:cNvPr id="37" name="Immagine 36">
          <a:extLst>
            <a:ext uri="{FF2B5EF4-FFF2-40B4-BE49-F238E27FC236}">
              <a16:creationId xmlns:a16="http://schemas.microsoft.com/office/drawing/2014/main" id="{963E8A16-30D6-4D39-BA5C-38AAD59C6E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alphaModFix amt="50000"/>
        </a:blip>
        <a:srcRect l="303" t="16233" r="4012" b="780"/>
        <a:stretch/>
      </xdr:blipFill>
      <xdr:spPr>
        <a:xfrm>
          <a:off x="2651945" y="10899648"/>
          <a:ext cx="7766119" cy="2599461"/>
        </a:xfrm>
        <a:prstGeom prst="rect">
          <a:avLst/>
        </a:prstGeom>
      </xdr:spPr>
    </xdr:pic>
    <xdr:clientData/>
  </xdr:twoCellAnchor>
  <xdr:twoCellAnchor>
    <xdr:from>
      <xdr:col>9</xdr:col>
      <xdr:colOff>88392</xdr:colOff>
      <xdr:row>85</xdr:row>
      <xdr:rowOff>164339</xdr:rowOff>
    </xdr:from>
    <xdr:to>
      <xdr:col>39</xdr:col>
      <xdr:colOff>165973</xdr:colOff>
      <xdr:row>85</xdr:row>
      <xdr:rowOff>164339</xdr:rowOff>
    </xdr:to>
    <xdr:cxnSp macro="">
      <xdr:nvCxnSpPr>
        <xdr:cNvPr id="38" name="Connettore diritto 37">
          <a:extLst>
            <a:ext uri="{FF2B5EF4-FFF2-40B4-BE49-F238E27FC236}">
              <a16:creationId xmlns:a16="http://schemas.microsoft.com/office/drawing/2014/main" id="{A79B29E0-F6DA-4B90-8E64-A4FAD4572729}"/>
            </a:ext>
          </a:extLst>
        </xdr:cNvPr>
        <xdr:cNvCxnSpPr/>
      </xdr:nvCxnSpPr>
      <xdr:spPr>
        <a:xfrm flipH="1">
          <a:off x="2478024" y="12417299"/>
          <a:ext cx="7913989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130573</xdr:colOff>
      <xdr:row>85</xdr:row>
      <xdr:rowOff>8989</xdr:rowOff>
    </xdr:from>
    <xdr:to>
      <xdr:col>39</xdr:col>
      <xdr:colOff>208154</xdr:colOff>
      <xdr:row>85</xdr:row>
      <xdr:rowOff>8989</xdr:rowOff>
    </xdr:to>
    <xdr:cxnSp macro="">
      <xdr:nvCxnSpPr>
        <xdr:cNvPr id="39" name="Connettore diritto 38">
          <a:extLst>
            <a:ext uri="{FF2B5EF4-FFF2-40B4-BE49-F238E27FC236}">
              <a16:creationId xmlns:a16="http://schemas.microsoft.com/office/drawing/2014/main" id="{E0BB2B4F-154F-4E18-851D-CD145FA41C68}"/>
            </a:ext>
          </a:extLst>
        </xdr:cNvPr>
        <xdr:cNvCxnSpPr/>
      </xdr:nvCxnSpPr>
      <xdr:spPr>
        <a:xfrm flipH="1">
          <a:off x="2509979" y="12127247"/>
          <a:ext cx="7879478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105992</xdr:colOff>
      <xdr:row>84</xdr:row>
      <xdr:rowOff>82732</xdr:rowOff>
    </xdr:from>
    <xdr:to>
      <xdr:col>39</xdr:col>
      <xdr:colOff>183573</xdr:colOff>
      <xdr:row>84</xdr:row>
      <xdr:rowOff>82732</xdr:rowOff>
    </xdr:to>
    <xdr:cxnSp macro="">
      <xdr:nvCxnSpPr>
        <xdr:cNvPr id="40" name="Connettore diritto 39">
          <a:extLst>
            <a:ext uri="{FF2B5EF4-FFF2-40B4-BE49-F238E27FC236}">
              <a16:creationId xmlns:a16="http://schemas.microsoft.com/office/drawing/2014/main" id="{9419F277-3B3F-478E-88E4-8E25E3518BDB}"/>
            </a:ext>
          </a:extLst>
        </xdr:cNvPr>
        <xdr:cNvCxnSpPr/>
      </xdr:nvCxnSpPr>
      <xdr:spPr>
        <a:xfrm flipH="1">
          <a:off x="2485398" y="12019093"/>
          <a:ext cx="7879478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51313</xdr:colOff>
      <xdr:row>78</xdr:row>
      <xdr:rowOff>54667</xdr:rowOff>
    </xdr:from>
    <xdr:to>
      <xdr:col>39</xdr:col>
      <xdr:colOff>350120</xdr:colOff>
      <xdr:row>78</xdr:row>
      <xdr:rowOff>54667</xdr:rowOff>
    </xdr:to>
    <xdr:cxnSp macro="">
      <xdr:nvCxnSpPr>
        <xdr:cNvPr id="41" name="Connettore diritto 40">
          <a:extLst>
            <a:ext uri="{FF2B5EF4-FFF2-40B4-BE49-F238E27FC236}">
              <a16:creationId xmlns:a16="http://schemas.microsoft.com/office/drawing/2014/main" id="{EAF10ED8-905C-4B18-8EBB-49A25A65E3BB}"/>
            </a:ext>
          </a:extLst>
        </xdr:cNvPr>
        <xdr:cNvCxnSpPr/>
      </xdr:nvCxnSpPr>
      <xdr:spPr>
        <a:xfrm flipH="1">
          <a:off x="2651945" y="10899648"/>
          <a:ext cx="7879478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135488</xdr:colOff>
      <xdr:row>83</xdr:row>
      <xdr:rowOff>181053</xdr:rowOff>
    </xdr:from>
    <xdr:to>
      <xdr:col>39</xdr:col>
      <xdr:colOff>213069</xdr:colOff>
      <xdr:row>83</xdr:row>
      <xdr:rowOff>181053</xdr:rowOff>
    </xdr:to>
    <xdr:cxnSp macro="">
      <xdr:nvCxnSpPr>
        <xdr:cNvPr id="42" name="Connettore diritto 41">
          <a:extLst>
            <a:ext uri="{FF2B5EF4-FFF2-40B4-BE49-F238E27FC236}">
              <a16:creationId xmlns:a16="http://schemas.microsoft.com/office/drawing/2014/main" id="{F52D058F-8AC9-4338-96F5-572C27B1BD29}"/>
            </a:ext>
          </a:extLst>
        </xdr:cNvPr>
        <xdr:cNvCxnSpPr/>
      </xdr:nvCxnSpPr>
      <xdr:spPr>
        <a:xfrm flipH="1">
          <a:off x="2514894" y="11935518"/>
          <a:ext cx="7879478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142861</xdr:colOff>
      <xdr:row>83</xdr:row>
      <xdr:rowOff>63066</xdr:rowOff>
    </xdr:from>
    <xdr:to>
      <xdr:col>38</xdr:col>
      <xdr:colOff>608817</xdr:colOff>
      <xdr:row>83</xdr:row>
      <xdr:rowOff>63066</xdr:rowOff>
    </xdr:to>
    <xdr:cxnSp macro="">
      <xdr:nvCxnSpPr>
        <xdr:cNvPr id="44" name="Connettore diritto 43">
          <a:extLst>
            <a:ext uri="{FF2B5EF4-FFF2-40B4-BE49-F238E27FC236}">
              <a16:creationId xmlns:a16="http://schemas.microsoft.com/office/drawing/2014/main" id="{20894AFD-8111-4E52-B577-FDDCC93CB4B7}"/>
            </a:ext>
          </a:extLst>
        </xdr:cNvPr>
        <xdr:cNvCxnSpPr/>
      </xdr:nvCxnSpPr>
      <xdr:spPr>
        <a:xfrm flipH="1">
          <a:off x="2301042" y="11817531"/>
          <a:ext cx="7879478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81410</xdr:colOff>
      <xdr:row>83</xdr:row>
      <xdr:rowOff>146640</xdr:rowOff>
    </xdr:from>
    <xdr:to>
      <xdr:col>39</xdr:col>
      <xdr:colOff>158991</xdr:colOff>
      <xdr:row>83</xdr:row>
      <xdr:rowOff>146640</xdr:rowOff>
    </xdr:to>
    <xdr:cxnSp macro="">
      <xdr:nvCxnSpPr>
        <xdr:cNvPr id="45" name="Connettore diritto 44">
          <a:extLst>
            <a:ext uri="{FF2B5EF4-FFF2-40B4-BE49-F238E27FC236}">
              <a16:creationId xmlns:a16="http://schemas.microsoft.com/office/drawing/2014/main" id="{3A2376F8-0C39-463C-A049-3057413ED080}"/>
            </a:ext>
          </a:extLst>
        </xdr:cNvPr>
        <xdr:cNvCxnSpPr/>
      </xdr:nvCxnSpPr>
      <xdr:spPr>
        <a:xfrm flipH="1">
          <a:off x="2460816" y="11901105"/>
          <a:ext cx="7879478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182191</xdr:colOff>
      <xdr:row>81</xdr:row>
      <xdr:rowOff>50776</xdr:rowOff>
    </xdr:from>
    <xdr:to>
      <xdr:col>37</xdr:col>
      <xdr:colOff>594069</xdr:colOff>
      <xdr:row>81</xdr:row>
      <xdr:rowOff>50776</xdr:rowOff>
    </xdr:to>
    <xdr:cxnSp macro="">
      <xdr:nvCxnSpPr>
        <xdr:cNvPr id="47" name="Connettore diritto 46">
          <a:extLst>
            <a:ext uri="{FF2B5EF4-FFF2-40B4-BE49-F238E27FC236}">
              <a16:creationId xmlns:a16="http://schemas.microsoft.com/office/drawing/2014/main" id="{FFDBADBF-9CE8-464A-9455-D5F4C752B7D8}"/>
            </a:ext>
          </a:extLst>
        </xdr:cNvPr>
        <xdr:cNvCxnSpPr/>
      </xdr:nvCxnSpPr>
      <xdr:spPr>
        <a:xfrm flipH="1">
          <a:off x="1676694" y="11441447"/>
          <a:ext cx="7879478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177275</xdr:colOff>
      <xdr:row>81</xdr:row>
      <xdr:rowOff>119601</xdr:rowOff>
    </xdr:from>
    <xdr:to>
      <xdr:col>37</xdr:col>
      <xdr:colOff>589153</xdr:colOff>
      <xdr:row>81</xdr:row>
      <xdr:rowOff>119601</xdr:rowOff>
    </xdr:to>
    <xdr:cxnSp macro="">
      <xdr:nvCxnSpPr>
        <xdr:cNvPr id="48" name="Connettore diritto 47">
          <a:extLst>
            <a:ext uri="{FF2B5EF4-FFF2-40B4-BE49-F238E27FC236}">
              <a16:creationId xmlns:a16="http://schemas.microsoft.com/office/drawing/2014/main" id="{6C87EEF1-F6E2-4863-B041-9C1AA37CA3A0}"/>
            </a:ext>
          </a:extLst>
        </xdr:cNvPr>
        <xdr:cNvCxnSpPr/>
      </xdr:nvCxnSpPr>
      <xdr:spPr>
        <a:xfrm flipH="1">
          <a:off x="1671778" y="11510272"/>
          <a:ext cx="7879478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177275</xdr:colOff>
      <xdr:row>82</xdr:row>
      <xdr:rowOff>11446</xdr:rowOff>
    </xdr:from>
    <xdr:to>
      <xdr:col>37</xdr:col>
      <xdr:colOff>589153</xdr:colOff>
      <xdr:row>82</xdr:row>
      <xdr:rowOff>11446</xdr:rowOff>
    </xdr:to>
    <xdr:cxnSp macro="">
      <xdr:nvCxnSpPr>
        <xdr:cNvPr id="49" name="Connettore diritto 48">
          <a:extLst>
            <a:ext uri="{FF2B5EF4-FFF2-40B4-BE49-F238E27FC236}">
              <a16:creationId xmlns:a16="http://schemas.microsoft.com/office/drawing/2014/main" id="{462A543B-521B-428B-AD28-2A66C323ED54}"/>
            </a:ext>
          </a:extLst>
        </xdr:cNvPr>
        <xdr:cNvCxnSpPr/>
      </xdr:nvCxnSpPr>
      <xdr:spPr>
        <a:xfrm flipH="1">
          <a:off x="1671778" y="11584014"/>
          <a:ext cx="7879478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196940</xdr:colOff>
      <xdr:row>82</xdr:row>
      <xdr:rowOff>163846</xdr:rowOff>
    </xdr:from>
    <xdr:to>
      <xdr:col>37</xdr:col>
      <xdr:colOff>608818</xdr:colOff>
      <xdr:row>82</xdr:row>
      <xdr:rowOff>163846</xdr:rowOff>
    </xdr:to>
    <xdr:cxnSp macro="">
      <xdr:nvCxnSpPr>
        <xdr:cNvPr id="50" name="Connettore diritto 49">
          <a:extLst>
            <a:ext uri="{FF2B5EF4-FFF2-40B4-BE49-F238E27FC236}">
              <a16:creationId xmlns:a16="http://schemas.microsoft.com/office/drawing/2014/main" id="{2AF29A61-D744-4048-824E-F16C0C6E53A5}"/>
            </a:ext>
          </a:extLst>
        </xdr:cNvPr>
        <xdr:cNvCxnSpPr/>
      </xdr:nvCxnSpPr>
      <xdr:spPr>
        <a:xfrm flipH="1">
          <a:off x="1691443" y="11736414"/>
          <a:ext cx="7879478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8317</xdr:colOff>
      <xdr:row>17</xdr:row>
      <xdr:rowOff>174413</xdr:rowOff>
    </xdr:from>
    <xdr:to>
      <xdr:col>38</xdr:col>
      <xdr:colOff>354648</xdr:colOff>
      <xdr:row>17</xdr:row>
      <xdr:rowOff>174413</xdr:rowOff>
    </xdr:to>
    <xdr:cxnSp macro="">
      <xdr:nvCxnSpPr>
        <xdr:cNvPr id="54" name="Connettore diritto 53">
          <a:extLst>
            <a:ext uri="{FF2B5EF4-FFF2-40B4-BE49-F238E27FC236}">
              <a16:creationId xmlns:a16="http://schemas.microsoft.com/office/drawing/2014/main" id="{E61B94D2-5C97-48AA-9A42-C7060EA3E9DB}"/>
            </a:ext>
          </a:extLst>
        </xdr:cNvPr>
        <xdr:cNvCxnSpPr/>
      </xdr:nvCxnSpPr>
      <xdr:spPr>
        <a:xfrm flipH="1">
          <a:off x="837159" y="3299281"/>
          <a:ext cx="9062542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20349</xdr:colOff>
      <xdr:row>20</xdr:row>
      <xdr:rowOff>46075</xdr:rowOff>
    </xdr:from>
    <xdr:to>
      <xdr:col>38</xdr:col>
      <xdr:colOff>366680</xdr:colOff>
      <xdr:row>20</xdr:row>
      <xdr:rowOff>46075</xdr:rowOff>
    </xdr:to>
    <xdr:cxnSp macro="">
      <xdr:nvCxnSpPr>
        <xdr:cNvPr id="55" name="Connettore diritto 54">
          <a:extLst>
            <a:ext uri="{FF2B5EF4-FFF2-40B4-BE49-F238E27FC236}">
              <a16:creationId xmlns:a16="http://schemas.microsoft.com/office/drawing/2014/main" id="{8565B242-73C7-4FA7-AE0C-00074B54073A}"/>
            </a:ext>
          </a:extLst>
        </xdr:cNvPr>
        <xdr:cNvCxnSpPr/>
      </xdr:nvCxnSpPr>
      <xdr:spPr>
        <a:xfrm flipH="1">
          <a:off x="849191" y="3722391"/>
          <a:ext cx="9062542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29043</xdr:colOff>
      <xdr:row>14</xdr:row>
      <xdr:rowOff>161712</xdr:rowOff>
    </xdr:from>
    <xdr:to>
      <xdr:col>38</xdr:col>
      <xdr:colOff>375374</xdr:colOff>
      <xdr:row>14</xdr:row>
      <xdr:rowOff>161712</xdr:rowOff>
    </xdr:to>
    <xdr:cxnSp macro="">
      <xdr:nvCxnSpPr>
        <xdr:cNvPr id="56" name="Connettore diritto 55">
          <a:extLst>
            <a:ext uri="{FF2B5EF4-FFF2-40B4-BE49-F238E27FC236}">
              <a16:creationId xmlns:a16="http://schemas.microsoft.com/office/drawing/2014/main" id="{C3DA7824-F487-4EEB-826E-172CDC0D1675}"/>
            </a:ext>
          </a:extLst>
        </xdr:cNvPr>
        <xdr:cNvCxnSpPr/>
      </xdr:nvCxnSpPr>
      <xdr:spPr>
        <a:xfrm flipH="1">
          <a:off x="857885" y="2735133"/>
          <a:ext cx="9062542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31048</xdr:colOff>
      <xdr:row>13</xdr:row>
      <xdr:rowOff>60113</xdr:rowOff>
    </xdr:from>
    <xdr:to>
      <xdr:col>38</xdr:col>
      <xdr:colOff>377379</xdr:colOff>
      <xdr:row>13</xdr:row>
      <xdr:rowOff>60113</xdr:rowOff>
    </xdr:to>
    <xdr:cxnSp macro="">
      <xdr:nvCxnSpPr>
        <xdr:cNvPr id="57" name="Connettore diritto 56">
          <a:extLst>
            <a:ext uri="{FF2B5EF4-FFF2-40B4-BE49-F238E27FC236}">
              <a16:creationId xmlns:a16="http://schemas.microsoft.com/office/drawing/2014/main" id="{05DA693A-E846-4400-ACC0-E30D495643D0}"/>
            </a:ext>
          </a:extLst>
        </xdr:cNvPr>
        <xdr:cNvCxnSpPr/>
      </xdr:nvCxnSpPr>
      <xdr:spPr>
        <a:xfrm flipH="1">
          <a:off x="859890" y="2449718"/>
          <a:ext cx="9062542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33053</xdr:colOff>
      <xdr:row>12</xdr:row>
      <xdr:rowOff>179093</xdr:rowOff>
    </xdr:from>
    <xdr:to>
      <xdr:col>38</xdr:col>
      <xdr:colOff>379384</xdr:colOff>
      <xdr:row>12</xdr:row>
      <xdr:rowOff>179093</xdr:rowOff>
    </xdr:to>
    <xdr:cxnSp macro="">
      <xdr:nvCxnSpPr>
        <xdr:cNvPr id="58" name="Connettore diritto 57">
          <a:extLst>
            <a:ext uri="{FF2B5EF4-FFF2-40B4-BE49-F238E27FC236}">
              <a16:creationId xmlns:a16="http://schemas.microsoft.com/office/drawing/2014/main" id="{14E120E8-C7E6-4927-8F63-ED39E5111C64}"/>
            </a:ext>
          </a:extLst>
        </xdr:cNvPr>
        <xdr:cNvCxnSpPr/>
      </xdr:nvCxnSpPr>
      <xdr:spPr>
        <a:xfrm flipH="1">
          <a:off x="861895" y="2384882"/>
          <a:ext cx="9062542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41743</xdr:colOff>
      <xdr:row>10</xdr:row>
      <xdr:rowOff>50756</xdr:rowOff>
    </xdr:from>
    <xdr:to>
      <xdr:col>38</xdr:col>
      <xdr:colOff>388074</xdr:colOff>
      <xdr:row>10</xdr:row>
      <xdr:rowOff>50756</xdr:rowOff>
    </xdr:to>
    <xdr:cxnSp macro="">
      <xdr:nvCxnSpPr>
        <xdr:cNvPr id="59" name="Connettore diritto 58">
          <a:extLst>
            <a:ext uri="{FF2B5EF4-FFF2-40B4-BE49-F238E27FC236}">
              <a16:creationId xmlns:a16="http://schemas.microsoft.com/office/drawing/2014/main" id="{65F5C013-43C5-4CBB-8FA0-DCB489C3B499}"/>
            </a:ext>
          </a:extLst>
        </xdr:cNvPr>
        <xdr:cNvCxnSpPr/>
      </xdr:nvCxnSpPr>
      <xdr:spPr>
        <a:xfrm flipH="1">
          <a:off x="870585" y="1888914"/>
          <a:ext cx="9062542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33722</xdr:colOff>
      <xdr:row>10</xdr:row>
      <xdr:rowOff>129630</xdr:rowOff>
    </xdr:from>
    <xdr:to>
      <xdr:col>38</xdr:col>
      <xdr:colOff>380053</xdr:colOff>
      <xdr:row>10</xdr:row>
      <xdr:rowOff>129630</xdr:rowOff>
    </xdr:to>
    <xdr:cxnSp macro="">
      <xdr:nvCxnSpPr>
        <xdr:cNvPr id="60" name="Connettore diritto 59">
          <a:extLst>
            <a:ext uri="{FF2B5EF4-FFF2-40B4-BE49-F238E27FC236}">
              <a16:creationId xmlns:a16="http://schemas.microsoft.com/office/drawing/2014/main" id="{C169BBCA-2089-49B1-BE3B-B877DE0C2B01}"/>
            </a:ext>
          </a:extLst>
        </xdr:cNvPr>
        <xdr:cNvCxnSpPr/>
      </xdr:nvCxnSpPr>
      <xdr:spPr>
        <a:xfrm flipH="1">
          <a:off x="862564" y="1967788"/>
          <a:ext cx="9062542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15674</xdr:colOff>
      <xdr:row>7</xdr:row>
      <xdr:rowOff>181766</xdr:rowOff>
    </xdr:from>
    <xdr:to>
      <xdr:col>38</xdr:col>
      <xdr:colOff>582584</xdr:colOff>
      <xdr:row>7</xdr:row>
      <xdr:rowOff>181766</xdr:rowOff>
    </xdr:to>
    <xdr:cxnSp macro="">
      <xdr:nvCxnSpPr>
        <xdr:cNvPr id="61" name="Connettore diritto 60">
          <a:extLst>
            <a:ext uri="{FF2B5EF4-FFF2-40B4-BE49-F238E27FC236}">
              <a16:creationId xmlns:a16="http://schemas.microsoft.com/office/drawing/2014/main" id="{DFFAA708-5A28-4D8B-90FE-31F5697E41DB}"/>
            </a:ext>
          </a:extLst>
        </xdr:cNvPr>
        <xdr:cNvCxnSpPr/>
      </xdr:nvCxnSpPr>
      <xdr:spPr>
        <a:xfrm flipH="1">
          <a:off x="1065095" y="1468477"/>
          <a:ext cx="9062542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171416</xdr:colOff>
      <xdr:row>8</xdr:row>
      <xdr:rowOff>126955</xdr:rowOff>
    </xdr:from>
    <xdr:to>
      <xdr:col>39</xdr:col>
      <xdr:colOff>130063</xdr:colOff>
      <xdr:row>8</xdr:row>
      <xdr:rowOff>126955</xdr:rowOff>
    </xdr:to>
    <xdr:cxnSp macro="">
      <xdr:nvCxnSpPr>
        <xdr:cNvPr id="62" name="Connettore diritto 61">
          <a:extLst>
            <a:ext uri="{FF2B5EF4-FFF2-40B4-BE49-F238E27FC236}">
              <a16:creationId xmlns:a16="http://schemas.microsoft.com/office/drawing/2014/main" id="{AD841521-9514-4006-8A96-AF749C9F756E}"/>
            </a:ext>
          </a:extLst>
        </xdr:cNvPr>
        <xdr:cNvCxnSpPr/>
      </xdr:nvCxnSpPr>
      <xdr:spPr>
        <a:xfrm flipH="1">
          <a:off x="1220837" y="1597481"/>
          <a:ext cx="9062542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</xdr:colOff>
      <xdr:row>7</xdr:row>
      <xdr:rowOff>7620</xdr:rowOff>
    </xdr:from>
    <xdr:to>
      <xdr:col>14</xdr:col>
      <xdr:colOff>281940</xdr:colOff>
      <xdr:row>17</xdr:row>
      <xdr:rowOff>175260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772509BF-0589-48A4-892E-77BC1F446A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556260</xdr:colOff>
      <xdr:row>21</xdr:row>
      <xdr:rowOff>25717</xdr:rowOff>
    </xdr:from>
    <xdr:to>
      <xdr:col>15</xdr:col>
      <xdr:colOff>251460</xdr:colOff>
      <xdr:row>32</xdr:row>
      <xdr:rowOff>86677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755AFB04-52B7-4CAA-98FB-DCEE21FD82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Cartel2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glio6"/>
    </sheetNames>
    <sheetDataSet>
      <sheetData sheetId="0">
        <row r="8">
          <cell r="G8" t="str">
            <v>H(m)</v>
          </cell>
        </row>
        <row r="9">
          <cell r="F9">
            <v>2.4</v>
          </cell>
          <cell r="G9">
            <v>7.6</v>
          </cell>
        </row>
        <row r="10">
          <cell r="F10">
            <v>3.6</v>
          </cell>
          <cell r="G10">
            <v>7.4</v>
          </cell>
        </row>
        <row r="11">
          <cell r="F11">
            <v>5.6</v>
          </cell>
          <cell r="G11">
            <v>7</v>
          </cell>
        </row>
        <row r="12">
          <cell r="F12">
            <v>6</v>
          </cell>
          <cell r="G12">
            <v>6.9</v>
          </cell>
        </row>
        <row r="13">
          <cell r="F13">
            <v>7.6</v>
          </cell>
          <cell r="G13">
            <v>6.3</v>
          </cell>
        </row>
        <row r="14">
          <cell r="F14">
            <v>7.8</v>
          </cell>
          <cell r="G14">
            <v>6.2</v>
          </cell>
        </row>
        <row r="15">
          <cell r="F15">
            <v>8.6</v>
          </cell>
          <cell r="G15">
            <v>5.8</v>
          </cell>
        </row>
        <row r="16">
          <cell r="F16">
            <v>9.8000000000000007</v>
          </cell>
          <cell r="G16">
            <v>5</v>
          </cell>
        </row>
        <row r="17">
          <cell r="F17">
            <v>10.6</v>
          </cell>
          <cell r="G17">
            <v>4.4000000000000004</v>
          </cell>
        </row>
        <row r="18">
          <cell r="F18">
            <v>10.8</v>
          </cell>
          <cell r="G18">
            <v>4.2</v>
          </cell>
        </row>
        <row r="22">
          <cell r="G22" t="str">
            <v>P(W)</v>
          </cell>
        </row>
        <row r="23">
          <cell r="F23">
            <v>2.4</v>
          </cell>
          <cell r="G23">
            <v>140</v>
          </cell>
        </row>
        <row r="24">
          <cell r="F24">
            <v>3.8</v>
          </cell>
          <cell r="G24">
            <v>160</v>
          </cell>
        </row>
        <row r="25">
          <cell r="F25">
            <v>4.8</v>
          </cell>
          <cell r="G25">
            <v>174</v>
          </cell>
        </row>
        <row r="26">
          <cell r="F26">
            <v>5.6</v>
          </cell>
          <cell r="G26">
            <v>185</v>
          </cell>
        </row>
        <row r="27">
          <cell r="F27">
            <v>5.9</v>
          </cell>
          <cell r="G27">
            <v>190</v>
          </cell>
        </row>
        <row r="28">
          <cell r="F28">
            <v>6.8</v>
          </cell>
          <cell r="G28">
            <v>200</v>
          </cell>
        </row>
        <row r="29">
          <cell r="F29">
            <v>7.6</v>
          </cell>
          <cell r="G29">
            <v>210</v>
          </cell>
        </row>
        <row r="30">
          <cell r="F30">
            <v>9.1999999999999993</v>
          </cell>
          <cell r="G30">
            <v>230</v>
          </cell>
        </row>
        <row r="31">
          <cell r="F31">
            <v>10</v>
          </cell>
          <cell r="G31">
            <v>240</v>
          </cell>
        </row>
        <row r="32">
          <cell r="F32">
            <v>10.7</v>
          </cell>
          <cell r="G32">
            <v>250</v>
          </cell>
        </row>
      </sheetData>
    </sheetDataSet>
  </externalBook>
</externalLink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F60F2-49F3-4F95-A61E-3076945C0722}">
  <dimension ref="F12:P71"/>
  <sheetViews>
    <sheetView topLeftCell="A19" zoomScale="115" zoomScaleNormal="115" workbookViewId="0">
      <selection activeCell="F46" sqref="F46"/>
    </sheetView>
  </sheetViews>
  <sheetFormatPr defaultRowHeight="14.4" x14ac:dyDescent="0.3"/>
  <cols>
    <col min="6" max="6" width="14.33203125" customWidth="1"/>
    <col min="7" max="7" width="12.5546875" customWidth="1"/>
    <col min="8" max="8" width="12.88671875" bestFit="1" customWidth="1"/>
    <col min="9" max="9" width="12.33203125" customWidth="1"/>
  </cols>
  <sheetData>
    <row r="12" spans="6:16" x14ac:dyDescent="0.3">
      <c r="F12" t="s">
        <v>0</v>
      </c>
      <c r="G12" t="s">
        <v>2</v>
      </c>
      <c r="I12" t="s">
        <v>1</v>
      </c>
      <c r="J12" t="s">
        <v>3</v>
      </c>
      <c r="K12" t="s">
        <v>4</v>
      </c>
      <c r="L12" t="s">
        <v>5</v>
      </c>
      <c r="M12" t="s">
        <v>6</v>
      </c>
    </row>
    <row r="13" spans="6:16" x14ac:dyDescent="0.3">
      <c r="F13">
        <f>2*PI()*50</f>
        <v>314.15926535897933</v>
      </c>
      <c r="G13">
        <v>10</v>
      </c>
      <c r="H13">
        <v>1</v>
      </c>
      <c r="I13">
        <f t="shared" ref="I13:I35" si="0">+F13*50/(2*PI())</f>
        <v>2500</v>
      </c>
      <c r="J13">
        <f t="shared" ref="J13:J22" si="1">+G13/3600</f>
        <v>2.7777777777777779E-3</v>
      </c>
      <c r="K13">
        <v>4.87</v>
      </c>
      <c r="O13">
        <f>+ 7.38557689 + J13*(617.03274734 -545218.57934041*J13)</f>
        <v>4.8926232611573308</v>
      </c>
      <c r="P13">
        <f>+O13*(40/50)^2</f>
        <v>3.1312788871406925</v>
      </c>
    </row>
    <row r="14" spans="6:16" x14ac:dyDescent="0.3">
      <c r="F14">
        <f>2*PI()*50</f>
        <v>314.15926535897933</v>
      </c>
      <c r="G14">
        <v>9</v>
      </c>
      <c r="H14">
        <v>1</v>
      </c>
      <c r="I14">
        <f t="shared" si="0"/>
        <v>2500</v>
      </c>
      <c r="J14">
        <f t="shared" si="1"/>
        <v>2.5000000000000001E-3</v>
      </c>
      <c r="K14">
        <v>5.5</v>
      </c>
      <c r="O14">
        <f t="shared" ref="O14" si="2">+ 7.38557689 + J14*(617.03274734 -545218.57934041*J14)</f>
        <v>5.5205426374724382</v>
      </c>
      <c r="P14">
        <f t="shared" ref="P14:P22" si="3">+O14*(40/50)^2</f>
        <v>3.5331472879823611</v>
      </c>
    </row>
    <row r="15" spans="6:16" x14ac:dyDescent="0.3">
      <c r="F15">
        <f t="shared" ref="F15:F22" si="4">2*PI()*50</f>
        <v>314.15926535897933</v>
      </c>
      <c r="G15">
        <v>8</v>
      </c>
      <c r="H15">
        <v>1</v>
      </c>
      <c r="I15">
        <f t="shared" si="0"/>
        <v>2500</v>
      </c>
      <c r="J15">
        <f t="shared" si="1"/>
        <v>2.2222222222222222E-3</v>
      </c>
      <c r="K15">
        <v>6.15</v>
      </c>
      <c r="O15">
        <f t="shared" ref="O15:O22" si="5">+ 7.38557689 + J15*(617.03274734 -545218.57934041*J15)</f>
        <v>6.0643233441362474</v>
      </c>
      <c r="P15">
        <f t="shared" si="3"/>
        <v>3.8811669402471991</v>
      </c>
    </row>
    <row r="16" spans="6:16" x14ac:dyDescent="0.3">
      <c r="F16">
        <f t="shared" si="4"/>
        <v>314.15926535897933</v>
      </c>
      <c r="G16">
        <v>7</v>
      </c>
      <c r="H16">
        <v>1</v>
      </c>
      <c r="I16">
        <f t="shared" si="0"/>
        <v>2500</v>
      </c>
      <c r="J16">
        <f t="shared" si="1"/>
        <v>1.9444444444444444E-3</v>
      </c>
      <c r="K16">
        <v>6.5</v>
      </c>
      <c r="O16">
        <f t="shared" si="5"/>
        <v>6.5239653811487592</v>
      </c>
      <c r="P16">
        <f t="shared" si="3"/>
        <v>4.1753378439352069</v>
      </c>
    </row>
    <row r="17" spans="6:16" x14ac:dyDescent="0.3">
      <c r="F17">
        <f t="shared" si="4"/>
        <v>314.15926535897933</v>
      </c>
      <c r="G17">
        <v>6</v>
      </c>
      <c r="H17">
        <v>1</v>
      </c>
      <c r="I17">
        <f t="shared" si="0"/>
        <v>2500</v>
      </c>
      <c r="J17">
        <f t="shared" si="1"/>
        <v>1.6666666666666668E-3</v>
      </c>
      <c r="K17">
        <v>6.92</v>
      </c>
      <c r="O17">
        <f t="shared" si="5"/>
        <v>6.8994687485099728</v>
      </c>
      <c r="P17">
        <f t="shared" si="3"/>
        <v>4.4156599990463832</v>
      </c>
    </row>
    <row r="18" spans="6:16" x14ac:dyDescent="0.3">
      <c r="F18">
        <f t="shared" si="4"/>
        <v>314.15926535897933</v>
      </c>
      <c r="G18">
        <v>5</v>
      </c>
      <c r="H18">
        <v>1</v>
      </c>
      <c r="I18">
        <f t="shared" si="0"/>
        <v>2500</v>
      </c>
      <c r="J18">
        <f t="shared" si="1"/>
        <v>1.3888888888888889E-3</v>
      </c>
      <c r="K18">
        <v>7.17</v>
      </c>
      <c r="O18">
        <f t="shared" si="5"/>
        <v>7.1908334462198882</v>
      </c>
      <c r="P18">
        <f t="shared" si="3"/>
        <v>4.6021334055807293</v>
      </c>
    </row>
    <row r="19" spans="6:16" x14ac:dyDescent="0.3">
      <c r="F19">
        <f t="shared" si="4"/>
        <v>314.15926535897933</v>
      </c>
      <c r="G19">
        <v>4</v>
      </c>
      <c r="H19">
        <v>1</v>
      </c>
      <c r="I19">
        <f t="shared" si="0"/>
        <v>2500</v>
      </c>
      <c r="J19">
        <f t="shared" si="1"/>
        <v>1.1111111111111111E-3</v>
      </c>
      <c r="K19">
        <v>7.36</v>
      </c>
      <c r="O19">
        <f t="shared" si="5"/>
        <v>7.3980594742785062</v>
      </c>
      <c r="P19">
        <f t="shared" si="3"/>
        <v>4.7347580635382451</v>
      </c>
    </row>
    <row r="20" spans="6:16" x14ac:dyDescent="0.3">
      <c r="F20">
        <f t="shared" si="4"/>
        <v>314.15926535897933</v>
      </c>
      <c r="G20">
        <v>3</v>
      </c>
      <c r="H20">
        <v>1</v>
      </c>
      <c r="I20">
        <f t="shared" si="0"/>
        <v>2500</v>
      </c>
      <c r="J20">
        <f t="shared" si="1"/>
        <v>8.3333333333333339E-4</v>
      </c>
      <c r="K20">
        <v>7.5</v>
      </c>
      <c r="O20">
        <f t="shared" si="5"/>
        <v>7.5211468326858268</v>
      </c>
      <c r="P20">
        <f t="shared" si="3"/>
        <v>4.8135339729189299</v>
      </c>
    </row>
    <row r="21" spans="6:16" x14ac:dyDescent="0.3">
      <c r="F21">
        <f t="shared" si="4"/>
        <v>314.15926535897933</v>
      </c>
      <c r="G21">
        <v>2.2000000000000002</v>
      </c>
      <c r="H21">
        <v>1</v>
      </c>
      <c r="I21">
        <f t="shared" si="0"/>
        <v>2500</v>
      </c>
      <c r="J21">
        <f t="shared" si="1"/>
        <v>6.1111111111111121E-4</v>
      </c>
      <c r="K21">
        <v>7.6</v>
      </c>
      <c r="O21">
        <f t="shared" si="5"/>
        <v>7.5590368772627485</v>
      </c>
      <c r="P21">
        <f t="shared" si="3"/>
        <v>4.8377836014481597</v>
      </c>
    </row>
    <row r="22" spans="6:16" x14ac:dyDescent="0.3">
      <c r="F22">
        <f t="shared" si="4"/>
        <v>314.15926535897933</v>
      </c>
      <c r="G22">
        <v>2</v>
      </c>
      <c r="H22">
        <v>1</v>
      </c>
      <c r="I22">
        <f t="shared" si="0"/>
        <v>2500</v>
      </c>
      <c r="J22">
        <f t="shared" si="1"/>
        <v>5.5555555555555556E-4</v>
      </c>
      <c r="K22">
        <v>7.61</v>
      </c>
      <c r="O22">
        <f t="shared" si="5"/>
        <v>7.5600955214418493</v>
      </c>
      <c r="P22">
        <f t="shared" si="3"/>
        <v>4.8384611337227845</v>
      </c>
    </row>
    <row r="23" spans="6:16" x14ac:dyDescent="0.3">
      <c r="F23">
        <f>2*PI()*40</f>
        <v>251.32741228718345</v>
      </c>
      <c r="H23">
        <v>1</v>
      </c>
      <c r="I23">
        <f t="shared" si="0"/>
        <v>1999.9999999999998</v>
      </c>
      <c r="J23">
        <v>2.2222222222222222E-3</v>
      </c>
      <c r="K23">
        <v>3.15</v>
      </c>
      <c r="O23">
        <f>+ 7.38557689*(40/50)^2 + J23*(617.03274734*(40/50) -545218.57934041*J23)</f>
        <v>3.1312788871406934</v>
      </c>
    </row>
    <row r="24" spans="6:16" x14ac:dyDescent="0.3">
      <c r="F24">
        <f t="shared" ref="F24:F29" si="6">2*PI()*40</f>
        <v>251.32741228718345</v>
      </c>
      <c r="H24">
        <v>1</v>
      </c>
      <c r="I24">
        <f t="shared" si="0"/>
        <v>1999.9999999999998</v>
      </c>
      <c r="J24">
        <v>1.9444444444444444E-3</v>
      </c>
      <c r="K24">
        <v>3.7</v>
      </c>
      <c r="O24">
        <f t="shared" ref="O24:O30" si="7">+ 7.38557689*(40/50)^2 + J24*(617.03274734*(40/50) -545218.57934041*J24)</f>
        <v>3.625200521227649</v>
      </c>
    </row>
    <row r="25" spans="6:16" x14ac:dyDescent="0.3">
      <c r="F25">
        <f t="shared" si="6"/>
        <v>251.32741228718345</v>
      </c>
      <c r="H25">
        <v>1</v>
      </c>
      <c r="I25">
        <f t="shared" si="0"/>
        <v>1999.9999999999998</v>
      </c>
      <c r="J25">
        <v>1.6666666666666668E-3</v>
      </c>
      <c r="K25">
        <v>4.0999999999999996</v>
      </c>
      <c r="O25">
        <f t="shared" si="7"/>
        <v>4.0349834856633073</v>
      </c>
    </row>
    <row r="26" spans="6:16" x14ac:dyDescent="0.3">
      <c r="F26">
        <f t="shared" si="6"/>
        <v>251.32741228718345</v>
      </c>
      <c r="H26">
        <v>1</v>
      </c>
      <c r="I26">
        <f t="shared" si="0"/>
        <v>1999.9999999999998</v>
      </c>
      <c r="J26">
        <v>1.3888888888888889E-3</v>
      </c>
      <c r="K26">
        <v>4.45</v>
      </c>
      <c r="O26">
        <f t="shared" si="7"/>
        <v>4.3606277804476674</v>
      </c>
    </row>
    <row r="27" spans="6:16" x14ac:dyDescent="0.3">
      <c r="F27">
        <f t="shared" si="6"/>
        <v>251.32741228718345</v>
      </c>
      <c r="H27">
        <v>1</v>
      </c>
      <c r="I27">
        <f t="shared" si="0"/>
        <v>1999.9999999999998</v>
      </c>
      <c r="J27">
        <v>1.1111111111111111E-3</v>
      </c>
      <c r="K27">
        <v>4.6100000000000003</v>
      </c>
      <c r="O27">
        <f t="shared" si="7"/>
        <v>4.6021334055807301</v>
      </c>
    </row>
    <row r="28" spans="6:16" x14ac:dyDescent="0.3">
      <c r="F28">
        <f t="shared" si="6"/>
        <v>251.32741228718345</v>
      </c>
      <c r="H28">
        <v>1</v>
      </c>
      <c r="I28">
        <f t="shared" si="0"/>
        <v>1999.9999999999998</v>
      </c>
      <c r="J28">
        <v>8.3333333333333339E-4</v>
      </c>
      <c r="K28">
        <v>4.75</v>
      </c>
      <c r="O28">
        <f t="shared" si="7"/>
        <v>4.7595003610624946</v>
      </c>
    </row>
    <row r="29" spans="6:16" x14ac:dyDescent="0.3">
      <c r="F29">
        <f t="shared" si="6"/>
        <v>251.32741228718345</v>
      </c>
      <c r="H29">
        <v>1</v>
      </c>
      <c r="I29">
        <f t="shared" si="0"/>
        <v>1999.9999999999998</v>
      </c>
      <c r="J29">
        <v>6.1111111111111121E-4</v>
      </c>
      <c r="K29">
        <v>4.8</v>
      </c>
      <c r="O29">
        <f t="shared" si="7"/>
        <v>4.8248140832989721</v>
      </c>
    </row>
    <row r="30" spans="6:16" x14ac:dyDescent="0.3">
      <c r="F30">
        <f>2*PI()*40</f>
        <v>251.32741228718345</v>
      </c>
      <c r="H30">
        <v>1</v>
      </c>
      <c r="I30">
        <f t="shared" si="0"/>
        <v>1999.9999999999998</v>
      </c>
      <c r="J30">
        <v>5.5555555555555556E-4</v>
      </c>
      <c r="K30">
        <v>4.8499999999999996</v>
      </c>
      <c r="O30">
        <f t="shared" si="7"/>
        <v>4.8327286468929609</v>
      </c>
    </row>
    <row r="31" spans="6:16" x14ac:dyDescent="0.3">
      <c r="F31">
        <f>2*PI()*30</f>
        <v>188.49555921538757</v>
      </c>
      <c r="H31">
        <v>1</v>
      </c>
      <c r="I31">
        <f t="shared" si="0"/>
        <v>1500</v>
      </c>
      <c r="J31">
        <v>1.6666666666666668E-3</v>
      </c>
      <c r="K31">
        <v>1.75</v>
      </c>
      <c r="O31">
        <f>+ 7.38557689*(30/50)^2 + J31*(617.03274734*(30/50) -545218.57934041*J31)</f>
        <v>1.7613443740166386</v>
      </c>
    </row>
    <row r="32" spans="6:16" x14ac:dyDescent="0.3">
      <c r="F32">
        <f t="shared" ref="F32:F36" si="8">2*PI()*30</f>
        <v>188.49555921538757</v>
      </c>
      <c r="H32">
        <v>1</v>
      </c>
      <c r="I32">
        <f t="shared" si="0"/>
        <v>1500</v>
      </c>
      <c r="J32">
        <v>1.3888888888888889E-3</v>
      </c>
      <c r="K32">
        <v>2.1</v>
      </c>
      <c r="O32">
        <f t="shared" ref="O32:O36" si="9">+ 7.38557689*(30/50)^2 + J32*(617.03274734*(30/50) -545218.57934041*J32)</f>
        <v>2.1212682658754436</v>
      </c>
    </row>
    <row r="33" spans="6:15" x14ac:dyDescent="0.3">
      <c r="F33">
        <f t="shared" si="8"/>
        <v>188.49555921538757</v>
      </c>
      <c r="H33">
        <v>1</v>
      </c>
      <c r="I33">
        <f t="shared" si="0"/>
        <v>1500</v>
      </c>
      <c r="J33">
        <v>1.1111111111111111E-3</v>
      </c>
      <c r="K33">
        <v>2.44</v>
      </c>
      <c r="O33">
        <f t="shared" si="9"/>
        <v>2.3970534880829506</v>
      </c>
    </row>
    <row r="34" spans="6:15" x14ac:dyDescent="0.3">
      <c r="F34">
        <f t="shared" si="8"/>
        <v>188.49555921538757</v>
      </c>
      <c r="H34">
        <v>1</v>
      </c>
      <c r="I34">
        <f t="shared" si="0"/>
        <v>1500</v>
      </c>
      <c r="J34">
        <v>8.3333333333333339E-4</v>
      </c>
      <c r="K34">
        <v>2.5499999999999998</v>
      </c>
      <c r="O34">
        <f t="shared" si="9"/>
        <v>2.5887000406391594</v>
      </c>
    </row>
    <row r="35" spans="6:15" x14ac:dyDescent="0.3">
      <c r="F35">
        <f t="shared" si="8"/>
        <v>188.49555921538757</v>
      </c>
      <c r="H35">
        <v>1</v>
      </c>
      <c r="I35">
        <f t="shared" si="0"/>
        <v>1500</v>
      </c>
      <c r="J35">
        <v>6.1111111111111121E-4</v>
      </c>
      <c r="K35">
        <v>2.6</v>
      </c>
      <c r="O35">
        <f t="shared" si="9"/>
        <v>2.6814374405351922</v>
      </c>
    </row>
    <row r="36" spans="6:15" x14ac:dyDescent="0.3">
      <c r="F36">
        <f t="shared" si="8"/>
        <v>188.49555921538757</v>
      </c>
      <c r="H36">
        <v>1</v>
      </c>
      <c r="I36">
        <f>+F36*50/(2*PI())</f>
        <v>1500</v>
      </c>
      <c r="J36">
        <v>5.5555555555555556E-4</v>
      </c>
      <c r="K36">
        <v>2.62</v>
      </c>
      <c r="O36">
        <f t="shared" si="9"/>
        <v>2.6962079235440708</v>
      </c>
    </row>
    <row r="42" spans="6:15" x14ac:dyDescent="0.3">
      <c r="I42" s="1" t="s">
        <v>8</v>
      </c>
      <c r="J42" s="1" t="s">
        <v>3</v>
      </c>
      <c r="L42" s="1" t="s">
        <v>9</v>
      </c>
    </row>
    <row r="43" spans="6:15" x14ac:dyDescent="0.3">
      <c r="I43">
        <f>+I13</f>
        <v>2500</v>
      </c>
      <c r="J43">
        <f>+J13</f>
        <v>2.7777777777777779E-3</v>
      </c>
      <c r="L43">
        <f>+K13</f>
        <v>4.87</v>
      </c>
      <c r="N43" cm="1">
        <f t="array" ref="N43:N66">+MMULT(I43:J66,_xlfn.ANCHORARRAY(O70))</f>
        <v>4.6277966687358507</v>
      </c>
    </row>
    <row r="44" spans="6:15" x14ac:dyDescent="0.3">
      <c r="I44">
        <f t="shared" ref="I44:J44" si="10">+I14</f>
        <v>2500</v>
      </c>
      <c r="J44">
        <f t="shared" si="10"/>
        <v>2.5000000000000001E-3</v>
      </c>
      <c r="L44">
        <f t="shared" ref="L44:L66" si="11">+K14</f>
        <v>5.5</v>
      </c>
      <c r="N44">
        <v>4.9430261785868375</v>
      </c>
    </row>
    <row r="45" spans="6:15" x14ac:dyDescent="0.3">
      <c r="I45">
        <f t="shared" ref="I45:J45" si="12">+I15</f>
        <v>2500</v>
      </c>
      <c r="J45">
        <f t="shared" si="12"/>
        <v>2.2222222222222222E-3</v>
      </c>
      <c r="L45">
        <f t="shared" si="11"/>
        <v>6.15</v>
      </c>
      <c r="N45">
        <v>5.2582556884378242</v>
      </c>
    </row>
    <row r="46" spans="6:15" x14ac:dyDescent="0.3">
      <c r="I46">
        <f t="shared" ref="I46:J46" si="13">+I16</f>
        <v>2500</v>
      </c>
      <c r="J46">
        <f t="shared" si="13"/>
        <v>1.9444444444444444E-3</v>
      </c>
      <c r="L46">
        <f t="shared" si="11"/>
        <v>6.5</v>
      </c>
      <c r="N46">
        <v>5.5734851982888109</v>
      </c>
    </row>
    <row r="47" spans="6:15" x14ac:dyDescent="0.3">
      <c r="I47">
        <f t="shared" ref="I47:J47" si="14">+I17</f>
        <v>2500</v>
      </c>
      <c r="J47">
        <f t="shared" si="14"/>
        <v>1.6666666666666668E-3</v>
      </c>
      <c r="L47">
        <f t="shared" si="11"/>
        <v>6.92</v>
      </c>
      <c r="N47">
        <v>5.8887147081397977</v>
      </c>
    </row>
    <row r="48" spans="6:15" x14ac:dyDescent="0.3">
      <c r="I48">
        <f t="shared" ref="I48:J48" si="15">+I18</f>
        <v>2500</v>
      </c>
      <c r="J48">
        <f t="shared" si="15"/>
        <v>1.3888888888888889E-3</v>
      </c>
      <c r="L48">
        <f t="shared" si="11"/>
        <v>7.17</v>
      </c>
      <c r="N48">
        <v>6.2039442179907844</v>
      </c>
    </row>
    <row r="49" spans="9:14" x14ac:dyDescent="0.3">
      <c r="I49">
        <f t="shared" ref="I49:J49" si="16">+I19</f>
        <v>2500</v>
      </c>
      <c r="J49">
        <f t="shared" si="16"/>
        <v>1.1111111111111111E-3</v>
      </c>
      <c r="L49">
        <f t="shared" si="11"/>
        <v>7.36</v>
      </c>
      <c r="N49">
        <v>6.5191737278417712</v>
      </c>
    </row>
    <row r="50" spans="9:14" x14ac:dyDescent="0.3">
      <c r="I50">
        <f t="shared" ref="I50:J50" si="17">+I20</f>
        <v>2500</v>
      </c>
      <c r="J50">
        <f t="shared" si="17"/>
        <v>8.3333333333333339E-4</v>
      </c>
      <c r="L50">
        <f t="shared" si="11"/>
        <v>7.5</v>
      </c>
      <c r="N50">
        <v>6.8344032376927579</v>
      </c>
    </row>
    <row r="51" spans="9:14" x14ac:dyDescent="0.3">
      <c r="I51">
        <f t="shared" ref="I51:J51" si="18">+I21</f>
        <v>2500</v>
      </c>
      <c r="J51">
        <f t="shared" si="18"/>
        <v>6.1111111111111121E-4</v>
      </c>
      <c r="L51">
        <f t="shared" si="11"/>
        <v>7.6</v>
      </c>
      <c r="N51">
        <v>7.0865868455735468</v>
      </c>
    </row>
    <row r="52" spans="9:14" x14ac:dyDescent="0.3">
      <c r="I52">
        <f t="shared" ref="I52:J52" si="19">+I22</f>
        <v>2500</v>
      </c>
      <c r="J52">
        <f t="shared" si="19"/>
        <v>5.5555555555555556E-4</v>
      </c>
      <c r="L52">
        <f t="shared" si="11"/>
        <v>7.61</v>
      </c>
      <c r="N52">
        <v>7.1496327475437438</v>
      </c>
    </row>
    <row r="53" spans="9:14" x14ac:dyDescent="0.3">
      <c r="I53">
        <f t="shared" ref="I53:J53" si="20">+I23</f>
        <v>1999.9999999999998</v>
      </c>
      <c r="J53">
        <f t="shared" si="20"/>
        <v>2.2222222222222222E-3</v>
      </c>
      <c r="L53">
        <f t="shared" si="11"/>
        <v>3.15</v>
      </c>
      <c r="N53">
        <v>3.7022373349886801</v>
      </c>
    </row>
    <row r="54" spans="9:14" x14ac:dyDescent="0.3">
      <c r="I54">
        <f t="shared" ref="I54:J54" si="21">+I24</f>
        <v>1999.9999999999998</v>
      </c>
      <c r="J54">
        <f t="shared" si="21"/>
        <v>1.9444444444444444E-3</v>
      </c>
      <c r="L54">
        <f t="shared" si="11"/>
        <v>3.7</v>
      </c>
      <c r="N54">
        <v>4.0174668448396673</v>
      </c>
    </row>
    <row r="55" spans="9:14" x14ac:dyDescent="0.3">
      <c r="I55">
        <f t="shared" ref="I55:J55" si="22">+I25</f>
        <v>1999.9999999999998</v>
      </c>
      <c r="J55">
        <f t="shared" si="22"/>
        <v>1.6666666666666668E-3</v>
      </c>
      <c r="L55">
        <f t="shared" si="11"/>
        <v>4.0999999999999996</v>
      </c>
      <c r="N55">
        <v>4.3326963546906532</v>
      </c>
    </row>
    <row r="56" spans="9:14" x14ac:dyDescent="0.3">
      <c r="I56">
        <f t="shared" ref="I56:J56" si="23">+I26</f>
        <v>1999.9999999999998</v>
      </c>
      <c r="J56">
        <f t="shared" si="23"/>
        <v>1.3888888888888889E-3</v>
      </c>
      <c r="L56">
        <f t="shared" si="11"/>
        <v>4.45</v>
      </c>
      <c r="N56">
        <v>4.6479258645416399</v>
      </c>
    </row>
    <row r="57" spans="9:14" x14ac:dyDescent="0.3">
      <c r="I57">
        <f t="shared" ref="I57:J57" si="24">+I27</f>
        <v>1999.9999999999998</v>
      </c>
      <c r="J57">
        <f t="shared" si="24"/>
        <v>1.1111111111111111E-3</v>
      </c>
      <c r="L57">
        <f t="shared" si="11"/>
        <v>4.6100000000000003</v>
      </c>
      <c r="N57">
        <v>4.9631553743926267</v>
      </c>
    </row>
    <row r="58" spans="9:14" x14ac:dyDescent="0.3">
      <c r="I58">
        <f t="shared" ref="I58:J58" si="25">+I28</f>
        <v>1999.9999999999998</v>
      </c>
      <c r="J58">
        <f t="shared" si="25"/>
        <v>8.3333333333333339E-4</v>
      </c>
      <c r="L58">
        <f t="shared" si="11"/>
        <v>4.75</v>
      </c>
      <c r="N58">
        <v>5.2783848842436125</v>
      </c>
    </row>
    <row r="59" spans="9:14" x14ac:dyDescent="0.3">
      <c r="I59">
        <f t="shared" ref="I59:J59" si="26">+I29</f>
        <v>1999.9999999999998</v>
      </c>
      <c r="J59">
        <f t="shared" si="26"/>
        <v>6.1111111111111121E-4</v>
      </c>
      <c r="L59">
        <f t="shared" si="11"/>
        <v>4.8</v>
      </c>
      <c r="N59">
        <v>5.5305684921244023</v>
      </c>
    </row>
    <row r="60" spans="9:14" x14ac:dyDescent="0.3">
      <c r="I60">
        <f t="shared" ref="I60:J60" si="27">+I30</f>
        <v>1999.9999999999998</v>
      </c>
      <c r="J60">
        <f t="shared" si="27"/>
        <v>5.5555555555555556E-4</v>
      </c>
      <c r="L60">
        <f t="shared" si="11"/>
        <v>4.8499999999999996</v>
      </c>
      <c r="N60">
        <v>5.5936143940945993</v>
      </c>
    </row>
    <row r="61" spans="9:14" x14ac:dyDescent="0.3">
      <c r="I61">
        <f t="shared" ref="I61:J61" si="28">+I31</f>
        <v>1500</v>
      </c>
      <c r="J61">
        <f t="shared" si="28"/>
        <v>1.6666666666666668E-3</v>
      </c>
      <c r="L61">
        <f t="shared" si="11"/>
        <v>1.75</v>
      </c>
      <c r="N61">
        <v>2.7766780012415104</v>
      </c>
    </row>
    <row r="62" spans="9:14" x14ac:dyDescent="0.3">
      <c r="I62">
        <f t="shared" ref="I62:J62" si="29">+I32</f>
        <v>1500</v>
      </c>
      <c r="J62">
        <f t="shared" si="29"/>
        <v>1.3888888888888889E-3</v>
      </c>
      <c r="L62">
        <f t="shared" si="11"/>
        <v>2.1</v>
      </c>
      <c r="N62">
        <v>3.0919075110924972</v>
      </c>
    </row>
    <row r="63" spans="9:14" x14ac:dyDescent="0.3">
      <c r="I63">
        <f t="shared" ref="I63:J63" si="30">+I33</f>
        <v>1500</v>
      </c>
      <c r="J63">
        <f t="shared" si="30"/>
        <v>1.1111111111111111E-3</v>
      </c>
      <c r="L63">
        <f t="shared" si="11"/>
        <v>2.44</v>
      </c>
      <c r="N63">
        <v>3.4071370209434839</v>
      </c>
    </row>
    <row r="64" spans="9:14" x14ac:dyDescent="0.3">
      <c r="I64">
        <f t="shared" ref="I64:J64" si="31">+I34</f>
        <v>1500</v>
      </c>
      <c r="J64">
        <f t="shared" si="31"/>
        <v>8.3333333333333339E-4</v>
      </c>
      <c r="L64">
        <f t="shared" si="11"/>
        <v>2.5499999999999998</v>
      </c>
      <c r="N64">
        <v>3.7223665307944702</v>
      </c>
    </row>
    <row r="65" spans="9:15" x14ac:dyDescent="0.3">
      <c r="I65">
        <f t="shared" ref="I65:J65" si="32">+I35</f>
        <v>1500</v>
      </c>
      <c r="J65">
        <f t="shared" si="32"/>
        <v>6.1111111111111121E-4</v>
      </c>
      <c r="L65">
        <f t="shared" si="11"/>
        <v>2.6</v>
      </c>
      <c r="N65">
        <v>3.9745501386752595</v>
      </c>
    </row>
    <row r="66" spans="9:15" x14ac:dyDescent="0.3">
      <c r="I66">
        <f t="shared" ref="I66:J66" si="33">+I36</f>
        <v>1500</v>
      </c>
      <c r="J66">
        <f t="shared" si="33"/>
        <v>5.5555555555555556E-4</v>
      </c>
      <c r="L66">
        <f t="shared" si="11"/>
        <v>2.62</v>
      </c>
      <c r="N66">
        <v>4.0375960406454565</v>
      </c>
    </row>
    <row r="69" spans="9:15" x14ac:dyDescent="0.3">
      <c r="O69" t="s">
        <v>7</v>
      </c>
    </row>
    <row r="70" spans="9:15" x14ac:dyDescent="0.3">
      <c r="I70" cm="1">
        <f t="array" ref="I70:J71">+MINVERSE(MMULT(TRANSPOSE(I43:J66),I43:J66))</f>
        <v>5.2864783210966715E-8</v>
      </c>
      <c r="J70">
        <v>-6.8307122129024414E-2</v>
      </c>
      <c r="O70" cm="1">
        <f t="array" ref="O70:O71">+MMULT(_xlfn.ANCHORARRAY(I70),MMULT(TRANSPOSE(I43:J66),L43:L66))</f>
        <v>3.1120367068982868E-3</v>
      </c>
    </row>
    <row r="71" spans="9:15" x14ac:dyDescent="0.3">
      <c r="I71">
        <v>-6.8307122129024414E-2</v>
      </c>
      <c r="J71">
        <v>107001.648202114</v>
      </c>
      <c r="O71">
        <v>-1134.8262354635517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9EDCAF-52EE-4F88-AD4B-B2A560E3B5EF}">
  <dimension ref="A13:J118"/>
  <sheetViews>
    <sheetView topLeftCell="A10" zoomScale="85" zoomScaleNormal="85" workbookViewId="0">
      <selection activeCell="G96" sqref="A96:G97"/>
    </sheetView>
  </sheetViews>
  <sheetFormatPr defaultRowHeight="14.4" x14ac:dyDescent="0.3"/>
  <cols>
    <col min="4" max="4" width="10" customWidth="1"/>
    <col min="5" max="66" width="3.109375" customWidth="1"/>
  </cols>
  <sheetData>
    <row r="13" ht="8.4" customHeight="1" x14ac:dyDescent="0.3"/>
    <row r="14" ht="8.4" customHeight="1" x14ac:dyDescent="0.3"/>
    <row r="15" ht="8.4" customHeight="1" x14ac:dyDescent="0.3"/>
    <row r="16" ht="8.4" customHeight="1" x14ac:dyDescent="0.3"/>
    <row r="17" ht="8.4" customHeight="1" x14ac:dyDescent="0.3"/>
    <row r="18" ht="8.4" customHeight="1" x14ac:dyDescent="0.3"/>
    <row r="19" ht="8.4" customHeight="1" x14ac:dyDescent="0.3"/>
    <row r="20" ht="8.4" customHeight="1" x14ac:dyDescent="0.3"/>
    <row r="21" ht="8.4" customHeight="1" x14ac:dyDescent="0.3"/>
    <row r="22" ht="8.4" customHeight="1" x14ac:dyDescent="0.3"/>
    <row r="23" hidden="1" x14ac:dyDescent="0.3"/>
    <row r="24" hidden="1" x14ac:dyDescent="0.3"/>
    <row r="25" hidden="1" x14ac:dyDescent="0.3"/>
    <row r="26" hidden="1" x14ac:dyDescent="0.3"/>
    <row r="27" hidden="1" x14ac:dyDescent="0.3"/>
    <row r="28" hidden="1" x14ac:dyDescent="0.3"/>
    <row r="29" hidden="1" x14ac:dyDescent="0.3"/>
    <row r="30" hidden="1" x14ac:dyDescent="0.3"/>
    <row r="31" hidden="1" x14ac:dyDescent="0.3"/>
    <row r="32" hidden="1" x14ac:dyDescent="0.3"/>
    <row r="33" s="2" customFormat="1" ht="9" customHeight="1" x14ac:dyDescent="0.3"/>
    <row r="34" s="2" customFormat="1" ht="9" customHeight="1" x14ac:dyDescent="0.3"/>
    <row r="35" s="2" customFormat="1" ht="9" customHeight="1" x14ac:dyDescent="0.3"/>
    <row r="36" s="2" customFormat="1" ht="9" customHeight="1" x14ac:dyDescent="0.3"/>
    <row r="37" s="2" customFormat="1" ht="9" customHeight="1" x14ac:dyDescent="0.3"/>
    <row r="38" s="2" customFormat="1" ht="9" customHeight="1" x14ac:dyDescent="0.3"/>
    <row r="39" s="2" customFormat="1" ht="9" customHeight="1" x14ac:dyDescent="0.3"/>
    <row r="40" s="2" customFormat="1" ht="9" customHeight="1" x14ac:dyDescent="0.3"/>
    <row r="41" s="2" customFormat="1" ht="9" customHeight="1" x14ac:dyDescent="0.3"/>
    <row r="42" s="2" customFormat="1" ht="9" customHeight="1" x14ac:dyDescent="0.3"/>
    <row r="43" s="2" customFormat="1" ht="9" customHeight="1" x14ac:dyDescent="0.3"/>
    <row r="44" s="2" customFormat="1" ht="9" customHeight="1" x14ac:dyDescent="0.3"/>
    <row r="45" s="2" customFormat="1" ht="9" customHeight="1" x14ac:dyDescent="0.3"/>
    <row r="46" s="2" customFormat="1" ht="9" customHeight="1" x14ac:dyDescent="0.3"/>
    <row r="47" s="2" customFormat="1" ht="9" customHeight="1" x14ac:dyDescent="0.3"/>
    <row r="48" s="2" customFormat="1" ht="9" customHeight="1" x14ac:dyDescent="0.3"/>
    <row r="49" s="2" customFormat="1" ht="9" customHeight="1" x14ac:dyDescent="0.3"/>
    <row r="50" s="2" customFormat="1" ht="9" customHeight="1" x14ac:dyDescent="0.3"/>
    <row r="51" s="2" customFormat="1" ht="9" customHeight="1" x14ac:dyDescent="0.3"/>
    <row r="52" s="2" customFormat="1" ht="9" customHeight="1" x14ac:dyDescent="0.3"/>
    <row r="53" s="2" customFormat="1" ht="9" customHeight="1" x14ac:dyDescent="0.3"/>
    <row r="54" s="2" customFormat="1" ht="9" customHeight="1" x14ac:dyDescent="0.3"/>
    <row r="55" s="2" customFormat="1" ht="9" customHeight="1" x14ac:dyDescent="0.3"/>
    <row r="56" s="2" customFormat="1" ht="9" customHeight="1" x14ac:dyDescent="0.3"/>
    <row r="57" s="2" customFormat="1" ht="9" customHeight="1" x14ac:dyDescent="0.3"/>
    <row r="58" s="2" customFormat="1" ht="9" customHeight="1" x14ac:dyDescent="0.3"/>
    <row r="59" s="2" customFormat="1" ht="9" customHeight="1" x14ac:dyDescent="0.3"/>
    <row r="60" s="2" customFormat="1" ht="9" customHeight="1" x14ac:dyDescent="0.3"/>
    <row r="61" s="2" customFormat="1" ht="9" customHeight="1" x14ac:dyDescent="0.3"/>
    <row r="62" s="2" customFormat="1" ht="9" customHeight="1" x14ac:dyDescent="0.3"/>
    <row r="63" s="2" customFormat="1" ht="9" customHeight="1" x14ac:dyDescent="0.3"/>
    <row r="64" s="2" customFormat="1" ht="9" customHeight="1" x14ac:dyDescent="0.3"/>
    <row r="65" spans="1:10" s="2" customFormat="1" ht="9" customHeight="1" x14ac:dyDescent="0.3"/>
    <row r="66" spans="1:10" s="2" customFormat="1" ht="9" customHeight="1" x14ac:dyDescent="0.3"/>
    <row r="67" spans="1:10" s="2" customFormat="1" ht="9" customHeight="1" x14ac:dyDescent="0.3"/>
    <row r="68" spans="1:10" s="2" customFormat="1" ht="9" customHeight="1" x14ac:dyDescent="0.3"/>
    <row r="69" spans="1:10" s="2" customFormat="1" ht="9" customHeight="1" x14ac:dyDescent="0.3"/>
    <row r="70" spans="1:10" s="2" customFormat="1" ht="9" customHeight="1" x14ac:dyDescent="0.3"/>
    <row r="71" spans="1:10" s="2" customFormat="1" ht="9" customHeight="1" x14ac:dyDescent="0.3"/>
    <row r="72" spans="1:10" s="2" customFormat="1" ht="9" customHeight="1" x14ac:dyDescent="0.3"/>
    <row r="79" spans="1:10" x14ac:dyDescent="0.3">
      <c r="A79" s="1" t="s">
        <v>2</v>
      </c>
      <c r="B79" s="1" t="s">
        <v>3</v>
      </c>
      <c r="C79" s="1" t="s">
        <v>11</v>
      </c>
      <c r="D79" s="1" t="s">
        <v>14</v>
      </c>
      <c r="I79" s="1" t="s">
        <v>13</v>
      </c>
      <c r="J79" s="1" t="s">
        <v>12</v>
      </c>
    </row>
    <row r="80" spans="1:10" x14ac:dyDescent="0.3">
      <c r="A80">
        <v>3</v>
      </c>
      <c r="B80">
        <f>+A80/3600</f>
        <v>8.3333333333333339E-4</v>
      </c>
      <c r="C80">
        <v>0.41</v>
      </c>
      <c r="D80">
        <v>50</v>
      </c>
      <c r="I80">
        <f>+B80*(600.85504809 - 144245.141229*B80)</f>
        <v>0.40054230311041666</v>
      </c>
      <c r="J80">
        <v>50</v>
      </c>
    </row>
    <row r="81" spans="1:10" x14ac:dyDescent="0.3">
      <c r="A81">
        <v>4</v>
      </c>
      <c r="B81">
        <f t="shared" ref="B81:B88" si="0">+A81/3600</f>
        <v>1.1111111111111111E-3</v>
      </c>
      <c r="C81">
        <v>0.49199999999999999</v>
      </c>
      <c r="D81">
        <v>50</v>
      </c>
      <c r="I81">
        <v>50</v>
      </c>
      <c r="J81">
        <v>50</v>
      </c>
    </row>
    <row r="82" spans="1:10" x14ac:dyDescent="0.3">
      <c r="A82">
        <v>5</v>
      </c>
      <c r="B82">
        <f t="shared" si="0"/>
        <v>1.3888888888888889E-3</v>
      </c>
      <c r="C82">
        <v>0.55400000000000005</v>
      </c>
      <c r="D82">
        <v>50</v>
      </c>
      <c r="I82">
        <v>50</v>
      </c>
      <c r="J82">
        <v>50</v>
      </c>
    </row>
    <row r="83" spans="1:10" x14ac:dyDescent="0.3">
      <c r="A83">
        <v>6</v>
      </c>
      <c r="B83">
        <f t="shared" si="0"/>
        <v>1.6666666666666668E-3</v>
      </c>
      <c r="C83">
        <v>0.59599999999999997</v>
      </c>
      <c r="D83">
        <v>50</v>
      </c>
      <c r="I83">
        <v>50</v>
      </c>
      <c r="J83">
        <v>50</v>
      </c>
    </row>
    <row r="84" spans="1:10" x14ac:dyDescent="0.3">
      <c r="A84">
        <v>7</v>
      </c>
      <c r="B84">
        <f t="shared" si="0"/>
        <v>1.9444444444444444E-3</v>
      </c>
      <c r="C84">
        <v>0.61899999999999999</v>
      </c>
      <c r="D84">
        <v>50</v>
      </c>
      <c r="I84">
        <v>50</v>
      </c>
      <c r="J84">
        <v>50</v>
      </c>
    </row>
    <row r="85" spans="1:10" x14ac:dyDescent="0.3">
      <c r="A85">
        <v>7.6</v>
      </c>
      <c r="B85">
        <f t="shared" si="0"/>
        <v>2.1111111111111109E-3</v>
      </c>
      <c r="C85">
        <v>0.625</v>
      </c>
      <c r="D85">
        <v>50</v>
      </c>
      <c r="I85">
        <v>50</v>
      </c>
      <c r="J85">
        <v>50</v>
      </c>
    </row>
    <row r="86" spans="1:10" x14ac:dyDescent="0.3">
      <c r="A86">
        <v>8</v>
      </c>
      <c r="B86">
        <f t="shared" si="0"/>
        <v>2.2222222222222222E-3</v>
      </c>
      <c r="C86">
        <v>0.622</v>
      </c>
      <c r="D86">
        <v>50</v>
      </c>
      <c r="I86">
        <v>50</v>
      </c>
      <c r="J86">
        <v>50</v>
      </c>
    </row>
    <row r="87" spans="1:10" x14ac:dyDescent="0.3">
      <c r="A87">
        <v>9</v>
      </c>
      <c r="B87">
        <f t="shared" si="0"/>
        <v>2.5000000000000001E-3</v>
      </c>
      <c r="C87">
        <v>0.60299999999999998</v>
      </c>
      <c r="D87">
        <v>50</v>
      </c>
      <c r="I87">
        <v>50</v>
      </c>
      <c r="J87">
        <v>50</v>
      </c>
    </row>
    <row r="88" spans="1:10" x14ac:dyDescent="0.3">
      <c r="A88">
        <v>10</v>
      </c>
      <c r="B88">
        <f t="shared" si="0"/>
        <v>2.7777777777777779E-3</v>
      </c>
      <c r="C88">
        <v>0.55800000000000005</v>
      </c>
      <c r="D88">
        <v>50</v>
      </c>
      <c r="I88">
        <v>50</v>
      </c>
      <c r="J88">
        <v>50</v>
      </c>
    </row>
    <row r="91" spans="1:10" x14ac:dyDescent="0.3">
      <c r="B91" s="1" t="s">
        <v>3</v>
      </c>
      <c r="C91" s="1" t="s">
        <v>13</v>
      </c>
      <c r="D91" s="1" t="s">
        <v>12</v>
      </c>
    </row>
    <row r="92" spans="1:10" x14ac:dyDescent="0.3">
      <c r="B92">
        <v>8.3333333333333339E-4</v>
      </c>
      <c r="C92">
        <f>+B92*(600.85504809 - 144245.141229*B92)</f>
        <v>0.40054230311041666</v>
      </c>
    </row>
    <row r="93" spans="1:10" x14ac:dyDescent="0.3">
      <c r="B93">
        <v>1.1111111111111111E-3</v>
      </c>
      <c r="C93">
        <f t="shared" ref="C93:C100" si="1">+B93*(600.85504809 - 144245.141229*B93)</f>
        <v>0.48953629882962962</v>
      </c>
    </row>
    <row r="94" spans="1:10" x14ac:dyDescent="0.3">
      <c r="B94">
        <v>1.3888888888888889E-3</v>
      </c>
      <c r="C94">
        <f t="shared" si="1"/>
        <v>0.55627024189004626</v>
      </c>
    </row>
    <row r="95" spans="1:10" x14ac:dyDescent="0.3">
      <c r="B95">
        <v>1.6666666666666668E-3</v>
      </c>
      <c r="C95">
        <f t="shared" si="1"/>
        <v>0.60074413229166668</v>
      </c>
    </row>
    <row r="96" spans="1:10" x14ac:dyDescent="0.3">
      <c r="B96">
        <v>1.9444444444444444E-3</v>
      </c>
      <c r="C96">
        <f t="shared" si="1"/>
        <v>0.6229579700344906</v>
      </c>
    </row>
    <row r="97" spans="1:4" x14ac:dyDescent="0.3">
      <c r="B97">
        <v>2.1111111111111109E-3</v>
      </c>
      <c r="C97">
        <f t="shared" si="1"/>
        <v>0.62560144740396284</v>
      </c>
    </row>
    <row r="98" spans="1:4" x14ac:dyDescent="0.3">
      <c r="B98">
        <v>2.2222222222222222E-3</v>
      </c>
      <c r="C98">
        <f t="shared" si="1"/>
        <v>0.62291175511851848</v>
      </c>
    </row>
    <row r="99" spans="1:4" x14ac:dyDescent="0.3">
      <c r="B99">
        <v>2.5000000000000001E-3</v>
      </c>
      <c r="C99">
        <f t="shared" si="1"/>
        <v>0.60060548754374998</v>
      </c>
    </row>
    <row r="100" spans="1:4" x14ac:dyDescent="0.3">
      <c r="B100">
        <v>2.7777777777777779E-3</v>
      </c>
      <c r="C100">
        <f t="shared" si="1"/>
        <v>0.5560391673101851</v>
      </c>
    </row>
    <row r="101" spans="1:4" x14ac:dyDescent="0.3">
      <c r="A101" s="1" t="s">
        <v>2</v>
      </c>
      <c r="B101" s="1" t="s">
        <v>3</v>
      </c>
      <c r="C101" s="1" t="s">
        <v>11</v>
      </c>
    </row>
    <row r="102" spans="1:4" x14ac:dyDescent="0.3">
      <c r="A102">
        <v>2</v>
      </c>
      <c r="B102">
        <f>+A102/3600</f>
        <v>5.5555555555555556E-4</v>
      </c>
      <c r="C102">
        <v>0.36499999999999999</v>
      </c>
      <c r="D102">
        <f xml:space="preserve"> 0.04370005  + B102*(692.45452065 - 208555.2491964*B102)</f>
        <v>0.36402810184370366</v>
      </c>
    </row>
    <row r="103" spans="1:4" x14ac:dyDescent="0.3">
      <c r="A103">
        <v>3</v>
      </c>
      <c r="B103">
        <f t="shared" ref="B103:B107" si="2">+A103/3600</f>
        <v>8.3333333333333339E-4</v>
      </c>
      <c r="C103">
        <v>0.47499999999999998</v>
      </c>
      <c r="D103">
        <f t="shared" ref="D103:D107" si="3" xml:space="preserve"> 0.04370005  + B103*(692.45452065 - 208555.2491964*B103)</f>
        <v>0.47591544971083333</v>
      </c>
    </row>
    <row r="104" spans="1:4" x14ac:dyDescent="0.3">
      <c r="A104">
        <v>4</v>
      </c>
      <c r="B104">
        <f t="shared" si="2"/>
        <v>1.1111111111111111E-3</v>
      </c>
      <c r="C104">
        <v>0.55500000000000005</v>
      </c>
      <c r="D104">
        <f t="shared" si="3"/>
        <v>0.55561834554148148</v>
      </c>
    </row>
    <row r="105" spans="1:4" x14ac:dyDescent="0.3">
      <c r="A105">
        <v>5</v>
      </c>
      <c r="B105">
        <f t="shared" si="2"/>
        <v>1.3888888888888889E-3</v>
      </c>
      <c r="C105">
        <v>0.60299999999999998</v>
      </c>
      <c r="D105">
        <f t="shared" si="3"/>
        <v>0.60313678933564807</v>
      </c>
    </row>
    <row r="106" spans="1:4" x14ac:dyDescent="0.3">
      <c r="A106">
        <v>8</v>
      </c>
      <c r="B106">
        <f t="shared" si="2"/>
        <v>2.2222222222222222E-3</v>
      </c>
      <c r="C106">
        <v>0.55600000000000005</v>
      </c>
      <c r="D106">
        <f t="shared" si="3"/>
        <v>0.55258540849925919</v>
      </c>
    </row>
    <row r="107" spans="1:4" x14ac:dyDescent="0.3">
      <c r="A107">
        <v>8.6</v>
      </c>
      <c r="B107">
        <f t="shared" si="2"/>
        <v>2.3888888888888887E-3</v>
      </c>
      <c r="C107">
        <v>0.505</v>
      </c>
      <c r="D107">
        <f t="shared" si="3"/>
        <v>0.50771592413258149</v>
      </c>
    </row>
    <row r="110" spans="1:4" x14ac:dyDescent="0.3">
      <c r="A110" s="1" t="s">
        <v>2</v>
      </c>
      <c r="B110" s="1" t="s">
        <v>3</v>
      </c>
      <c r="C110" s="1" t="s">
        <v>11</v>
      </c>
    </row>
    <row r="111" spans="1:4" x14ac:dyDescent="0.3">
      <c r="A111">
        <v>1.6</v>
      </c>
      <c r="B111">
        <f t="shared" ref="B111:B118" si="4">+A111/3600</f>
        <v>4.4444444444444447E-4</v>
      </c>
      <c r="C111">
        <v>0.38</v>
      </c>
    </row>
    <row r="112" spans="1:4" x14ac:dyDescent="0.3">
      <c r="A112">
        <v>2</v>
      </c>
      <c r="B112">
        <f t="shared" si="4"/>
        <v>5.5555555555555556E-4</v>
      </c>
      <c r="C112">
        <v>0.44</v>
      </c>
    </row>
    <row r="113" spans="1:3" x14ac:dyDescent="0.3">
      <c r="A113">
        <v>3</v>
      </c>
      <c r="B113">
        <f t="shared" si="4"/>
        <v>8.3333333333333339E-4</v>
      </c>
      <c r="C113">
        <v>0.55500000000000005</v>
      </c>
    </row>
    <row r="114" spans="1:3" x14ac:dyDescent="0.3">
      <c r="A114">
        <v>3.6</v>
      </c>
      <c r="B114">
        <f t="shared" si="4"/>
        <v>1E-3</v>
      </c>
      <c r="C114">
        <v>0.59499999999999997</v>
      </c>
    </row>
    <row r="115" spans="1:3" x14ac:dyDescent="0.3">
      <c r="A115">
        <v>4</v>
      </c>
      <c r="B115">
        <f t="shared" si="4"/>
        <v>1.1111111111111111E-3</v>
      </c>
      <c r="C115">
        <v>0.61499999999999999</v>
      </c>
    </row>
    <row r="116" spans="1:3" x14ac:dyDescent="0.3">
      <c r="A116">
        <v>5.4</v>
      </c>
      <c r="B116">
        <f t="shared" si="4"/>
        <v>1.5E-3</v>
      </c>
      <c r="C116">
        <v>0.60499999999999998</v>
      </c>
    </row>
    <row r="117" spans="1:3" x14ac:dyDescent="0.3">
      <c r="A117">
        <v>6</v>
      </c>
      <c r="B117">
        <f t="shared" si="4"/>
        <v>1.6666666666666668E-3</v>
      </c>
      <c r="C117">
        <v>0.55600000000000005</v>
      </c>
    </row>
    <row r="118" spans="1:3" x14ac:dyDescent="0.3">
      <c r="A118">
        <v>6.4</v>
      </c>
      <c r="B118">
        <f t="shared" si="4"/>
        <v>1.7777777777777779E-3</v>
      </c>
      <c r="C118">
        <v>0.51200000000000001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A3172-1DE0-45DB-B564-776E688DDB7D}">
  <dimension ref="A5:C49"/>
  <sheetViews>
    <sheetView zoomScale="55" zoomScaleNormal="55" workbookViewId="0">
      <selection activeCell="AQ43" sqref="AQ43"/>
    </sheetView>
  </sheetViews>
  <sheetFormatPr defaultRowHeight="14.4" x14ac:dyDescent="0.3"/>
  <cols>
    <col min="4" max="64" width="3.33203125" customWidth="1"/>
  </cols>
  <sheetData>
    <row r="5" ht="12" customHeight="1" x14ac:dyDescent="0.3"/>
    <row r="6" ht="12" customHeight="1" x14ac:dyDescent="0.3"/>
    <row r="7" ht="12" customHeight="1" x14ac:dyDescent="0.3"/>
    <row r="8" ht="12" customHeight="1" x14ac:dyDescent="0.3"/>
    <row r="9" ht="12" customHeight="1" x14ac:dyDescent="0.3"/>
    <row r="10" ht="12" customHeight="1" x14ac:dyDescent="0.3"/>
    <row r="11" ht="12" customHeight="1" x14ac:dyDescent="0.3"/>
    <row r="12" ht="12" customHeight="1" x14ac:dyDescent="0.3"/>
    <row r="13" ht="12" customHeight="1" x14ac:dyDescent="0.3"/>
    <row r="14" ht="12" customHeight="1" x14ac:dyDescent="0.3"/>
    <row r="15" ht="12" customHeight="1" x14ac:dyDescent="0.3"/>
    <row r="16" ht="12" customHeight="1" x14ac:dyDescent="0.3"/>
    <row r="17" ht="12" customHeight="1" x14ac:dyDescent="0.3"/>
    <row r="18" ht="12" customHeight="1" x14ac:dyDescent="0.3"/>
    <row r="19" ht="12" customHeight="1" x14ac:dyDescent="0.3"/>
    <row r="20" ht="12" customHeight="1" x14ac:dyDescent="0.3"/>
    <row r="21" ht="12" customHeight="1" x14ac:dyDescent="0.3"/>
    <row r="22" ht="12" customHeight="1" x14ac:dyDescent="0.3"/>
    <row r="23" ht="12" customHeight="1" x14ac:dyDescent="0.3"/>
    <row r="24" ht="12" customHeight="1" x14ac:dyDescent="0.3"/>
    <row r="25" ht="12" customHeight="1" x14ac:dyDescent="0.3"/>
    <row r="26" ht="12" customHeight="1" x14ac:dyDescent="0.3"/>
    <row r="27" ht="12" customHeight="1" x14ac:dyDescent="0.3"/>
    <row r="28" ht="12" customHeight="1" x14ac:dyDescent="0.3"/>
    <row r="29" ht="12" customHeight="1" x14ac:dyDescent="0.3"/>
    <row r="30" ht="12" customHeight="1" x14ac:dyDescent="0.3"/>
    <row r="31" ht="12" customHeight="1" x14ac:dyDescent="0.3"/>
    <row r="32" ht="12" customHeight="1" x14ac:dyDescent="0.3"/>
    <row r="33" spans="1:3" ht="12" customHeight="1" x14ac:dyDescent="0.3"/>
    <row r="34" spans="1:3" ht="12" customHeight="1" x14ac:dyDescent="0.3"/>
    <row r="35" spans="1:3" ht="12" customHeight="1" x14ac:dyDescent="0.3"/>
    <row r="36" spans="1:3" ht="12" customHeight="1" x14ac:dyDescent="0.3"/>
    <row r="37" spans="1:3" ht="12" customHeight="1" x14ac:dyDescent="0.3"/>
    <row r="38" spans="1:3" ht="12" customHeight="1" x14ac:dyDescent="0.3"/>
    <row r="39" spans="1:3" ht="12" customHeight="1" x14ac:dyDescent="0.3"/>
    <row r="40" spans="1:3" ht="12" customHeight="1" x14ac:dyDescent="0.3"/>
    <row r="41" spans="1:3" ht="12" customHeight="1" x14ac:dyDescent="0.3"/>
    <row r="42" spans="1:3" ht="12" customHeight="1" x14ac:dyDescent="0.3"/>
    <row r="43" spans="1:3" ht="12" customHeight="1" x14ac:dyDescent="0.3">
      <c r="B43" t="s">
        <v>10</v>
      </c>
      <c r="C43" t="s">
        <v>15</v>
      </c>
    </row>
    <row r="44" spans="1:3" x14ac:dyDescent="0.3">
      <c r="A44">
        <v>6.8</v>
      </c>
      <c r="B44">
        <f>+A44/3600</f>
        <v>1.8888888888888887E-3</v>
      </c>
      <c r="C44">
        <v>0.2</v>
      </c>
    </row>
    <row r="45" spans="1:3" x14ac:dyDescent="0.3">
      <c r="A45">
        <v>10</v>
      </c>
      <c r="B45">
        <f>+A45/3600</f>
        <v>2.7777777777777779E-3</v>
      </c>
      <c r="C45">
        <v>0.24</v>
      </c>
    </row>
    <row r="48" spans="1:3" x14ac:dyDescent="0.3">
      <c r="A48">
        <v>2</v>
      </c>
      <c r="B48">
        <f>+A48/3600</f>
        <v>5.5555555555555556E-4</v>
      </c>
      <c r="C48">
        <v>7.4999999999999997E-2</v>
      </c>
    </row>
    <row r="49" spans="1:3" x14ac:dyDescent="0.3">
      <c r="A49">
        <v>8</v>
      </c>
      <c r="B49">
        <f>+A49/3600</f>
        <v>2.2222222222222222E-3</v>
      </c>
      <c r="C49">
        <v>0.123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37905-EBE6-4A94-8194-153EADA89C15}">
  <dimension ref="C4:Q20"/>
  <sheetViews>
    <sheetView workbookViewId="0">
      <selection activeCell="J5" sqref="J5"/>
    </sheetView>
  </sheetViews>
  <sheetFormatPr defaultRowHeight="14.4" x14ac:dyDescent="0.3"/>
  <cols>
    <col min="6" max="6" width="11" bestFit="1" customWidth="1"/>
    <col min="8" max="8" width="17.5546875" bestFit="1" customWidth="1"/>
    <col min="9" max="9" width="11" bestFit="1" customWidth="1"/>
    <col min="11" max="12" width="12" bestFit="1" customWidth="1"/>
    <col min="13" max="13" width="12.5546875" customWidth="1"/>
    <col min="14" max="14" width="11.33203125" customWidth="1"/>
  </cols>
  <sheetData>
    <row r="4" spans="3:17" x14ac:dyDescent="0.3">
      <c r="C4" t="s">
        <v>38</v>
      </c>
      <c r="D4" t="s">
        <v>39</v>
      </c>
      <c r="E4" t="s">
        <v>40</v>
      </c>
      <c r="F4" t="s">
        <v>41</v>
      </c>
      <c r="G4" t="s">
        <v>42</v>
      </c>
      <c r="H4" t="s">
        <v>43</v>
      </c>
      <c r="O4" t="s">
        <v>44</v>
      </c>
      <c r="P4" t="s">
        <v>45</v>
      </c>
      <c r="Q4" t="s">
        <v>46</v>
      </c>
    </row>
    <row r="5" spans="3:17" x14ac:dyDescent="0.3">
      <c r="C5" t="s">
        <v>47</v>
      </c>
      <c r="D5" s="5">
        <v>20000</v>
      </c>
      <c r="E5">
        <v>971.89200000000005</v>
      </c>
      <c r="F5">
        <v>4.125</v>
      </c>
      <c r="G5" s="5">
        <f>+F5/(SQRT(E5*D5))</f>
        <v>9.3562097936692411E-4</v>
      </c>
      <c r="H5">
        <f>+G5/(0.000027778)</f>
        <v>33.682085800522863</v>
      </c>
      <c r="O5" t="s">
        <v>48</v>
      </c>
      <c r="P5">
        <v>80</v>
      </c>
      <c r="Q5">
        <v>3</v>
      </c>
    </row>
    <row r="6" spans="3:17" x14ac:dyDescent="0.3">
      <c r="C6" t="s">
        <v>49</v>
      </c>
      <c r="D6" s="5">
        <v>20000</v>
      </c>
      <c r="E6">
        <v>999.14700000000005</v>
      </c>
      <c r="F6">
        <v>8.977481234361969</v>
      </c>
      <c r="G6" s="5">
        <f>+F6/(SQRT(E6*D6))</f>
        <v>2.0082825459155425E-3</v>
      </c>
      <c r="H6">
        <f>+G6/(0.000027778)</f>
        <v>72.297593272213348</v>
      </c>
    </row>
    <row r="11" spans="3:17" x14ac:dyDescent="0.3">
      <c r="C11" t="s">
        <v>44</v>
      </c>
      <c r="E11" t="s">
        <v>40</v>
      </c>
      <c r="F11" t="s">
        <v>50</v>
      </c>
      <c r="G11" t="s">
        <v>29</v>
      </c>
      <c r="H11" t="s">
        <v>51</v>
      </c>
      <c r="I11" t="s">
        <v>52</v>
      </c>
      <c r="J11" t="s">
        <v>53</v>
      </c>
      <c r="K11" t="s">
        <v>54</v>
      </c>
      <c r="L11" t="s">
        <v>55</v>
      </c>
      <c r="M11" t="s">
        <v>56</v>
      </c>
      <c r="N11" t="s">
        <v>57</v>
      </c>
    </row>
    <row r="12" spans="3:17" x14ac:dyDescent="0.3">
      <c r="C12" t="s">
        <v>48</v>
      </c>
      <c r="E12">
        <v>971.89200000000005</v>
      </c>
      <c r="F12">
        <v>9.81</v>
      </c>
      <c r="G12">
        <v>10.875</v>
      </c>
      <c r="H12">
        <f>+G12*E12*F12</f>
        <v>103685.08315500001</v>
      </c>
      <c r="I12">
        <f>+H12/100000</f>
        <v>1.0368508315500002</v>
      </c>
      <c r="J12">
        <v>0.6</v>
      </c>
      <c r="K12" s="5">
        <f>749</f>
        <v>749</v>
      </c>
      <c r="L12">
        <f>+K12*J12/H12</f>
        <v>4.3342782425914326E-3</v>
      </c>
      <c r="M12">
        <f>+L12*3600</f>
        <v>15.603401673329158</v>
      </c>
      <c r="N12">
        <f>+L12*E12</f>
        <v>4.2124503497486732</v>
      </c>
    </row>
    <row r="13" spans="3:17" x14ac:dyDescent="0.3">
      <c r="C13" t="s">
        <v>49</v>
      </c>
      <c r="E13">
        <v>999.14700000000005</v>
      </c>
      <c r="F13">
        <v>9.81</v>
      </c>
      <c r="G13">
        <v>27.5</v>
      </c>
      <c r="H13">
        <f>+G13*E13*F13</f>
        <v>269544.88192499999</v>
      </c>
      <c r="I13">
        <f>+H13/100000</f>
        <v>2.6954488192500001</v>
      </c>
      <c r="J13">
        <v>0.69</v>
      </c>
      <c r="K13">
        <f>3.51*1000</f>
        <v>3510</v>
      </c>
      <c r="L13">
        <f>+K13*J13/H13</f>
        <v>8.9851455635276568E-3</v>
      </c>
      <c r="M13">
        <f>+L13*3600</f>
        <v>32.346524028699562</v>
      </c>
      <c r="N13">
        <f>+L13*E13</f>
        <v>8.977481234361969</v>
      </c>
    </row>
    <row r="19" spans="4:11" x14ac:dyDescent="0.3">
      <c r="D19" t="s">
        <v>53</v>
      </c>
      <c r="F19" t="s">
        <v>55</v>
      </c>
      <c r="G19" t="s">
        <v>58</v>
      </c>
      <c r="H19" t="s">
        <v>59</v>
      </c>
      <c r="I19" t="s">
        <v>60</v>
      </c>
      <c r="J19" t="s">
        <v>50</v>
      </c>
      <c r="K19" t="s">
        <v>61</v>
      </c>
    </row>
    <row r="20" spans="4:11" x14ac:dyDescent="0.3">
      <c r="D20">
        <v>0.6</v>
      </c>
      <c r="F20">
        <f>15/3600</f>
        <v>4.1666666666666666E-3</v>
      </c>
      <c r="G20">
        <v>10.875</v>
      </c>
      <c r="H20">
        <f>+K12*D20/F20</f>
        <v>107856</v>
      </c>
      <c r="I20">
        <f>+H20/100000</f>
        <v>1.07856</v>
      </c>
      <c r="J20">
        <v>9.81</v>
      </c>
      <c r="K20">
        <f>+H20/(G20*J20)</f>
        <v>1010.9880839396815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3B434-8D92-4A4A-BE15-C3F8356D4B9D}">
  <dimension ref="A3:A146"/>
  <sheetViews>
    <sheetView topLeftCell="A40" zoomScale="85" zoomScaleNormal="85" workbookViewId="0">
      <selection activeCell="E40" sqref="E40"/>
    </sheetView>
  </sheetViews>
  <sheetFormatPr defaultRowHeight="14.4" x14ac:dyDescent="0.3"/>
  <cols>
    <col min="11" max="101" width="1.33203125" customWidth="1"/>
  </cols>
  <sheetData>
    <row r="3" ht="12.75" customHeight="1" x14ac:dyDescent="0.3"/>
    <row r="4" ht="6" customHeight="1" x14ac:dyDescent="0.3"/>
    <row r="5" ht="6" customHeight="1" x14ac:dyDescent="0.3"/>
    <row r="6" ht="6" customHeight="1" x14ac:dyDescent="0.3"/>
    <row r="7" ht="6" customHeight="1" x14ac:dyDescent="0.3"/>
    <row r="8" ht="6" customHeight="1" x14ac:dyDescent="0.3"/>
    <row r="9" ht="6" customHeight="1" x14ac:dyDescent="0.3"/>
    <row r="10" ht="6" customHeight="1" x14ac:dyDescent="0.3"/>
    <row r="11" ht="6" customHeight="1" x14ac:dyDescent="0.3"/>
    <row r="12" ht="6" customHeight="1" x14ac:dyDescent="0.3"/>
    <row r="13" ht="6" customHeight="1" x14ac:dyDescent="0.3"/>
    <row r="14" ht="6" customHeight="1" x14ac:dyDescent="0.3"/>
    <row r="15" ht="6" customHeight="1" x14ac:dyDescent="0.3"/>
    <row r="16" ht="6" customHeight="1" x14ac:dyDescent="0.3"/>
    <row r="17" ht="6" customHeight="1" x14ac:dyDescent="0.3"/>
    <row r="18" ht="6" customHeight="1" x14ac:dyDescent="0.3"/>
    <row r="19" ht="6" customHeight="1" x14ac:dyDescent="0.3"/>
    <row r="20" ht="6" customHeight="1" x14ac:dyDescent="0.3"/>
    <row r="21" ht="6" customHeight="1" x14ac:dyDescent="0.3"/>
    <row r="22" ht="6" customHeight="1" x14ac:dyDescent="0.3"/>
    <row r="23" ht="6" customHeight="1" x14ac:dyDescent="0.3"/>
    <row r="24" ht="6" customHeight="1" x14ac:dyDescent="0.3"/>
    <row r="25" ht="6" customHeight="1" x14ac:dyDescent="0.3"/>
    <row r="26" ht="6" customHeight="1" x14ac:dyDescent="0.3"/>
    <row r="27" ht="6" customHeight="1" x14ac:dyDescent="0.3"/>
    <row r="28" ht="6" customHeight="1" x14ac:dyDescent="0.3"/>
    <row r="29" ht="6" customHeight="1" x14ac:dyDescent="0.3"/>
    <row r="30" ht="6" customHeight="1" x14ac:dyDescent="0.3"/>
    <row r="31" ht="6" customHeight="1" x14ac:dyDescent="0.3"/>
    <row r="32" ht="6" customHeight="1" x14ac:dyDescent="0.3"/>
    <row r="33" ht="6" customHeight="1" x14ac:dyDescent="0.3"/>
    <row r="34" ht="6" customHeight="1" x14ac:dyDescent="0.3"/>
    <row r="35" ht="6" customHeight="1" x14ac:dyDescent="0.3"/>
    <row r="36" ht="6" customHeight="1" x14ac:dyDescent="0.3"/>
    <row r="37" ht="6" customHeight="1" x14ac:dyDescent="0.3"/>
    <row r="38" ht="6" customHeight="1" x14ac:dyDescent="0.3"/>
    <row r="39" ht="6" customHeight="1" x14ac:dyDescent="0.3"/>
    <row r="40" ht="6" customHeight="1" x14ac:dyDescent="0.3"/>
    <row r="41" ht="6" customHeight="1" x14ac:dyDescent="0.3"/>
    <row r="42" ht="6" customHeight="1" x14ac:dyDescent="0.3"/>
    <row r="43" ht="6" customHeight="1" x14ac:dyDescent="0.3"/>
    <row r="44" ht="6" customHeight="1" x14ac:dyDescent="0.3"/>
    <row r="45" ht="6" customHeight="1" x14ac:dyDescent="0.3"/>
    <row r="46" ht="6" customHeight="1" x14ac:dyDescent="0.3"/>
    <row r="47" ht="6" customHeight="1" x14ac:dyDescent="0.3"/>
    <row r="48" ht="6" customHeight="1" x14ac:dyDescent="0.3"/>
    <row r="49" ht="6" customHeight="1" x14ac:dyDescent="0.3"/>
    <row r="50" ht="6" customHeight="1" x14ac:dyDescent="0.3"/>
    <row r="51" ht="6" customHeight="1" x14ac:dyDescent="0.3"/>
    <row r="52" ht="6" customHeight="1" x14ac:dyDescent="0.3"/>
    <row r="53" ht="6" customHeight="1" x14ac:dyDescent="0.3"/>
    <row r="54" ht="6" customHeight="1" x14ac:dyDescent="0.3"/>
    <row r="55" ht="6" customHeight="1" x14ac:dyDescent="0.3"/>
    <row r="56" ht="6" customHeight="1" x14ac:dyDescent="0.3"/>
    <row r="57" ht="6" customHeight="1" x14ac:dyDescent="0.3"/>
    <row r="58" ht="6" customHeight="1" x14ac:dyDescent="0.3"/>
    <row r="59" ht="6" customHeight="1" x14ac:dyDescent="0.3"/>
    <row r="60" ht="6" customHeight="1" x14ac:dyDescent="0.3"/>
    <row r="61" ht="6" customHeight="1" x14ac:dyDescent="0.3"/>
    <row r="62" ht="6" customHeight="1" x14ac:dyDescent="0.3"/>
    <row r="63" ht="6" customHeight="1" x14ac:dyDescent="0.3"/>
    <row r="64" ht="6" customHeight="1" x14ac:dyDescent="0.3"/>
    <row r="65" ht="6" customHeight="1" x14ac:dyDescent="0.3"/>
    <row r="66" ht="6" customHeight="1" x14ac:dyDescent="0.3"/>
    <row r="67" ht="6" customHeight="1" x14ac:dyDescent="0.3"/>
    <row r="68" ht="6" customHeight="1" x14ac:dyDescent="0.3"/>
    <row r="69" ht="6" customHeight="1" x14ac:dyDescent="0.3"/>
    <row r="70" ht="6" customHeight="1" x14ac:dyDescent="0.3"/>
    <row r="71" ht="6" customHeight="1" x14ac:dyDescent="0.3"/>
    <row r="72" ht="6" customHeight="1" x14ac:dyDescent="0.3"/>
    <row r="73" ht="6" customHeight="1" x14ac:dyDescent="0.3"/>
    <row r="74" ht="6" customHeight="1" x14ac:dyDescent="0.3"/>
    <row r="75" ht="6" customHeight="1" x14ac:dyDescent="0.3"/>
    <row r="76" ht="6" customHeight="1" x14ac:dyDescent="0.3"/>
    <row r="77" ht="6" customHeight="1" x14ac:dyDescent="0.3"/>
    <row r="78" ht="6" customHeight="1" x14ac:dyDescent="0.3"/>
    <row r="79" ht="6" customHeight="1" x14ac:dyDescent="0.3"/>
    <row r="80" ht="6" customHeight="1" x14ac:dyDescent="0.3"/>
    <row r="81" ht="6" customHeight="1" x14ac:dyDescent="0.3"/>
    <row r="82" ht="6" customHeight="1" x14ac:dyDescent="0.3"/>
    <row r="83" ht="6" customHeight="1" x14ac:dyDescent="0.3"/>
    <row r="84" ht="6" customHeight="1" x14ac:dyDescent="0.3"/>
    <row r="85" ht="6" customHeight="1" x14ac:dyDescent="0.3"/>
    <row r="86" ht="6" customHeight="1" x14ac:dyDescent="0.3"/>
    <row r="87" ht="6" customHeight="1" x14ac:dyDescent="0.3"/>
    <row r="88" ht="6" customHeight="1" x14ac:dyDescent="0.3"/>
    <row r="89" ht="6" customHeight="1" x14ac:dyDescent="0.3"/>
    <row r="90" ht="6" customHeight="1" x14ac:dyDescent="0.3"/>
    <row r="91" ht="6" customHeight="1" x14ac:dyDescent="0.3"/>
    <row r="92" ht="6" customHeight="1" x14ac:dyDescent="0.3"/>
    <row r="93" ht="6" customHeight="1" x14ac:dyDescent="0.3"/>
    <row r="94" ht="6" customHeight="1" x14ac:dyDescent="0.3"/>
    <row r="95" ht="6" customHeight="1" x14ac:dyDescent="0.3"/>
    <row r="96" ht="6" customHeight="1" x14ac:dyDescent="0.3"/>
    <row r="97" ht="6" customHeight="1" x14ac:dyDescent="0.3"/>
    <row r="98" ht="6" customHeight="1" x14ac:dyDescent="0.3"/>
    <row r="99" ht="6" customHeight="1" x14ac:dyDescent="0.3"/>
    <row r="100" ht="6" customHeight="1" x14ac:dyDescent="0.3"/>
    <row r="101" ht="6" customHeight="1" x14ac:dyDescent="0.3"/>
    <row r="104" ht="6" customHeight="1" x14ac:dyDescent="0.3"/>
    <row r="105" ht="6" customHeight="1" x14ac:dyDescent="0.3"/>
    <row r="106" ht="6" customHeight="1" x14ac:dyDescent="0.3"/>
    <row r="107" ht="6" customHeight="1" x14ac:dyDescent="0.3"/>
    <row r="108" ht="6" customHeight="1" x14ac:dyDescent="0.3"/>
    <row r="109" ht="6" customHeight="1" x14ac:dyDescent="0.3"/>
    <row r="110" ht="6" customHeight="1" x14ac:dyDescent="0.3"/>
    <row r="111" ht="6" customHeight="1" x14ac:dyDescent="0.3"/>
    <row r="112" ht="6" customHeight="1" x14ac:dyDescent="0.3"/>
    <row r="113" ht="6" customHeight="1" x14ac:dyDescent="0.3"/>
    <row r="114" ht="6" customHeight="1" x14ac:dyDescent="0.3"/>
    <row r="115" ht="6" customHeight="1" x14ac:dyDescent="0.3"/>
    <row r="116" ht="6" customHeight="1" x14ac:dyDescent="0.3"/>
    <row r="117" ht="6" customHeight="1" x14ac:dyDescent="0.3"/>
    <row r="118" ht="6" customHeight="1" x14ac:dyDescent="0.3"/>
    <row r="119" ht="6" customHeight="1" x14ac:dyDescent="0.3"/>
    <row r="120" ht="6" customHeight="1" x14ac:dyDescent="0.3"/>
    <row r="121" ht="6" customHeight="1" x14ac:dyDescent="0.3"/>
    <row r="122" ht="6" customHeight="1" x14ac:dyDescent="0.3"/>
    <row r="123" ht="6" customHeight="1" x14ac:dyDescent="0.3"/>
    <row r="124" ht="6" customHeight="1" x14ac:dyDescent="0.3"/>
    <row r="125" ht="6" customHeight="1" x14ac:dyDescent="0.3"/>
    <row r="126" ht="6" customHeight="1" x14ac:dyDescent="0.3"/>
    <row r="127" ht="6" customHeight="1" x14ac:dyDescent="0.3"/>
    <row r="128" ht="6" customHeight="1" x14ac:dyDescent="0.3"/>
    <row r="129" ht="6" customHeight="1" x14ac:dyDescent="0.3"/>
    <row r="130" ht="6" customHeight="1" x14ac:dyDescent="0.3"/>
    <row r="131" ht="6" customHeight="1" x14ac:dyDescent="0.3"/>
    <row r="132" ht="6" customHeight="1" x14ac:dyDescent="0.3"/>
    <row r="133" ht="6" customHeight="1" x14ac:dyDescent="0.3"/>
    <row r="134" ht="6" customHeight="1" x14ac:dyDescent="0.3"/>
    <row r="135" ht="6" customHeight="1" x14ac:dyDescent="0.3"/>
    <row r="136" ht="6" customHeight="1" x14ac:dyDescent="0.3"/>
    <row r="137" ht="6" customHeight="1" x14ac:dyDescent="0.3"/>
    <row r="138" ht="6" customHeight="1" x14ac:dyDescent="0.3"/>
    <row r="139" ht="6" customHeight="1" x14ac:dyDescent="0.3"/>
    <row r="140" ht="6" customHeight="1" x14ac:dyDescent="0.3"/>
    <row r="141" ht="6" customHeight="1" x14ac:dyDescent="0.3"/>
    <row r="142" ht="6" customHeight="1" x14ac:dyDescent="0.3"/>
    <row r="143" ht="6" customHeight="1" x14ac:dyDescent="0.3"/>
    <row r="144" ht="6" customHeight="1" x14ac:dyDescent="0.3"/>
    <row r="145" ht="6" customHeight="1" x14ac:dyDescent="0.3"/>
    <row r="146" ht="6" customHeight="1" x14ac:dyDescent="0.3"/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214DB-414B-4B5E-A7D9-AE3F9732A85B}">
  <dimension ref="A1:K59"/>
  <sheetViews>
    <sheetView topLeftCell="A28" zoomScaleNormal="100" workbookViewId="0">
      <selection activeCell="E40" sqref="E40:E47"/>
    </sheetView>
  </sheetViews>
  <sheetFormatPr defaultRowHeight="14.4" x14ac:dyDescent="0.3"/>
  <cols>
    <col min="5" max="5" width="11" bestFit="1" customWidth="1"/>
    <col min="7" max="7" width="11" bestFit="1" customWidth="1"/>
    <col min="8" max="8" width="12" bestFit="1" customWidth="1"/>
    <col min="9" max="9" width="12.6640625" bestFit="1" customWidth="1"/>
    <col min="10" max="10" width="11" bestFit="1" customWidth="1"/>
  </cols>
  <sheetData>
    <row r="1" spans="1:7" x14ac:dyDescent="0.3">
      <c r="A1">
        <f>7.5-5</f>
        <v>2.5</v>
      </c>
      <c r="B1" s="3" t="s">
        <v>18</v>
      </c>
    </row>
    <row r="2" spans="1:7" x14ac:dyDescent="0.3">
      <c r="A2">
        <f>+A1/10</f>
        <v>0.25</v>
      </c>
      <c r="B2" s="1">
        <f>0.972*1000</f>
        <v>972</v>
      </c>
    </row>
    <row r="4" spans="1:7" x14ac:dyDescent="0.3">
      <c r="C4" s="1" t="s">
        <v>20</v>
      </c>
    </row>
    <row r="5" spans="1:7" x14ac:dyDescent="0.3">
      <c r="C5" s="1" t="s">
        <v>2</v>
      </c>
      <c r="D5" s="1" t="s">
        <v>19</v>
      </c>
      <c r="E5" s="1" t="s">
        <v>3</v>
      </c>
      <c r="F5" s="1" t="s">
        <v>11</v>
      </c>
    </row>
    <row r="6" spans="1:7" x14ac:dyDescent="0.3">
      <c r="B6">
        <v>1</v>
      </c>
      <c r="C6">
        <f>5+A2*2</f>
        <v>5.5</v>
      </c>
      <c r="D6">
        <v>38</v>
      </c>
      <c r="E6">
        <f>+C6/3600</f>
        <v>1.5277777777777779E-3</v>
      </c>
      <c r="F6">
        <f>+D6/100</f>
        <v>0.38</v>
      </c>
      <c r="G6">
        <f>+ 0.115608 + F6*(192.029042 + F6*(-8683.483079 + -2241192.51931*F6))</f>
        <v>-124159.52423222593</v>
      </c>
    </row>
    <row r="7" spans="1:7" x14ac:dyDescent="0.3">
      <c r="B7">
        <v>2</v>
      </c>
      <c r="C7">
        <v>7.5</v>
      </c>
      <c r="D7">
        <v>46</v>
      </c>
      <c r="E7">
        <f t="shared" ref="E7:E13" si="0">+C7/3600</f>
        <v>2.0833333333333333E-3</v>
      </c>
      <c r="F7">
        <f t="shared" ref="F7:F13" si="1">+D7/100</f>
        <v>0.46</v>
      </c>
    </row>
    <row r="8" spans="1:7" x14ac:dyDescent="0.3">
      <c r="B8">
        <v>3</v>
      </c>
      <c r="C8">
        <v>10</v>
      </c>
      <c r="D8">
        <v>53</v>
      </c>
      <c r="E8">
        <f t="shared" si="0"/>
        <v>2.7777777777777779E-3</v>
      </c>
      <c r="F8">
        <f t="shared" si="1"/>
        <v>0.53</v>
      </c>
    </row>
    <row r="9" spans="1:7" x14ac:dyDescent="0.3">
      <c r="B9">
        <v>4</v>
      </c>
      <c r="C9">
        <v>12.5</v>
      </c>
      <c r="D9">
        <v>58.9</v>
      </c>
      <c r="E9">
        <f t="shared" si="0"/>
        <v>3.472222222222222E-3</v>
      </c>
      <c r="F9">
        <f t="shared" si="1"/>
        <v>0.58899999999999997</v>
      </c>
    </row>
    <row r="10" spans="1:7" x14ac:dyDescent="0.3">
      <c r="B10">
        <v>5</v>
      </c>
      <c r="C10">
        <v>15</v>
      </c>
      <c r="D10">
        <v>59.95</v>
      </c>
      <c r="E10">
        <f t="shared" si="0"/>
        <v>4.1666666666666666E-3</v>
      </c>
      <c r="F10">
        <f t="shared" si="1"/>
        <v>0.59950000000000003</v>
      </c>
    </row>
    <row r="11" spans="1:7" x14ac:dyDescent="0.3">
      <c r="B11">
        <v>6</v>
      </c>
      <c r="C11">
        <v>17.5</v>
      </c>
      <c r="D11">
        <v>58.5</v>
      </c>
      <c r="E11">
        <f t="shared" si="0"/>
        <v>4.8611111111111112E-3</v>
      </c>
      <c r="F11">
        <f t="shared" si="1"/>
        <v>0.58499999999999996</v>
      </c>
    </row>
    <row r="12" spans="1:7" x14ac:dyDescent="0.3">
      <c r="B12">
        <v>7</v>
      </c>
      <c r="C12">
        <v>20</v>
      </c>
      <c r="D12">
        <v>53.7</v>
      </c>
      <c r="E12">
        <f t="shared" si="0"/>
        <v>5.5555555555555558E-3</v>
      </c>
      <c r="F12">
        <f t="shared" si="1"/>
        <v>0.53700000000000003</v>
      </c>
    </row>
    <row r="13" spans="1:7" x14ac:dyDescent="0.3">
      <c r="B13">
        <v>8</v>
      </c>
      <c r="C13">
        <f>20+A2*3</f>
        <v>20.75</v>
      </c>
      <c r="D13">
        <v>50</v>
      </c>
      <c r="E13">
        <f t="shared" si="0"/>
        <v>5.7638888888888887E-3</v>
      </c>
      <c r="F13">
        <f t="shared" si="1"/>
        <v>0.5</v>
      </c>
    </row>
    <row r="21" spans="1:11" x14ac:dyDescent="0.3">
      <c r="A21">
        <f>0.75-0.5</f>
        <v>0.25</v>
      </c>
      <c r="I21" t="s">
        <v>32</v>
      </c>
    </row>
    <row r="22" spans="1:11" x14ac:dyDescent="0.3">
      <c r="A22">
        <f>+A21/10</f>
        <v>2.5000000000000001E-2</v>
      </c>
      <c r="H22">
        <f>+G23/H23</f>
        <v>1</v>
      </c>
      <c r="I22">
        <f>+H23/I23</f>
        <v>1.25</v>
      </c>
      <c r="J22">
        <f>+H23/J23</f>
        <v>1.6666666666666667</v>
      </c>
    </row>
    <row r="23" spans="1:11" x14ac:dyDescent="0.3">
      <c r="C23" s="1" t="s">
        <v>16</v>
      </c>
      <c r="G23">
        <v>50</v>
      </c>
      <c r="H23">
        <v>50</v>
      </c>
      <c r="I23">
        <v>40</v>
      </c>
      <c r="J23">
        <v>30</v>
      </c>
    </row>
    <row r="24" spans="1:11" x14ac:dyDescent="0.3">
      <c r="C24" s="1" t="s">
        <v>2</v>
      </c>
      <c r="D24" s="1" t="s">
        <v>17</v>
      </c>
      <c r="E24" s="1" t="s">
        <v>3</v>
      </c>
      <c r="F24" s="1" t="s">
        <v>15</v>
      </c>
      <c r="G24" s="1" t="s">
        <v>30</v>
      </c>
      <c r="H24" s="1" t="s">
        <v>31</v>
      </c>
      <c r="I24" s="1" t="s">
        <v>31</v>
      </c>
      <c r="J24" s="1" t="s">
        <v>31</v>
      </c>
    </row>
    <row r="25" spans="1:11" x14ac:dyDescent="0.3">
      <c r="B25">
        <v>1</v>
      </c>
      <c r="C25">
        <f>5+$A$2*2</f>
        <v>5.5</v>
      </c>
      <c r="D25">
        <f>0.5+A22*0.85</f>
        <v>0.52124999999999999</v>
      </c>
      <c r="E25">
        <f>+C25</f>
        <v>5.5</v>
      </c>
      <c r="F25">
        <f>+D25*1000</f>
        <v>521.25</v>
      </c>
      <c r="G25">
        <f>431.391174+71019.165026*E25</f>
        <v>391036.798817</v>
      </c>
      <c r="H25">
        <f>+(1/H$22)^3*(338.084416+($E25*H$22)*(130887.059346 - ($E25*H$22)*8074937.668508))</f>
        <v>-243546647.56154802</v>
      </c>
      <c r="I25">
        <f>+(1/I$22)^3*(338.084416+($E25*I$22)*(130887.059346 - ($E25*I$22)*8074937.668508))</f>
        <v>-194952596.02977473</v>
      </c>
      <c r="J25">
        <f>+(1/J$22)^3*(338.084416+($E25*J$22)*(130887.059346 - ($E25*J$22)*8074937.668508))</f>
        <v>-146300889.27968127</v>
      </c>
    </row>
    <row r="26" spans="1:11" x14ac:dyDescent="0.3">
      <c r="B26">
        <v>2</v>
      </c>
      <c r="C26">
        <v>7.5</v>
      </c>
      <c r="D26">
        <f>0.5+3*A22</f>
        <v>0.57499999999999996</v>
      </c>
      <c r="E26">
        <f t="shared" ref="E26:E32" si="2">+C26</f>
        <v>7.5</v>
      </c>
      <c r="F26">
        <f t="shared" ref="F26:F32" si="3">+D26*1000</f>
        <v>575</v>
      </c>
      <c r="G26">
        <f t="shared" ref="G26:G32" si="4">431.391174+71019.165026*E26</f>
        <v>533075.12886900001</v>
      </c>
      <c r="H26">
        <f t="shared" ref="H26:H32" si="5">+(1/H$22)^3*(338.084416+($E26*H$22)*(130887.059346 - ($E26*H$22)*8074937.668508))</f>
        <v>-453233252.82406408</v>
      </c>
      <c r="I26">
        <f t="shared" ref="I26:J32" si="6">+(1/I$22)^3*(338.084416+($E26*I$22)*(130887.059346 - ($E26*I$22)*8074937.668508))</f>
        <v>-362743764.09877831</v>
      </c>
      <c r="J26">
        <f t="shared" si="6"/>
        <v>-272175678.22567689</v>
      </c>
    </row>
    <row r="27" spans="1:11" x14ac:dyDescent="0.3">
      <c r="B27">
        <v>3</v>
      </c>
      <c r="C27">
        <v>10</v>
      </c>
      <c r="D27">
        <f>0.5+(5.4*A22)</f>
        <v>0.63500000000000001</v>
      </c>
      <c r="E27">
        <f t="shared" si="2"/>
        <v>10</v>
      </c>
      <c r="F27">
        <f t="shared" si="3"/>
        <v>635</v>
      </c>
      <c r="G27">
        <f t="shared" si="4"/>
        <v>710623.04143400001</v>
      </c>
      <c r="H27">
        <f t="shared" si="5"/>
        <v>-806184558.1729238</v>
      </c>
      <c r="I27">
        <f t="shared" si="6"/>
        <v>-645157163.2016046</v>
      </c>
      <c r="J27">
        <f t="shared" si="6"/>
        <v>-484024993.67060065</v>
      </c>
      <c r="K27">
        <f>5.54*A22</f>
        <v>0.13850000000000001</v>
      </c>
    </row>
    <row r="28" spans="1:11" x14ac:dyDescent="0.3">
      <c r="B28">
        <v>4</v>
      </c>
      <c r="C28">
        <v>12.5</v>
      </c>
      <c r="D28">
        <f>0.5+7.8*A22</f>
        <v>0.69500000000000006</v>
      </c>
      <c r="E28">
        <f t="shared" si="2"/>
        <v>12.5</v>
      </c>
      <c r="F28">
        <f t="shared" si="3"/>
        <v>695.00000000000011</v>
      </c>
      <c r="G28">
        <f t="shared" si="4"/>
        <v>888170.95399900002</v>
      </c>
      <c r="H28">
        <f t="shared" si="5"/>
        <v>-1260072584.3781338</v>
      </c>
      <c r="I28">
        <f t="shared" si="6"/>
        <v>-1008319938.9895113</v>
      </c>
      <c r="J28">
        <f t="shared" si="6"/>
        <v>-756436341.62933445</v>
      </c>
      <c r="K28">
        <f>5.78*A22</f>
        <v>0.14450000000000002</v>
      </c>
    </row>
    <row r="29" spans="1:11" x14ac:dyDescent="0.3">
      <c r="B29">
        <v>5</v>
      </c>
      <c r="C29">
        <v>15</v>
      </c>
      <c r="D29">
        <v>0.749</v>
      </c>
      <c r="E29">
        <f t="shared" si="2"/>
        <v>15</v>
      </c>
      <c r="F29">
        <f t="shared" si="3"/>
        <v>749</v>
      </c>
      <c r="G29">
        <f t="shared" si="4"/>
        <v>1065718.866564</v>
      </c>
      <c r="H29">
        <f t="shared" si="5"/>
        <v>-1814897331.4396939</v>
      </c>
      <c r="I29">
        <f t="shared" si="6"/>
        <v>-1452232091.4624979</v>
      </c>
      <c r="J29">
        <f t="shared" si="6"/>
        <v>-1089409722.1018777</v>
      </c>
    </row>
    <row r="30" spans="1:11" x14ac:dyDescent="0.3">
      <c r="B30">
        <v>6</v>
      </c>
      <c r="C30">
        <v>17.5</v>
      </c>
      <c r="D30">
        <f>0.75+1.25*A22</f>
        <v>0.78125</v>
      </c>
      <c r="E30">
        <f t="shared" si="2"/>
        <v>17.5</v>
      </c>
      <c r="F30">
        <f t="shared" si="3"/>
        <v>781.25</v>
      </c>
      <c r="G30">
        <f t="shared" si="4"/>
        <v>1243266.7791290001</v>
      </c>
      <c r="H30">
        <f t="shared" si="5"/>
        <v>-2470658799.3576045</v>
      </c>
      <c r="I30">
        <f t="shared" si="6"/>
        <v>-1976893620.6205645</v>
      </c>
      <c r="J30">
        <f t="shared" si="6"/>
        <v>-1482945135.0882313</v>
      </c>
    </row>
    <row r="31" spans="1:11" x14ac:dyDescent="0.3">
      <c r="B31">
        <v>7</v>
      </c>
      <c r="C31">
        <v>20</v>
      </c>
      <c r="D31">
        <f>0.75+2.7*A22</f>
        <v>0.8175</v>
      </c>
      <c r="E31">
        <f t="shared" si="2"/>
        <v>20</v>
      </c>
      <c r="F31">
        <f t="shared" si="3"/>
        <v>817.5</v>
      </c>
      <c r="G31">
        <f t="shared" si="4"/>
        <v>1420814.691694</v>
      </c>
      <c r="H31">
        <f t="shared" si="5"/>
        <v>-3227356988.1318641</v>
      </c>
      <c r="I31">
        <f t="shared" si="6"/>
        <v>-2582304526.4637108</v>
      </c>
      <c r="J31">
        <f t="shared" si="6"/>
        <v>-1937042580.5883951</v>
      </c>
    </row>
    <row r="32" spans="1:11" x14ac:dyDescent="0.3">
      <c r="B32">
        <v>8</v>
      </c>
      <c r="C32">
        <f>20+$A$2*3</f>
        <v>20.75</v>
      </c>
      <c r="D32">
        <f>0.75+2.9*A22</f>
        <v>0.82250000000000001</v>
      </c>
      <c r="E32">
        <f t="shared" si="2"/>
        <v>20.75</v>
      </c>
      <c r="F32">
        <f t="shared" si="3"/>
        <v>822.5</v>
      </c>
      <c r="G32">
        <f t="shared" si="4"/>
        <v>1474079.0654635001</v>
      </c>
      <c r="H32">
        <f t="shared" si="5"/>
        <v>-3474049105.3311305</v>
      </c>
      <c r="I32">
        <f t="shared" si="6"/>
        <v>-2779673926.6702452</v>
      </c>
      <c r="J32">
        <f t="shared" si="6"/>
        <v>-2085081410.5786371</v>
      </c>
    </row>
    <row r="35" spans="1:10" x14ac:dyDescent="0.3">
      <c r="G35" t="s">
        <v>22</v>
      </c>
    </row>
    <row r="37" spans="1:10" x14ac:dyDescent="0.3">
      <c r="A37">
        <v>0.25</v>
      </c>
    </row>
    <row r="38" spans="1:10" x14ac:dyDescent="0.3">
      <c r="C38" s="1" t="s">
        <v>21</v>
      </c>
      <c r="I38" t="s">
        <v>31</v>
      </c>
    </row>
    <row r="39" spans="1:10" x14ac:dyDescent="0.3">
      <c r="C39" s="1" t="s">
        <v>2</v>
      </c>
      <c r="D39" t="s">
        <v>29</v>
      </c>
      <c r="E39" s="1" t="s">
        <v>3</v>
      </c>
      <c r="F39" s="1" t="s">
        <v>25</v>
      </c>
      <c r="H39" s="1" t="s">
        <v>33</v>
      </c>
      <c r="I39" s="1" t="s">
        <v>34</v>
      </c>
      <c r="J39" s="1" t="s">
        <v>35</v>
      </c>
    </row>
    <row r="40" spans="1:10" x14ac:dyDescent="0.3">
      <c r="B40">
        <v>1</v>
      </c>
      <c r="C40">
        <f>5+$A$2*2</f>
        <v>5.5</v>
      </c>
      <c r="D40">
        <f>12.5+2*A37</f>
        <v>13</v>
      </c>
      <c r="E40">
        <f>+C40</f>
        <v>5.5</v>
      </c>
      <c r="F40">
        <f>+D40</f>
        <v>13</v>
      </c>
      <c r="H40">
        <f>12.235634  + E40*(902.88631 -300017.452735*E40)</f>
        <v>-9070549.8348947503</v>
      </c>
      <c r="I40">
        <f>+(1/I$22)^2*(12.235634+($E40*I$22)*(902.88631 - ($E40*I$22)*300017.452735))</f>
        <v>-9071547.4146639928</v>
      </c>
      <c r="J40">
        <f>+(1/J$22)^2*(12.235634+($E40*J$22)*(902.88631 - ($E40*J$22)*300017.452735))</f>
        <v>-9072544.0155825112</v>
      </c>
    </row>
    <row r="41" spans="1:10" x14ac:dyDescent="0.3">
      <c r="B41">
        <v>2</v>
      </c>
      <c r="C41">
        <v>7.5</v>
      </c>
      <c r="D41">
        <f>12.5+A37</f>
        <v>12.75</v>
      </c>
      <c r="E41">
        <f t="shared" ref="E41:E47" si="7">+C41</f>
        <v>7.5</v>
      </c>
      <c r="F41">
        <f t="shared" ref="F41:F47" si="8">+D41</f>
        <v>12.75</v>
      </c>
      <c r="H41">
        <f t="shared" ref="H41:H47" si="9">12.235634  + E41*(902.88631 -300017.452735*E41)</f>
        <v>-16869197.833384749</v>
      </c>
      <c r="I41">
        <f t="shared" ref="I41:J47" si="10">+(1/I$22)^2*(12.235634+($E41*I$22)*(902.88631 - ($E41*I$22)*300017.452735))</f>
        <v>-16870556.567677993</v>
      </c>
      <c r="J41">
        <f t="shared" si="10"/>
        <v>-16871914.323120508</v>
      </c>
    </row>
    <row r="42" spans="1:10" x14ac:dyDescent="0.3">
      <c r="B42">
        <v>3</v>
      </c>
      <c r="C42">
        <v>10</v>
      </c>
      <c r="D42">
        <f>12.5-0.7*A37</f>
        <v>12.324999999999999</v>
      </c>
      <c r="E42">
        <f t="shared" si="7"/>
        <v>10</v>
      </c>
      <c r="F42">
        <f t="shared" si="8"/>
        <v>12.324999999999999</v>
      </c>
      <c r="H42">
        <f t="shared" si="9"/>
        <v>-29992704.174766004</v>
      </c>
      <c r="I42">
        <f t="shared" si="10"/>
        <v>-29994514.352214247</v>
      </c>
      <c r="J42">
        <f t="shared" si="10"/>
        <v>-29996323.550811764</v>
      </c>
    </row>
    <row r="43" spans="1:10" x14ac:dyDescent="0.3">
      <c r="B43">
        <v>4</v>
      </c>
      <c r="C43">
        <v>12.5</v>
      </c>
      <c r="D43">
        <f>10+7*A37</f>
        <v>11.75</v>
      </c>
      <c r="E43">
        <f t="shared" si="7"/>
        <v>12.5</v>
      </c>
      <c r="F43">
        <f t="shared" si="8"/>
        <v>11.75</v>
      </c>
      <c r="H43">
        <f t="shared" si="9"/>
        <v>-46866428.675334752</v>
      </c>
      <c r="I43">
        <f t="shared" si="10"/>
        <v>-46868690.295938008</v>
      </c>
      <c r="J43">
        <f t="shared" si="10"/>
        <v>-46870950.937690519</v>
      </c>
    </row>
    <row r="44" spans="1:10" x14ac:dyDescent="0.3">
      <c r="B44">
        <v>5</v>
      </c>
      <c r="C44">
        <v>15</v>
      </c>
      <c r="D44">
        <f>10+3.5*A37</f>
        <v>10.875</v>
      </c>
      <c r="E44">
        <f t="shared" si="7"/>
        <v>15</v>
      </c>
      <c r="F44">
        <f t="shared" si="8"/>
        <v>10.875</v>
      </c>
      <c r="H44">
        <f t="shared" si="9"/>
        <v>-67490371.335090995</v>
      </c>
      <c r="I44">
        <f t="shared" si="10"/>
        <v>-67493084.398849249</v>
      </c>
      <c r="J44">
        <f t="shared" si="10"/>
        <v>-67495796.483756751</v>
      </c>
    </row>
    <row r="45" spans="1:10" x14ac:dyDescent="0.3">
      <c r="B45">
        <v>6</v>
      </c>
      <c r="C45">
        <v>17.5</v>
      </c>
      <c r="D45">
        <f>7.5+8.5*A37</f>
        <v>9.625</v>
      </c>
      <c r="E45">
        <f t="shared" si="7"/>
        <v>17.5</v>
      </c>
      <c r="F45">
        <f t="shared" si="8"/>
        <v>9.625</v>
      </c>
      <c r="H45">
        <f t="shared" si="9"/>
        <v>-91864532.154034749</v>
      </c>
      <c r="I45">
        <f t="shared" si="10"/>
        <v>-91867696.660948008</v>
      </c>
      <c r="J45">
        <f t="shared" si="10"/>
        <v>-91870860.189010516</v>
      </c>
    </row>
    <row r="46" spans="1:10" x14ac:dyDescent="0.3">
      <c r="B46">
        <v>7</v>
      </c>
      <c r="C46">
        <v>20</v>
      </c>
      <c r="D46">
        <f>7.5+1.5*A37</f>
        <v>7.875</v>
      </c>
      <c r="E46">
        <f t="shared" si="7"/>
        <v>20</v>
      </c>
      <c r="F46">
        <f t="shared" si="8"/>
        <v>7.875</v>
      </c>
      <c r="H46">
        <f t="shared" si="9"/>
        <v>-119988911.132166</v>
      </c>
      <c r="I46">
        <f t="shared" si="10"/>
        <v>-119992527.08223425</v>
      </c>
      <c r="J46">
        <f t="shared" si="10"/>
        <v>-119996142.05345175</v>
      </c>
    </row>
    <row r="47" spans="1:10" x14ac:dyDescent="0.3">
      <c r="B47">
        <v>8</v>
      </c>
      <c r="C47">
        <f>20+$A$2*3</f>
        <v>20.75</v>
      </c>
      <c r="D47">
        <v>7.5</v>
      </c>
      <c r="E47">
        <f t="shared" si="7"/>
        <v>20.75</v>
      </c>
      <c r="F47">
        <f t="shared" si="8"/>
        <v>7.5</v>
      </c>
      <c r="H47">
        <f t="shared" si="9"/>
        <v>-129157517.36664693</v>
      </c>
      <c r="I47">
        <f t="shared" si="10"/>
        <v>-129161268.7496617</v>
      </c>
      <c r="J47">
        <f t="shared" si="10"/>
        <v>-129165019.1538257</v>
      </c>
    </row>
    <row r="49" spans="7:8" x14ac:dyDescent="0.3">
      <c r="G49" t="s">
        <v>23</v>
      </c>
    </row>
    <row r="51" spans="7:8" x14ac:dyDescent="0.3">
      <c r="G51" t="s">
        <v>24</v>
      </c>
      <c r="H51">
        <f>750*0.6/(15.25/3600)</f>
        <v>106229.5081967213</v>
      </c>
    </row>
    <row r="52" spans="7:8" x14ac:dyDescent="0.3">
      <c r="H52">
        <f>+H51/100000</f>
        <v>1.062295081967213</v>
      </c>
    </row>
    <row r="54" spans="7:8" ht="15.6" x14ac:dyDescent="0.3">
      <c r="G54" s="4" t="s">
        <v>26</v>
      </c>
    </row>
    <row r="57" spans="7:8" x14ac:dyDescent="0.3">
      <c r="G57">
        <v>106230</v>
      </c>
    </row>
    <row r="59" spans="7:8" x14ac:dyDescent="0.3">
      <c r="H59">
        <f>+G57/(1000*9.81)</f>
        <v>10.82874617737003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6FBEF-9037-4243-8715-04DCB7622EC1}">
  <dimension ref="A7:A66"/>
  <sheetViews>
    <sheetView zoomScale="85" zoomScaleNormal="85" workbookViewId="0">
      <selection activeCell="BT77" sqref="BT77"/>
    </sheetView>
  </sheetViews>
  <sheetFormatPr defaultRowHeight="14.4" x14ac:dyDescent="0.3"/>
  <cols>
    <col min="6" max="87" width="1.88671875" customWidth="1"/>
    <col min="88" max="105" width="1.6640625" customWidth="1"/>
  </cols>
  <sheetData>
    <row r="7" ht="9" customHeight="1" x14ac:dyDescent="0.3"/>
    <row r="8" ht="9" customHeight="1" x14ac:dyDescent="0.3"/>
    <row r="9" ht="9" customHeight="1" x14ac:dyDescent="0.3"/>
    <row r="10" ht="9" customHeight="1" x14ac:dyDescent="0.3"/>
    <row r="11" ht="9" customHeight="1" x14ac:dyDescent="0.3"/>
    <row r="12" ht="9" customHeight="1" x14ac:dyDescent="0.3"/>
    <row r="13" ht="9" customHeight="1" x14ac:dyDescent="0.3"/>
    <row r="14" ht="9" customHeight="1" x14ac:dyDescent="0.3"/>
    <row r="15" ht="9" customHeight="1" x14ac:dyDescent="0.3"/>
    <row r="16" ht="9" customHeight="1" x14ac:dyDescent="0.3"/>
    <row r="17" ht="9" customHeight="1" x14ac:dyDescent="0.3"/>
    <row r="18" ht="9" customHeight="1" x14ac:dyDescent="0.3"/>
    <row r="19" ht="9" customHeight="1" x14ac:dyDescent="0.3"/>
    <row r="20" ht="9" customHeight="1" x14ac:dyDescent="0.3"/>
    <row r="21" ht="9" customHeight="1" x14ac:dyDescent="0.3"/>
    <row r="22" ht="9" customHeight="1" x14ac:dyDescent="0.3"/>
    <row r="23" ht="9" customHeight="1" x14ac:dyDescent="0.3"/>
    <row r="24" ht="9" customHeight="1" x14ac:dyDescent="0.3"/>
    <row r="25" ht="9" customHeight="1" x14ac:dyDescent="0.3"/>
    <row r="26" ht="9" customHeight="1" x14ac:dyDescent="0.3"/>
    <row r="27" ht="9" customHeight="1" x14ac:dyDescent="0.3"/>
    <row r="28" ht="9" customHeight="1" x14ac:dyDescent="0.3"/>
    <row r="29" ht="9" customHeight="1" x14ac:dyDescent="0.3"/>
    <row r="30" ht="9" customHeight="1" x14ac:dyDescent="0.3"/>
    <row r="31" ht="9" customHeight="1" x14ac:dyDescent="0.3"/>
    <row r="32" ht="9" customHeight="1" x14ac:dyDescent="0.3"/>
    <row r="33" ht="9" customHeight="1" x14ac:dyDescent="0.3"/>
    <row r="34" ht="9" customHeight="1" x14ac:dyDescent="0.3"/>
    <row r="39" ht="6.75" customHeight="1" x14ac:dyDescent="0.3"/>
    <row r="40" ht="6.75" customHeight="1" x14ac:dyDescent="0.3"/>
    <row r="41" ht="6.75" customHeight="1" x14ac:dyDescent="0.3"/>
    <row r="42" ht="6.75" customHeight="1" x14ac:dyDescent="0.3"/>
    <row r="43" ht="6.75" customHeight="1" x14ac:dyDescent="0.3"/>
    <row r="44" ht="6.75" customHeight="1" x14ac:dyDescent="0.3"/>
    <row r="45" ht="6.75" customHeight="1" x14ac:dyDescent="0.3"/>
    <row r="46" ht="6.75" customHeight="1" x14ac:dyDescent="0.3"/>
    <row r="47" ht="6.75" customHeight="1" x14ac:dyDescent="0.3"/>
    <row r="48" ht="6.75" customHeight="1" x14ac:dyDescent="0.3"/>
    <row r="49" ht="6.75" customHeight="1" x14ac:dyDescent="0.3"/>
    <row r="50" ht="6.75" customHeight="1" x14ac:dyDescent="0.3"/>
    <row r="51" ht="6.75" customHeight="1" x14ac:dyDescent="0.3"/>
    <row r="52" ht="6.75" customHeight="1" x14ac:dyDescent="0.3"/>
    <row r="53" ht="6.75" customHeight="1" x14ac:dyDescent="0.3"/>
    <row r="54" ht="6.75" customHeight="1" x14ac:dyDescent="0.3"/>
    <row r="55" ht="6.75" customHeight="1" x14ac:dyDescent="0.3"/>
    <row r="56" ht="6.75" customHeight="1" x14ac:dyDescent="0.3"/>
    <row r="57" ht="6.75" customHeight="1" x14ac:dyDescent="0.3"/>
    <row r="58" ht="6.75" customHeight="1" x14ac:dyDescent="0.3"/>
    <row r="59" ht="6.75" customHeight="1" x14ac:dyDescent="0.3"/>
    <row r="60" ht="6.75" customHeight="1" x14ac:dyDescent="0.3"/>
    <row r="61" ht="6.75" customHeight="1" x14ac:dyDescent="0.3"/>
    <row r="62" ht="6.75" customHeight="1" x14ac:dyDescent="0.3"/>
    <row r="63" ht="6.75" customHeight="1" x14ac:dyDescent="0.3"/>
    <row r="64" ht="6.75" customHeight="1" x14ac:dyDescent="0.3"/>
    <row r="65" ht="6.75" customHeight="1" x14ac:dyDescent="0.3"/>
    <row r="66" ht="6.75" customHeight="1" x14ac:dyDescent="0.3"/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30040-C9D4-4CC7-8F92-7DFEB82DD7C6}">
  <dimension ref="A2:I32"/>
  <sheetViews>
    <sheetView topLeftCell="A4" workbookViewId="0">
      <selection activeCell="F23" sqref="F23:F30"/>
    </sheetView>
  </sheetViews>
  <sheetFormatPr defaultRowHeight="14.4" x14ac:dyDescent="0.3"/>
  <cols>
    <col min="8" max="8" width="6.109375" customWidth="1"/>
  </cols>
  <sheetData>
    <row r="2" spans="1:9" x14ac:dyDescent="0.3">
      <c r="A2">
        <f>+(7.5-5)/5</f>
        <v>0.5</v>
      </c>
      <c r="B2">
        <f>+(0.75-0.5)/5</f>
        <v>0.05</v>
      </c>
    </row>
    <row r="3" spans="1:9" x14ac:dyDescent="0.3">
      <c r="I3" t="s">
        <v>27</v>
      </c>
    </row>
    <row r="4" spans="1:9" x14ac:dyDescent="0.3">
      <c r="D4" s="1" t="s">
        <v>16</v>
      </c>
      <c r="I4" t="s">
        <v>36</v>
      </c>
    </row>
    <row r="5" spans="1:9" x14ac:dyDescent="0.3">
      <c r="D5" s="1" t="s">
        <v>2</v>
      </c>
      <c r="E5" s="1" t="s">
        <v>17</v>
      </c>
      <c r="F5" s="1" t="s">
        <v>3</v>
      </c>
      <c r="G5" s="1" t="s">
        <v>17</v>
      </c>
    </row>
    <row r="6" spans="1:9" x14ac:dyDescent="0.3">
      <c r="C6">
        <v>1</v>
      </c>
      <c r="D6">
        <f>5+1*$A$2</f>
        <v>5.5</v>
      </c>
      <c r="E6">
        <f>0.5+1.5*$B$2</f>
        <v>0.57499999999999996</v>
      </c>
      <c r="F6">
        <f>+D6</f>
        <v>5.5</v>
      </c>
      <c r="G6">
        <f>+E6*1000</f>
        <v>575</v>
      </c>
    </row>
    <row r="7" spans="1:9" x14ac:dyDescent="0.3">
      <c r="C7">
        <v>2</v>
      </c>
      <c r="D7">
        <v>7.5</v>
      </c>
      <c r="E7">
        <f>0.5+2.9*$B$2</f>
        <v>0.64500000000000002</v>
      </c>
      <c r="F7">
        <f t="shared" ref="F7:F13" si="0">+D7</f>
        <v>7.5</v>
      </c>
      <c r="G7">
        <f t="shared" ref="G7:G11" si="1">+E7*1000</f>
        <v>645</v>
      </c>
    </row>
    <row r="8" spans="1:9" x14ac:dyDescent="0.3">
      <c r="C8">
        <v>3</v>
      </c>
      <c r="D8">
        <v>10</v>
      </c>
      <c r="E8">
        <f>0.5+4.4*B2</f>
        <v>0.72</v>
      </c>
      <c r="F8">
        <f t="shared" si="0"/>
        <v>10</v>
      </c>
      <c r="G8">
        <f t="shared" si="1"/>
        <v>720</v>
      </c>
    </row>
    <row r="9" spans="1:9" x14ac:dyDescent="0.3">
      <c r="C9">
        <v>4</v>
      </c>
      <c r="D9">
        <v>12.5</v>
      </c>
      <c r="E9">
        <f>0.75+0.8*B2</f>
        <v>0.79</v>
      </c>
      <c r="F9">
        <f t="shared" si="0"/>
        <v>12.5</v>
      </c>
      <c r="G9">
        <f t="shared" si="1"/>
        <v>790</v>
      </c>
    </row>
    <row r="10" spans="1:9" x14ac:dyDescent="0.3">
      <c r="C10">
        <v>5</v>
      </c>
      <c r="D10">
        <v>15</v>
      </c>
      <c r="E10">
        <f>0.75+2*B2</f>
        <v>0.85</v>
      </c>
      <c r="F10">
        <f t="shared" si="0"/>
        <v>15</v>
      </c>
      <c r="G10">
        <f t="shared" si="1"/>
        <v>850</v>
      </c>
    </row>
    <row r="11" spans="1:9" x14ac:dyDescent="0.3">
      <c r="C11">
        <v>6</v>
      </c>
      <c r="D11">
        <f>15+3*A2</f>
        <v>16.5</v>
      </c>
      <c r="E11">
        <f>0.75+2.8*B2</f>
        <v>0.89</v>
      </c>
      <c r="F11">
        <f t="shared" si="0"/>
        <v>16.5</v>
      </c>
      <c r="G11">
        <f t="shared" si="1"/>
        <v>890</v>
      </c>
    </row>
    <row r="12" spans="1:9" x14ac:dyDescent="0.3">
      <c r="C12">
        <v>7</v>
      </c>
      <c r="D12">
        <v>17.5</v>
      </c>
      <c r="E12">
        <f>0.75+3.2*B2</f>
        <v>0.91</v>
      </c>
      <c r="F12">
        <f t="shared" si="0"/>
        <v>17.5</v>
      </c>
      <c r="G12">
        <f>+E12*1000</f>
        <v>910</v>
      </c>
    </row>
    <row r="13" spans="1:9" x14ac:dyDescent="0.3">
      <c r="C13">
        <v>8</v>
      </c>
      <c r="D13">
        <v>20</v>
      </c>
      <c r="E13">
        <f>0.75+4.5*B2</f>
        <v>0.97499999999999998</v>
      </c>
      <c r="F13">
        <f t="shared" si="0"/>
        <v>20</v>
      </c>
      <c r="G13">
        <f>+E13*1000</f>
        <v>975</v>
      </c>
    </row>
    <row r="18" spans="2:9" x14ac:dyDescent="0.3">
      <c r="B18">
        <f>+(10-7.5)/5</f>
        <v>0.5</v>
      </c>
    </row>
    <row r="21" spans="2:9" x14ac:dyDescent="0.3">
      <c r="D21" s="1" t="s">
        <v>21</v>
      </c>
    </row>
    <row r="22" spans="2:9" x14ac:dyDescent="0.3">
      <c r="D22" s="1" t="s">
        <v>2</v>
      </c>
      <c r="E22" s="1" t="s">
        <v>9</v>
      </c>
      <c r="F22" s="1" t="s">
        <v>3</v>
      </c>
      <c r="G22" s="1" t="s">
        <v>9</v>
      </c>
    </row>
    <row r="23" spans="2:9" x14ac:dyDescent="0.3">
      <c r="C23">
        <v>1</v>
      </c>
      <c r="D23">
        <f>5+1*$A$2</f>
        <v>5.5</v>
      </c>
      <c r="E23">
        <f>12.5+4.55*B18</f>
        <v>14.775</v>
      </c>
      <c r="F23">
        <f>+D23</f>
        <v>5.5</v>
      </c>
      <c r="G23">
        <f>+E23</f>
        <v>14.775</v>
      </c>
    </row>
    <row r="24" spans="2:9" x14ac:dyDescent="0.3">
      <c r="C24">
        <v>2</v>
      </c>
      <c r="D24">
        <v>7.5</v>
      </c>
      <c r="E24">
        <f>12.5+4.05*B18</f>
        <v>14.525</v>
      </c>
      <c r="F24">
        <f t="shared" ref="F24:F30" si="2">+D24</f>
        <v>7.5</v>
      </c>
      <c r="G24">
        <f t="shared" ref="G24:G30" si="3">+E24</f>
        <v>14.525</v>
      </c>
    </row>
    <row r="25" spans="2:9" x14ac:dyDescent="0.3">
      <c r="C25">
        <v>3</v>
      </c>
      <c r="D25">
        <v>10</v>
      </c>
      <c r="E25">
        <f>12.5+3.35*B18</f>
        <v>14.175000000000001</v>
      </c>
      <c r="F25">
        <f t="shared" si="2"/>
        <v>10</v>
      </c>
      <c r="G25">
        <f t="shared" si="3"/>
        <v>14.175000000000001</v>
      </c>
    </row>
    <row r="26" spans="2:9" x14ac:dyDescent="0.3">
      <c r="C26">
        <v>4</v>
      </c>
      <c r="D26">
        <v>12.5</v>
      </c>
      <c r="E26">
        <f>12.5+2.45*B18</f>
        <v>13.725</v>
      </c>
      <c r="F26">
        <f t="shared" si="2"/>
        <v>12.5</v>
      </c>
      <c r="G26">
        <f t="shared" si="3"/>
        <v>13.725</v>
      </c>
    </row>
    <row r="27" spans="2:9" x14ac:dyDescent="0.3">
      <c r="C27">
        <v>5</v>
      </c>
      <c r="D27">
        <v>15</v>
      </c>
      <c r="E27">
        <f>12.5+B18</f>
        <v>13</v>
      </c>
      <c r="F27">
        <f t="shared" si="2"/>
        <v>15</v>
      </c>
      <c r="G27">
        <f t="shared" si="3"/>
        <v>13</v>
      </c>
    </row>
    <row r="28" spans="2:9" x14ac:dyDescent="0.3">
      <c r="C28">
        <v>6</v>
      </c>
      <c r="D28">
        <v>16.5</v>
      </c>
      <c r="E28">
        <v>12.5</v>
      </c>
      <c r="F28">
        <f t="shared" si="2"/>
        <v>16.5</v>
      </c>
      <c r="G28">
        <f t="shared" si="3"/>
        <v>12.5</v>
      </c>
    </row>
    <row r="29" spans="2:9" x14ac:dyDescent="0.3">
      <c r="C29">
        <v>7</v>
      </c>
      <c r="D29">
        <v>17.5</v>
      </c>
      <c r="E29">
        <f>10+4*B18</f>
        <v>12</v>
      </c>
      <c r="F29">
        <f t="shared" si="2"/>
        <v>17.5</v>
      </c>
      <c r="G29">
        <f t="shared" si="3"/>
        <v>12</v>
      </c>
    </row>
    <row r="30" spans="2:9" x14ac:dyDescent="0.3">
      <c r="C30">
        <v>8</v>
      </c>
      <c r="D30">
        <v>20</v>
      </c>
      <c r="E30">
        <f>10+1.4*B18</f>
        <v>10.7</v>
      </c>
      <c r="F30">
        <f t="shared" si="2"/>
        <v>20</v>
      </c>
      <c r="G30">
        <f t="shared" si="3"/>
        <v>10.7</v>
      </c>
    </row>
    <row r="32" spans="2:9" x14ac:dyDescent="0.3">
      <c r="H32" t="s">
        <v>30</v>
      </c>
      <c r="I32" t="s">
        <v>28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68E1B-1DC6-454E-BCC8-57274410C399}">
  <dimension ref="A22:A88"/>
  <sheetViews>
    <sheetView topLeftCell="A4" zoomScale="55" zoomScaleNormal="55" workbookViewId="0">
      <selection activeCell="H42" sqref="H42"/>
    </sheetView>
  </sheetViews>
  <sheetFormatPr defaultRowHeight="14.4" x14ac:dyDescent="0.3"/>
  <cols>
    <col min="11" max="31" width="7.88671875" customWidth="1"/>
  </cols>
  <sheetData>
    <row r="22" ht="25.5" customHeight="1" x14ac:dyDescent="0.3"/>
    <row r="23" ht="25.5" customHeight="1" x14ac:dyDescent="0.3"/>
    <row r="24" ht="25.5" customHeight="1" x14ac:dyDescent="0.3"/>
    <row r="25" ht="25.5" customHeight="1" x14ac:dyDescent="0.3"/>
    <row r="26" ht="25.5" customHeight="1" x14ac:dyDescent="0.3"/>
    <row r="27" ht="25.5" customHeight="1" x14ac:dyDescent="0.3"/>
    <row r="28" ht="25.5" customHeight="1" x14ac:dyDescent="0.3"/>
    <row r="29" ht="25.5" customHeight="1" x14ac:dyDescent="0.3"/>
    <row r="30" ht="25.5" customHeight="1" x14ac:dyDescent="0.3"/>
    <row r="31" ht="25.5" customHeight="1" x14ac:dyDescent="0.3"/>
    <row r="32" ht="25.5" customHeight="1" x14ac:dyDescent="0.3"/>
    <row r="33" ht="25.5" customHeight="1" x14ac:dyDescent="0.3"/>
    <row r="34" ht="25.5" customHeight="1" x14ac:dyDescent="0.3"/>
    <row r="35" ht="25.5" customHeight="1" x14ac:dyDescent="0.3"/>
    <row r="36" ht="25.5" customHeight="1" x14ac:dyDescent="0.3"/>
    <row r="37" ht="25.5" customHeight="1" x14ac:dyDescent="0.3"/>
    <row r="38" ht="25.5" customHeight="1" x14ac:dyDescent="0.3"/>
    <row r="39" ht="25.5" customHeight="1" x14ac:dyDescent="0.3"/>
    <row r="40" ht="25.5" customHeight="1" x14ac:dyDescent="0.3"/>
    <row r="41" ht="25.5" customHeight="1" x14ac:dyDescent="0.3"/>
    <row r="42" ht="25.5" customHeight="1" x14ac:dyDescent="0.3"/>
    <row r="59" ht="21.75" customHeight="1" x14ac:dyDescent="0.3"/>
    <row r="60" ht="10.5" customHeight="1" x14ac:dyDescent="0.3"/>
    <row r="61" ht="10.5" customHeight="1" x14ac:dyDescent="0.3"/>
    <row r="62" ht="10.5" customHeight="1" x14ac:dyDescent="0.3"/>
    <row r="63" ht="10.5" customHeight="1" x14ac:dyDescent="0.3"/>
    <row r="64" ht="11.25" customHeight="1" x14ac:dyDescent="0.3"/>
    <row r="65" ht="11.25" customHeight="1" x14ac:dyDescent="0.3"/>
    <row r="66" ht="11.25" customHeight="1" x14ac:dyDescent="0.3"/>
    <row r="67" ht="11.25" customHeight="1" x14ac:dyDescent="0.3"/>
    <row r="68" ht="11.25" customHeight="1" x14ac:dyDescent="0.3"/>
    <row r="69" ht="11.25" customHeight="1" x14ac:dyDescent="0.3"/>
    <row r="70" ht="11.25" customHeight="1" x14ac:dyDescent="0.3"/>
    <row r="71" ht="11.25" customHeight="1" x14ac:dyDescent="0.3"/>
    <row r="72" ht="11.25" customHeight="1" x14ac:dyDescent="0.3"/>
    <row r="73" ht="11.25" customHeight="1" x14ac:dyDescent="0.3"/>
    <row r="74" ht="11.25" customHeight="1" x14ac:dyDescent="0.3"/>
    <row r="75" ht="11.25" customHeight="1" x14ac:dyDescent="0.3"/>
    <row r="76" ht="11.25" customHeight="1" x14ac:dyDescent="0.3"/>
    <row r="77" ht="11.25" customHeight="1" x14ac:dyDescent="0.3"/>
    <row r="78" ht="11.25" customHeight="1" x14ac:dyDescent="0.3"/>
    <row r="79" ht="11.25" customHeight="1" x14ac:dyDescent="0.3"/>
    <row r="80" ht="11.25" customHeight="1" x14ac:dyDescent="0.3"/>
    <row r="81" ht="11.25" customHeight="1" x14ac:dyDescent="0.3"/>
    <row r="82" ht="11.25" customHeight="1" x14ac:dyDescent="0.3"/>
    <row r="83" ht="11.25" customHeight="1" x14ac:dyDescent="0.3"/>
    <row r="84" ht="11.25" customHeight="1" x14ac:dyDescent="0.3"/>
    <row r="85" ht="11.25" customHeight="1" x14ac:dyDescent="0.3"/>
    <row r="86" ht="11.25" customHeight="1" x14ac:dyDescent="0.3"/>
    <row r="87" ht="11.25" customHeight="1" x14ac:dyDescent="0.3"/>
    <row r="88" ht="11.25" customHeight="1" x14ac:dyDescent="0.3"/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39AFEE-4252-4241-85FD-3A1AB939A20B}">
  <dimension ref="C6:G35"/>
  <sheetViews>
    <sheetView topLeftCell="G23" zoomScale="160" zoomScaleNormal="160" workbookViewId="0">
      <selection activeCell="Q42" sqref="Q42"/>
    </sheetView>
  </sheetViews>
  <sheetFormatPr defaultRowHeight="14.4" x14ac:dyDescent="0.3"/>
  <cols>
    <col min="6" max="6" width="12" bestFit="1" customWidth="1"/>
  </cols>
  <sheetData>
    <row r="6" spans="3:7" x14ac:dyDescent="0.3">
      <c r="D6" t="s">
        <v>16</v>
      </c>
    </row>
    <row r="7" spans="3:7" x14ac:dyDescent="0.3">
      <c r="D7" t="s">
        <v>2</v>
      </c>
      <c r="E7" t="s">
        <v>17</v>
      </c>
      <c r="F7" t="s">
        <v>3</v>
      </c>
      <c r="G7" t="s">
        <v>37</v>
      </c>
    </row>
    <row r="8" spans="3:7" x14ac:dyDescent="0.3">
      <c r="C8">
        <v>0</v>
      </c>
      <c r="D8">
        <v>15.5</v>
      </c>
      <c r="E8">
        <v>2.75</v>
      </c>
      <c r="F8">
        <f>+D8</f>
        <v>15.5</v>
      </c>
      <c r="G8">
        <f>+E8*1000</f>
        <v>2750</v>
      </c>
    </row>
    <row r="9" spans="3:7" x14ac:dyDescent="0.3">
      <c r="C9">
        <v>1</v>
      </c>
      <c r="D9">
        <v>20</v>
      </c>
      <c r="E9" s="5">
        <v>2.97</v>
      </c>
      <c r="F9">
        <f t="shared" ref="F9:F17" si="0">+D9</f>
        <v>20</v>
      </c>
      <c r="G9">
        <f>+E9*1000</f>
        <v>2970</v>
      </c>
    </row>
    <row r="10" spans="3:7" x14ac:dyDescent="0.3">
      <c r="C10">
        <v>2</v>
      </c>
      <c r="D10">
        <v>22.5</v>
      </c>
      <c r="E10" s="5">
        <v>3.1</v>
      </c>
      <c r="F10">
        <f t="shared" si="0"/>
        <v>22.5</v>
      </c>
      <c r="G10">
        <f>+E10*1000</f>
        <v>3100</v>
      </c>
    </row>
    <row r="11" spans="3:7" x14ac:dyDescent="0.3">
      <c r="C11">
        <v>3</v>
      </c>
      <c r="D11">
        <v>25.6</v>
      </c>
      <c r="E11" s="5">
        <v>3.25</v>
      </c>
      <c r="F11">
        <f t="shared" si="0"/>
        <v>25.6</v>
      </c>
      <c r="G11">
        <f>+E11*1000</f>
        <v>3250</v>
      </c>
    </row>
    <row r="12" spans="3:7" x14ac:dyDescent="0.3">
      <c r="C12">
        <v>4</v>
      </c>
      <c r="D12">
        <v>30</v>
      </c>
      <c r="E12">
        <v>3.41</v>
      </c>
      <c r="F12">
        <f t="shared" si="0"/>
        <v>30</v>
      </c>
      <c r="G12">
        <f t="shared" ref="G12:G17" si="1">+E12*1000</f>
        <v>3410</v>
      </c>
    </row>
    <row r="13" spans="3:7" x14ac:dyDescent="0.3">
      <c r="D13">
        <v>32.5</v>
      </c>
      <c r="E13" s="5">
        <v>3.48</v>
      </c>
      <c r="F13">
        <f t="shared" si="0"/>
        <v>32.5</v>
      </c>
      <c r="G13">
        <f t="shared" si="1"/>
        <v>3480</v>
      </c>
    </row>
    <row r="14" spans="3:7" x14ac:dyDescent="0.3">
      <c r="C14">
        <v>5</v>
      </c>
      <c r="D14">
        <v>37</v>
      </c>
      <c r="E14">
        <v>3.51</v>
      </c>
      <c r="F14">
        <f t="shared" si="0"/>
        <v>37</v>
      </c>
      <c r="G14">
        <f t="shared" si="1"/>
        <v>3510</v>
      </c>
    </row>
    <row r="15" spans="3:7" x14ac:dyDescent="0.3">
      <c r="C15">
        <v>6</v>
      </c>
      <c r="D15">
        <v>40</v>
      </c>
      <c r="E15">
        <v>3.48</v>
      </c>
      <c r="F15">
        <f t="shared" si="0"/>
        <v>40</v>
      </c>
      <c r="G15">
        <f t="shared" si="1"/>
        <v>3480</v>
      </c>
    </row>
    <row r="16" spans="3:7" x14ac:dyDescent="0.3">
      <c r="C16">
        <v>7</v>
      </c>
      <c r="D16">
        <v>42.5</v>
      </c>
      <c r="E16">
        <v>3.41</v>
      </c>
      <c r="F16">
        <f t="shared" si="0"/>
        <v>42.5</v>
      </c>
      <c r="G16">
        <f t="shared" si="1"/>
        <v>3410</v>
      </c>
    </row>
    <row r="17" spans="3:7" x14ac:dyDescent="0.3">
      <c r="C17">
        <v>8</v>
      </c>
      <c r="D17">
        <v>43.75</v>
      </c>
      <c r="E17">
        <v>3.35</v>
      </c>
      <c r="F17">
        <f t="shared" si="0"/>
        <v>43.75</v>
      </c>
      <c r="G17">
        <f t="shared" si="1"/>
        <v>3350</v>
      </c>
    </row>
    <row r="25" spans="3:7" x14ac:dyDescent="0.3">
      <c r="D25" t="s">
        <v>2</v>
      </c>
      <c r="E25" t="s">
        <v>25</v>
      </c>
    </row>
    <row r="26" spans="3:7" x14ac:dyDescent="0.3">
      <c r="D26">
        <v>15.5</v>
      </c>
      <c r="E26">
        <v>33.799999999999997</v>
      </c>
    </row>
    <row r="27" spans="3:7" x14ac:dyDescent="0.3">
      <c r="D27">
        <v>20</v>
      </c>
      <c r="E27">
        <v>32.5</v>
      </c>
    </row>
    <row r="28" spans="3:7" x14ac:dyDescent="0.3">
      <c r="D28">
        <v>22.5</v>
      </c>
      <c r="E28">
        <v>31.7</v>
      </c>
    </row>
    <row r="29" spans="3:7" x14ac:dyDescent="0.3">
      <c r="D29">
        <v>25.6</v>
      </c>
      <c r="E29">
        <v>30.5</v>
      </c>
    </row>
    <row r="30" spans="3:7" x14ac:dyDescent="0.3">
      <c r="D30">
        <v>30</v>
      </c>
      <c r="E30">
        <v>28.6</v>
      </c>
    </row>
    <row r="31" spans="3:7" x14ac:dyDescent="0.3">
      <c r="D31">
        <v>32.5</v>
      </c>
      <c r="E31">
        <v>27.2</v>
      </c>
    </row>
    <row r="32" spans="3:7" x14ac:dyDescent="0.3">
      <c r="D32">
        <v>37</v>
      </c>
      <c r="E32">
        <v>24.25</v>
      </c>
    </row>
    <row r="33" spans="4:5" x14ac:dyDescent="0.3">
      <c r="D33">
        <v>40</v>
      </c>
      <c r="E33">
        <v>21.35</v>
      </c>
    </row>
    <row r="34" spans="4:5" x14ac:dyDescent="0.3">
      <c r="D34">
        <v>42.5</v>
      </c>
      <c r="E34">
        <v>18.75</v>
      </c>
    </row>
    <row r="35" spans="4:5" x14ac:dyDescent="0.3">
      <c r="D35">
        <v>43.75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B0890-74A7-4484-A5B2-A796C8E2FB71}">
  <dimension ref="AR13:AS81"/>
  <sheetViews>
    <sheetView topLeftCell="H28" zoomScale="130" zoomScaleNormal="130" workbookViewId="0">
      <selection activeCell="AQ39" sqref="AQ39"/>
    </sheetView>
  </sheetViews>
  <sheetFormatPr defaultRowHeight="14.4" x14ac:dyDescent="0.3"/>
  <cols>
    <col min="2" max="36" width="3.21875" customWidth="1"/>
  </cols>
  <sheetData>
    <row r="13" spans="44:45" x14ac:dyDescent="0.3">
      <c r="AR13" s="1" t="s">
        <v>62</v>
      </c>
      <c r="AS13" s="1" t="s">
        <v>25</v>
      </c>
    </row>
    <row r="14" spans="44:45" x14ac:dyDescent="0.3">
      <c r="AR14">
        <v>10</v>
      </c>
      <c r="AS14">
        <v>27</v>
      </c>
    </row>
    <row r="15" spans="44:45" x14ac:dyDescent="0.3">
      <c r="AR15">
        <v>13</v>
      </c>
      <c r="AS15">
        <v>26</v>
      </c>
    </row>
    <row r="16" spans="44:45" x14ac:dyDescent="0.3">
      <c r="AR16">
        <v>17</v>
      </c>
      <c r="AS16">
        <v>24</v>
      </c>
    </row>
    <row r="17" spans="44:45" x14ac:dyDescent="0.3">
      <c r="AR17">
        <v>19</v>
      </c>
      <c r="AS17">
        <v>22.5</v>
      </c>
    </row>
    <row r="18" spans="44:45" x14ac:dyDescent="0.3">
      <c r="AR18">
        <v>20</v>
      </c>
      <c r="AS18">
        <v>21.75</v>
      </c>
    </row>
    <row r="19" spans="44:45" x14ac:dyDescent="0.3">
      <c r="AR19">
        <v>22</v>
      </c>
      <c r="AS19">
        <v>19.8</v>
      </c>
    </row>
    <row r="20" spans="44:45" x14ac:dyDescent="0.3">
      <c r="AR20">
        <v>24</v>
      </c>
      <c r="AS20">
        <v>17.5</v>
      </c>
    </row>
    <row r="21" spans="44:45" x14ac:dyDescent="0.3">
      <c r="AR21">
        <v>25</v>
      </c>
      <c r="AS21">
        <v>16.25</v>
      </c>
    </row>
    <row r="22" spans="44:45" x14ac:dyDescent="0.3">
      <c r="AR22">
        <v>26</v>
      </c>
      <c r="AS22">
        <v>14.9</v>
      </c>
    </row>
    <row r="23" spans="44:45" x14ac:dyDescent="0.3">
      <c r="AR23">
        <v>28</v>
      </c>
      <c r="AS23">
        <v>11.7</v>
      </c>
    </row>
    <row r="30" spans="44:45" ht="7.8" customHeight="1" x14ac:dyDescent="0.3"/>
    <row r="31" spans="44:45" ht="7.8" customHeight="1" x14ac:dyDescent="0.3"/>
    <row r="32" spans="44:45" ht="7.8" customHeight="1" x14ac:dyDescent="0.3"/>
    <row r="33" spans="44:45" ht="7.8" customHeight="1" x14ac:dyDescent="0.3"/>
    <row r="34" spans="44:45" ht="7.8" customHeight="1" x14ac:dyDescent="0.3"/>
    <row r="35" spans="44:45" ht="7.8" customHeight="1" x14ac:dyDescent="0.3"/>
    <row r="36" spans="44:45" ht="7.8" customHeight="1" x14ac:dyDescent="0.3"/>
    <row r="37" spans="44:45" ht="7.8" customHeight="1" x14ac:dyDescent="0.3"/>
    <row r="38" spans="44:45" ht="7.8" customHeight="1" x14ac:dyDescent="0.3"/>
    <row r="39" spans="44:45" ht="7.8" customHeight="1" x14ac:dyDescent="0.3"/>
    <row r="40" spans="44:45" ht="7.8" customHeight="1" x14ac:dyDescent="0.3"/>
    <row r="41" spans="44:45" ht="7.8" customHeight="1" x14ac:dyDescent="0.3"/>
    <row r="42" spans="44:45" ht="7.8" customHeight="1" x14ac:dyDescent="0.3"/>
    <row r="43" spans="44:45" ht="7.8" customHeight="1" x14ac:dyDescent="0.3"/>
    <row r="44" spans="44:45" ht="7.8" customHeight="1" x14ac:dyDescent="0.3"/>
    <row r="45" spans="44:45" ht="7.8" customHeight="1" x14ac:dyDescent="0.3"/>
    <row r="46" spans="44:45" ht="7.8" customHeight="1" x14ac:dyDescent="0.3"/>
    <row r="47" spans="44:45" ht="7.8" customHeight="1" x14ac:dyDescent="0.3">
      <c r="AR47" s="1"/>
      <c r="AS47" s="1"/>
    </row>
    <row r="48" spans="44:45" ht="7.8" customHeight="1" x14ac:dyDescent="0.3"/>
    <row r="49" ht="7.8" customHeight="1" x14ac:dyDescent="0.3"/>
    <row r="50" ht="7.8" customHeight="1" x14ac:dyDescent="0.3"/>
    <row r="51" ht="7.8" customHeight="1" x14ac:dyDescent="0.3"/>
    <row r="52" ht="7.8" customHeight="1" x14ac:dyDescent="0.3"/>
    <row r="53" ht="7.8" customHeight="1" x14ac:dyDescent="0.3"/>
    <row r="54" ht="7.8" customHeight="1" x14ac:dyDescent="0.3"/>
    <row r="55" ht="7.8" customHeight="1" x14ac:dyDescent="0.3"/>
    <row r="56" ht="7.8" customHeight="1" x14ac:dyDescent="0.3"/>
    <row r="57" ht="7.8" customHeight="1" x14ac:dyDescent="0.3"/>
    <row r="58" ht="7.8" customHeight="1" x14ac:dyDescent="0.3"/>
    <row r="59" ht="7.8" customHeight="1" x14ac:dyDescent="0.3"/>
    <row r="60" ht="7.8" customHeight="1" x14ac:dyDescent="0.3"/>
    <row r="61" ht="7.8" customHeight="1" x14ac:dyDescent="0.3"/>
    <row r="62" ht="7.8" customHeight="1" x14ac:dyDescent="0.3"/>
    <row r="63" ht="7.8" customHeight="1" x14ac:dyDescent="0.3"/>
    <row r="64" ht="7.8" customHeight="1" x14ac:dyDescent="0.3"/>
    <row r="65" spans="44:45" ht="7.8" customHeight="1" x14ac:dyDescent="0.3"/>
    <row r="66" spans="44:45" ht="7.8" customHeight="1" x14ac:dyDescent="0.3"/>
    <row r="67" spans="44:45" ht="7.8" customHeight="1" x14ac:dyDescent="0.3"/>
    <row r="68" spans="44:45" ht="7.8" customHeight="1" x14ac:dyDescent="0.3"/>
    <row r="69" spans="44:45" ht="7.8" customHeight="1" x14ac:dyDescent="0.3"/>
    <row r="72" spans="44:45" x14ac:dyDescent="0.3">
      <c r="AR72" s="1" t="s">
        <v>62</v>
      </c>
      <c r="AS72" s="1" t="s">
        <v>63</v>
      </c>
    </row>
    <row r="73" spans="44:45" x14ac:dyDescent="0.3">
      <c r="AR73">
        <v>10</v>
      </c>
      <c r="AS73">
        <f>1.4*1000</f>
        <v>1400</v>
      </c>
    </row>
    <row r="74" spans="44:45" x14ac:dyDescent="0.3">
      <c r="AR74">
        <v>11</v>
      </c>
      <c r="AS74">
        <f>1.45*1000</f>
        <v>1450</v>
      </c>
    </row>
    <row r="75" spans="44:45" x14ac:dyDescent="0.3">
      <c r="AR75">
        <v>13</v>
      </c>
      <c r="AS75">
        <f>1.54*1000</f>
        <v>1540</v>
      </c>
    </row>
    <row r="76" spans="44:45" x14ac:dyDescent="0.3">
      <c r="AR76">
        <v>15</v>
      </c>
      <c r="AS76">
        <f>1.61*1000</f>
        <v>1610</v>
      </c>
    </row>
    <row r="77" spans="44:45" x14ac:dyDescent="0.3">
      <c r="AR77">
        <v>16</v>
      </c>
      <c r="AS77">
        <f>1.65*1000</f>
        <v>1650</v>
      </c>
    </row>
    <row r="78" spans="44:45" x14ac:dyDescent="0.3">
      <c r="AR78">
        <v>20</v>
      </c>
      <c r="AS78">
        <f>1.78*1000</f>
        <v>1780</v>
      </c>
    </row>
    <row r="79" spans="44:45" x14ac:dyDescent="0.3">
      <c r="AR79">
        <v>22</v>
      </c>
      <c r="AS79">
        <f>1.85*1000</f>
        <v>1850</v>
      </c>
    </row>
    <row r="80" spans="44:45" x14ac:dyDescent="0.3">
      <c r="AR80">
        <v>25</v>
      </c>
      <c r="AS80">
        <f>1.935*1000</f>
        <v>1935</v>
      </c>
    </row>
    <row r="81" spans="44:45" x14ac:dyDescent="0.3">
      <c r="AR81">
        <v>28</v>
      </c>
      <c r="AS81">
        <f>2.01*1000</f>
        <v>2009.9999999999998</v>
      </c>
    </row>
  </sheetData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99855-A2B8-46ED-B37F-1148055BF3FB}">
  <dimension ref="A1:AS82"/>
  <sheetViews>
    <sheetView topLeftCell="E6" zoomScale="145" zoomScaleNormal="145" workbookViewId="0">
      <selection activeCell="AX89" sqref="AX89"/>
    </sheetView>
  </sheetViews>
  <sheetFormatPr defaultRowHeight="14.4" x14ac:dyDescent="0.3"/>
  <cols>
    <col min="2" max="36" width="3.21875" customWidth="1"/>
  </cols>
  <sheetData>
    <row r="1" spans="1:45" x14ac:dyDescent="0.3">
      <c r="A1" s="6"/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</row>
    <row r="2" spans="1:45" x14ac:dyDescent="0.3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</row>
    <row r="3" spans="1:45" x14ac:dyDescent="0.3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</row>
    <row r="4" spans="1:45" x14ac:dyDescent="0.3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</row>
    <row r="5" spans="1:45" x14ac:dyDescent="0.3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</row>
    <row r="6" spans="1:45" x14ac:dyDescent="0.3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</row>
    <row r="7" spans="1:45" x14ac:dyDescent="0.3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spans="1:45" x14ac:dyDescent="0.3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</row>
    <row r="9" spans="1:45" x14ac:dyDescent="0.3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</row>
    <row r="10" spans="1:45" x14ac:dyDescent="0.3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</row>
    <row r="11" spans="1:45" x14ac:dyDescent="0.3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</row>
    <row r="12" spans="1:45" x14ac:dyDescent="0.3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</row>
    <row r="13" spans="1:45" x14ac:dyDescent="0.3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R13" s="1" t="s">
        <v>62</v>
      </c>
      <c r="AS13" s="1" t="s">
        <v>25</v>
      </c>
    </row>
    <row r="14" spans="1:45" x14ac:dyDescent="0.3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R14">
        <v>2.5</v>
      </c>
      <c r="AS14">
        <v>12.5</v>
      </c>
    </row>
    <row r="15" spans="1:45" x14ac:dyDescent="0.3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R15">
        <v>4.25</v>
      </c>
      <c r="AS15">
        <v>12.25</v>
      </c>
    </row>
    <row r="16" spans="1:45" x14ac:dyDescent="0.3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R16">
        <v>4.8499999999999996</v>
      </c>
      <c r="AS16">
        <v>12</v>
      </c>
    </row>
    <row r="17" spans="1:45" x14ac:dyDescent="0.3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R17">
        <v>6.5</v>
      </c>
      <c r="AS17">
        <v>11.25</v>
      </c>
    </row>
    <row r="18" spans="1:45" x14ac:dyDescent="0.3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R18">
        <v>8</v>
      </c>
      <c r="AS18">
        <v>10.25</v>
      </c>
    </row>
    <row r="19" spans="1:45" x14ac:dyDescent="0.3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R19">
        <v>9.75</v>
      </c>
      <c r="AS19">
        <v>8.75</v>
      </c>
    </row>
    <row r="20" spans="1:45" x14ac:dyDescent="0.3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R20">
        <v>10.75</v>
      </c>
      <c r="AS20">
        <v>7.75</v>
      </c>
    </row>
    <row r="21" spans="1:45" x14ac:dyDescent="0.3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R21">
        <v>11.75</v>
      </c>
      <c r="AS21">
        <v>6.5</v>
      </c>
    </row>
    <row r="22" spans="1:45" x14ac:dyDescent="0.3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R22">
        <v>12.75</v>
      </c>
      <c r="AS22">
        <v>5.25</v>
      </c>
    </row>
    <row r="23" spans="1:45" x14ac:dyDescent="0.3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R23">
        <v>13.2</v>
      </c>
      <c r="AS23">
        <v>4.7</v>
      </c>
    </row>
    <row r="24" spans="1:45" x14ac:dyDescent="0.3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</row>
    <row r="25" spans="1:45" x14ac:dyDescent="0.3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</row>
    <row r="26" spans="1:45" x14ac:dyDescent="0.3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</row>
    <row r="27" spans="1:45" x14ac:dyDescent="0.3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</row>
    <row r="28" spans="1:45" x14ac:dyDescent="0.3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</row>
    <row r="29" spans="1:45" x14ac:dyDescent="0.3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</row>
    <row r="30" spans="1:45" ht="7.8" customHeight="1" x14ac:dyDescent="0.3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</row>
    <row r="31" spans="1:45" ht="7.8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</row>
    <row r="32" spans="1:45" ht="7.8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</row>
    <row r="33" spans="1:45" ht="7.8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</row>
    <row r="34" spans="1:45" ht="7.8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</row>
    <row r="35" spans="1:45" ht="7.8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</row>
    <row r="36" spans="1:45" ht="7.8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</row>
    <row r="37" spans="1:45" ht="7.8" customHeight="1" x14ac:dyDescent="0.3"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</row>
    <row r="38" spans="1:45" ht="7.8" customHeight="1" x14ac:dyDescent="0.3"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</row>
    <row r="39" spans="1:45" ht="7.8" customHeight="1" x14ac:dyDescent="0.3"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</row>
    <row r="40" spans="1:45" ht="7.8" customHeight="1" x14ac:dyDescent="0.3"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</row>
    <row r="41" spans="1:45" ht="7.8" customHeight="1" x14ac:dyDescent="0.3"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</row>
    <row r="42" spans="1:45" ht="7.8" customHeight="1" x14ac:dyDescent="0.3"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</row>
    <row r="43" spans="1:45" ht="7.8" customHeight="1" x14ac:dyDescent="0.3"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</row>
    <row r="44" spans="1:45" ht="7.8" customHeight="1" x14ac:dyDescent="0.3"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</row>
    <row r="45" spans="1:45" ht="7.8" customHeight="1" x14ac:dyDescent="0.3"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</row>
    <row r="46" spans="1:45" ht="7.8" customHeight="1" x14ac:dyDescent="0.3"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</row>
    <row r="47" spans="1:45" ht="7.8" customHeight="1" x14ac:dyDescent="0.3"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R47" s="1"/>
      <c r="AS47" s="1"/>
    </row>
    <row r="48" spans="1:45" ht="7.8" customHeight="1" x14ac:dyDescent="0.3"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</row>
    <row r="49" spans="12:41" ht="7.8" customHeight="1" x14ac:dyDescent="0.3"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</row>
    <row r="50" spans="12:41" ht="7.8" customHeight="1" x14ac:dyDescent="0.3"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</row>
    <row r="51" spans="12:41" ht="7.8" customHeight="1" x14ac:dyDescent="0.3"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</row>
    <row r="52" spans="12:41" ht="7.8" customHeight="1" x14ac:dyDescent="0.3"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</row>
    <row r="53" spans="12:41" ht="7.8" customHeight="1" x14ac:dyDescent="0.3"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</row>
    <row r="54" spans="12:41" ht="7.8" customHeight="1" x14ac:dyDescent="0.3"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</row>
    <row r="55" spans="12:41" ht="7.8" customHeight="1" x14ac:dyDescent="0.3"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</row>
    <row r="56" spans="12:41" ht="7.8" customHeight="1" x14ac:dyDescent="0.3"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</row>
    <row r="57" spans="12:41" ht="7.8" customHeight="1" x14ac:dyDescent="0.3"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</row>
    <row r="58" spans="12:41" ht="7.8" customHeight="1" x14ac:dyDescent="0.3"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</row>
    <row r="59" spans="12:41" ht="7.8" customHeight="1" x14ac:dyDescent="0.3"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</row>
    <row r="60" spans="12:41" ht="7.8" customHeight="1" x14ac:dyDescent="0.3"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</row>
    <row r="61" spans="12:41" ht="7.8" customHeight="1" x14ac:dyDescent="0.3"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</row>
    <row r="62" spans="12:41" ht="7.8" customHeight="1" x14ac:dyDescent="0.3"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</row>
    <row r="63" spans="12:41" ht="7.8" customHeight="1" x14ac:dyDescent="0.3"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</row>
    <row r="64" spans="12:41" ht="7.8" customHeight="1" x14ac:dyDescent="0.3"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</row>
    <row r="65" spans="12:45" ht="7.8" customHeight="1" x14ac:dyDescent="0.3"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</row>
    <row r="66" spans="12:45" ht="7.8" customHeight="1" x14ac:dyDescent="0.3"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</row>
    <row r="67" spans="12:45" ht="7.8" customHeight="1" x14ac:dyDescent="0.3"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</row>
    <row r="68" spans="12:45" ht="7.8" customHeight="1" x14ac:dyDescent="0.3"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</row>
    <row r="69" spans="12:45" ht="7.8" customHeight="1" x14ac:dyDescent="0.3"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</row>
    <row r="72" spans="12:45" x14ac:dyDescent="0.3">
      <c r="AR72" s="1" t="s">
        <v>62</v>
      </c>
      <c r="AS72" s="1" t="s">
        <v>63</v>
      </c>
    </row>
    <row r="73" spans="12:45" x14ac:dyDescent="0.3">
      <c r="AR73">
        <v>2.5</v>
      </c>
      <c r="AS73">
        <f>0.28*1000</f>
        <v>280</v>
      </c>
    </row>
    <row r="74" spans="12:45" x14ac:dyDescent="0.3">
      <c r="AR74">
        <v>3.25</v>
      </c>
      <c r="AS74">
        <f>0.3*1000</f>
        <v>300</v>
      </c>
    </row>
    <row r="75" spans="12:45" x14ac:dyDescent="0.3">
      <c r="AR75">
        <v>4.25</v>
      </c>
      <c r="AS75">
        <f>0.32*1000</f>
        <v>320</v>
      </c>
    </row>
    <row r="76" spans="12:45" x14ac:dyDescent="0.3">
      <c r="AR76">
        <v>5</v>
      </c>
      <c r="AS76">
        <f>0.34*1000</f>
        <v>340</v>
      </c>
    </row>
    <row r="77" spans="12:45" x14ac:dyDescent="0.3">
      <c r="AR77">
        <f>+(5.5+6)/2</f>
        <v>5.75</v>
      </c>
      <c r="AS77">
        <f>0.36*1000</f>
        <v>360</v>
      </c>
    </row>
    <row r="78" spans="12:45" x14ac:dyDescent="0.3">
      <c r="AR78">
        <v>7.25</v>
      </c>
      <c r="AS78">
        <f>0.4*1000</f>
        <v>400</v>
      </c>
    </row>
    <row r="79" spans="12:45" x14ac:dyDescent="0.3">
      <c r="AR79">
        <f>+(8.5+9)/2</f>
        <v>8.75</v>
      </c>
      <c r="AS79">
        <f>0.44*1000</f>
        <v>440</v>
      </c>
    </row>
    <row r="80" spans="12:45" x14ac:dyDescent="0.3">
      <c r="AR80">
        <v>10</v>
      </c>
      <c r="AS80">
        <f>0.47*1000</f>
        <v>470</v>
      </c>
    </row>
    <row r="81" spans="44:45" x14ac:dyDescent="0.3">
      <c r="AR81">
        <v>11.5</v>
      </c>
      <c r="AS81">
        <v>500</v>
      </c>
    </row>
    <row r="82" spans="44:45" x14ac:dyDescent="0.3">
      <c r="AR82">
        <v>12.5</v>
      </c>
      <c r="AS82">
        <f>0.51*1000</f>
        <v>510</v>
      </c>
    </row>
  </sheetData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12EAB-61E3-4B17-BE4C-3D51DF3A9EED}">
  <dimension ref="A1:AT94"/>
  <sheetViews>
    <sheetView topLeftCell="J12" zoomScale="295" zoomScaleNormal="295" workbookViewId="0">
      <selection activeCell="AE85" sqref="AE85"/>
    </sheetView>
  </sheetViews>
  <sheetFormatPr defaultRowHeight="14.4" x14ac:dyDescent="0.3"/>
  <cols>
    <col min="2" max="36" width="3.21875" customWidth="1"/>
  </cols>
  <sheetData>
    <row r="1" spans="1:45" x14ac:dyDescent="0.3">
      <c r="A1" s="6"/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</row>
    <row r="2" spans="1:45" x14ac:dyDescent="0.3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</row>
    <row r="3" spans="1:45" x14ac:dyDescent="0.3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</row>
    <row r="4" spans="1:45" x14ac:dyDescent="0.3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</row>
    <row r="5" spans="1:45" x14ac:dyDescent="0.3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</row>
    <row r="6" spans="1:45" x14ac:dyDescent="0.3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</row>
    <row r="7" spans="1:45" x14ac:dyDescent="0.3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spans="1:45" x14ac:dyDescent="0.3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</row>
    <row r="9" spans="1:45" x14ac:dyDescent="0.3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</row>
    <row r="10" spans="1:45" x14ac:dyDescent="0.3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</row>
    <row r="11" spans="1:45" x14ac:dyDescent="0.3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</row>
    <row r="12" spans="1:45" x14ac:dyDescent="0.3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</row>
    <row r="13" spans="1:45" x14ac:dyDescent="0.3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R13" s="1" t="s">
        <v>62</v>
      </c>
      <c r="AS13" s="1" t="s">
        <v>25</v>
      </c>
    </row>
    <row r="14" spans="1:45" x14ac:dyDescent="0.3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R14">
        <v>2.5</v>
      </c>
      <c r="AS14">
        <v>12.5</v>
      </c>
    </row>
    <row r="15" spans="1:45" x14ac:dyDescent="0.3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R15">
        <v>4.25</v>
      </c>
      <c r="AS15">
        <v>12.25</v>
      </c>
    </row>
    <row r="16" spans="1:45" x14ac:dyDescent="0.3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R16">
        <v>4.8499999999999996</v>
      </c>
      <c r="AS16">
        <v>12</v>
      </c>
    </row>
    <row r="17" spans="1:45" x14ac:dyDescent="0.3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R17">
        <v>6.5</v>
      </c>
      <c r="AS17">
        <v>11.25</v>
      </c>
    </row>
    <row r="18" spans="1:45" x14ac:dyDescent="0.3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R18">
        <v>8</v>
      </c>
      <c r="AS18">
        <v>10.25</v>
      </c>
    </row>
    <row r="19" spans="1:45" x14ac:dyDescent="0.3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R19">
        <v>9.75</v>
      </c>
      <c r="AS19">
        <v>8.75</v>
      </c>
    </row>
    <row r="20" spans="1:45" x14ac:dyDescent="0.3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R20">
        <v>10.75</v>
      </c>
      <c r="AS20">
        <v>7.75</v>
      </c>
    </row>
    <row r="21" spans="1:45" x14ac:dyDescent="0.3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R21">
        <v>11.75</v>
      </c>
      <c r="AS21">
        <v>6.5</v>
      </c>
    </row>
    <row r="22" spans="1:45" x14ac:dyDescent="0.3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R22">
        <v>12.75</v>
      </c>
      <c r="AS22">
        <v>5.25</v>
      </c>
    </row>
    <row r="23" spans="1:45" x14ac:dyDescent="0.3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R23">
        <v>13.2</v>
      </c>
      <c r="AS23">
        <v>4.7</v>
      </c>
    </row>
    <row r="24" spans="1:45" x14ac:dyDescent="0.3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</row>
    <row r="25" spans="1:45" x14ac:dyDescent="0.3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</row>
    <row r="26" spans="1:45" x14ac:dyDescent="0.3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</row>
    <row r="27" spans="1:45" x14ac:dyDescent="0.3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</row>
    <row r="28" spans="1:45" x14ac:dyDescent="0.3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</row>
    <row r="29" spans="1:45" x14ac:dyDescent="0.3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</row>
    <row r="30" spans="1:45" ht="7.8" customHeight="1" x14ac:dyDescent="0.3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</row>
    <row r="31" spans="1:45" ht="7.8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</row>
    <row r="32" spans="1:45" ht="7.8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</row>
    <row r="33" spans="1:46" ht="7.8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</row>
    <row r="34" spans="1:46" ht="7.8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</row>
    <row r="35" spans="1:46" ht="7.8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</row>
    <row r="36" spans="1:46" ht="7.8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</row>
    <row r="37" spans="1:46" ht="7.8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</row>
    <row r="38" spans="1:46" ht="7.8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</row>
    <row r="39" spans="1:46" ht="7.8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</row>
    <row r="40" spans="1:46" ht="7.8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</row>
    <row r="41" spans="1:46" ht="7.8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</row>
    <row r="42" spans="1:46" ht="7.8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</row>
    <row r="43" spans="1:46" ht="7.8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</row>
    <row r="44" spans="1:46" ht="7.8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</row>
    <row r="45" spans="1:46" ht="7.8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</row>
    <row r="46" spans="1:46" ht="7.8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</row>
    <row r="47" spans="1:46" ht="7.8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7"/>
      <c r="AS47" s="7"/>
      <c r="AT47" s="6"/>
    </row>
    <row r="48" spans="1:46" ht="7.8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</row>
    <row r="49" spans="1:46" ht="7.8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</row>
    <row r="50" spans="1:46" ht="7.8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</row>
    <row r="51" spans="1:46" ht="7.8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</row>
    <row r="52" spans="1:46" ht="7.8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</row>
    <row r="53" spans="1:46" ht="7.8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</row>
    <row r="54" spans="1:46" ht="7.8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</row>
    <row r="55" spans="1:46" ht="7.8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</row>
    <row r="56" spans="1:46" ht="7.8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</row>
    <row r="57" spans="1:46" ht="7.8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</row>
    <row r="58" spans="1:46" ht="7.8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</row>
    <row r="59" spans="1:46" ht="7.8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</row>
    <row r="60" spans="1:46" ht="7.8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</row>
    <row r="61" spans="1:46" ht="7.8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</row>
    <row r="62" spans="1:46" ht="7.8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</row>
    <row r="63" spans="1:46" ht="7.8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</row>
    <row r="64" spans="1:46" ht="7.8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</row>
    <row r="65" spans="1:46" ht="7.8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</row>
    <row r="66" spans="1:46" ht="7.8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</row>
    <row r="67" spans="1:46" ht="7.8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</row>
    <row r="68" spans="1:46" ht="7.8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</row>
    <row r="69" spans="1:46" ht="7.8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</row>
    <row r="70" spans="1:46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</row>
    <row r="71" spans="1:46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</row>
    <row r="72" spans="1:46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7" t="s">
        <v>62</v>
      </c>
      <c r="AS72" s="7" t="s">
        <v>63</v>
      </c>
      <c r="AT72" s="6"/>
    </row>
    <row r="73" spans="1:46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>
        <v>2.5</v>
      </c>
      <c r="AS73" s="6">
        <f>0.28*1000</f>
        <v>280</v>
      </c>
      <c r="AT73" s="6"/>
    </row>
    <row r="74" spans="1:46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>
        <v>3.25</v>
      </c>
      <c r="AS74" s="6">
        <f>0.3*1000</f>
        <v>300</v>
      </c>
      <c r="AT74" s="6"/>
    </row>
    <row r="75" spans="1:46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>
        <v>4.25</v>
      </c>
      <c r="AS75" s="6">
        <f>0.32*1000</f>
        <v>320</v>
      </c>
      <c r="AT75" s="6"/>
    </row>
    <row r="76" spans="1:46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>
        <v>5</v>
      </c>
      <c r="AS76" s="6">
        <f>0.34*1000</f>
        <v>340</v>
      </c>
      <c r="AT76" s="6"/>
    </row>
    <row r="77" spans="1:46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>
        <f>+(5.5+6)/2</f>
        <v>5.75</v>
      </c>
      <c r="AS77" s="6">
        <f>0.36*1000</f>
        <v>360</v>
      </c>
      <c r="AT77" s="6"/>
    </row>
    <row r="78" spans="1:46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>
        <v>7.25</v>
      </c>
      <c r="AS78" s="6">
        <f>0.4*1000</f>
        <v>400</v>
      </c>
      <c r="AT78" s="6"/>
    </row>
    <row r="79" spans="1:46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>
        <f>+(8.5+9)/2</f>
        <v>8.75</v>
      </c>
      <c r="AS79" s="6">
        <f>0.44*1000</f>
        <v>440</v>
      </c>
      <c r="AT79" s="6"/>
    </row>
    <row r="80" spans="1:46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>
        <v>10</v>
      </c>
      <c r="AS80" s="6">
        <f>0.47*1000</f>
        <v>470</v>
      </c>
      <c r="AT80" s="6"/>
    </row>
    <row r="81" spans="1:46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>
        <v>11.5</v>
      </c>
      <c r="AS81" s="6">
        <v>500</v>
      </c>
      <c r="AT81" s="6"/>
    </row>
    <row r="82" spans="1:46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>
        <v>12.5</v>
      </c>
      <c r="AS82" s="6">
        <f>0.51*1000</f>
        <v>510</v>
      </c>
      <c r="AT82" s="6"/>
    </row>
    <row r="83" spans="1:46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</row>
    <row r="84" spans="1:46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</row>
    <row r="85" spans="1:46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</row>
    <row r="86" spans="1:46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</row>
    <row r="87" spans="1:46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</row>
    <row r="88" spans="1:46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</row>
    <row r="89" spans="1:46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</row>
    <row r="90" spans="1:46" x14ac:dyDescent="0.3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</row>
    <row r="91" spans="1:46" x14ac:dyDescent="0.3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</row>
    <row r="92" spans="1:46" x14ac:dyDescent="0.3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</row>
    <row r="93" spans="1:46" x14ac:dyDescent="0.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</row>
    <row r="94" spans="1:46" x14ac:dyDescent="0.3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</row>
  </sheetData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012FD-31C3-43B6-9F73-43D4F1673840}">
  <dimension ref="F8:G30"/>
  <sheetViews>
    <sheetView tabSelected="1" topLeftCell="A5" zoomScale="130" zoomScaleNormal="130" workbookViewId="0">
      <selection activeCell="R17" sqref="R17"/>
    </sheetView>
  </sheetViews>
  <sheetFormatPr defaultRowHeight="14.4" x14ac:dyDescent="0.3"/>
  <sheetData>
    <row r="8" spans="6:7" x14ac:dyDescent="0.3">
      <c r="F8" s="1" t="s">
        <v>62</v>
      </c>
      <c r="G8" s="1" t="s">
        <v>25</v>
      </c>
    </row>
    <row r="9" spans="6:7" x14ac:dyDescent="0.3">
      <c r="F9">
        <v>2.4</v>
      </c>
      <c r="G9">
        <v>9.09</v>
      </c>
    </row>
    <row r="10" spans="6:7" x14ac:dyDescent="0.3">
      <c r="F10">
        <v>3.4</v>
      </c>
      <c r="G10">
        <v>9</v>
      </c>
    </row>
    <row r="11" spans="6:7" x14ac:dyDescent="0.3">
      <c r="F11">
        <v>5.4</v>
      </c>
      <c r="G11">
        <v>8.6666000000000007</v>
      </c>
    </row>
    <row r="12" spans="6:7" x14ac:dyDescent="0.3">
      <c r="F12">
        <v>6</v>
      </c>
      <c r="G12">
        <f>+(8.3333+8.6666)/2</f>
        <v>8.4999500000000001</v>
      </c>
    </row>
    <row r="13" spans="6:7" x14ac:dyDescent="0.3">
      <c r="F13">
        <v>7.4</v>
      </c>
      <c r="G13">
        <v>8</v>
      </c>
    </row>
    <row r="14" spans="6:7" x14ac:dyDescent="0.3">
      <c r="F14">
        <v>8.8000000000000007</v>
      </c>
      <c r="G14">
        <v>7.33</v>
      </c>
    </row>
    <row r="15" spans="6:7" x14ac:dyDescent="0.3">
      <c r="F15">
        <v>9.1999999999999993</v>
      </c>
      <c r="G15">
        <v>7</v>
      </c>
    </row>
    <row r="16" spans="6:7" x14ac:dyDescent="0.3">
      <c r="F16">
        <v>10.4</v>
      </c>
      <c r="G16">
        <v>6.33</v>
      </c>
    </row>
    <row r="17" spans="6:7" x14ac:dyDescent="0.3">
      <c r="F17">
        <v>11.8</v>
      </c>
      <c r="G17">
        <v>5.33</v>
      </c>
    </row>
    <row r="18" spans="6:7" x14ac:dyDescent="0.3">
      <c r="F18">
        <v>12</v>
      </c>
      <c r="G18">
        <v>5.0999999999999996</v>
      </c>
    </row>
    <row r="22" spans="6:7" x14ac:dyDescent="0.3">
      <c r="F22" s="1" t="s">
        <v>62</v>
      </c>
      <c r="G22" s="1" t="s">
        <v>37</v>
      </c>
    </row>
    <row r="23" spans="6:7" x14ac:dyDescent="0.3">
      <c r="F23">
        <v>2.4</v>
      </c>
      <c r="G23" s="5">
        <v>160</v>
      </c>
    </row>
    <row r="24" spans="6:7" x14ac:dyDescent="0.3">
      <c r="F24">
        <v>3.4</v>
      </c>
      <c r="G24" s="5">
        <v>187.5</v>
      </c>
    </row>
    <row r="25" spans="6:7" x14ac:dyDescent="0.3">
      <c r="F25">
        <v>4</v>
      </c>
      <c r="G25" s="5">
        <v>200</v>
      </c>
    </row>
    <row r="26" spans="6:7" x14ac:dyDescent="0.3">
      <c r="F26">
        <v>5.2</v>
      </c>
      <c r="G26" s="5">
        <f>200 + (0.3-0.2)/4*1000</f>
        <v>225</v>
      </c>
    </row>
    <row r="27" spans="6:7" x14ac:dyDescent="0.3">
      <c r="F27">
        <v>6</v>
      </c>
      <c r="G27" s="5">
        <v>240</v>
      </c>
    </row>
    <row r="28" spans="6:7" x14ac:dyDescent="0.3">
      <c r="F28">
        <v>8.1999999999999993</v>
      </c>
      <c r="G28" s="5">
        <v>275</v>
      </c>
    </row>
    <row r="29" spans="6:7" x14ac:dyDescent="0.3">
      <c r="F29">
        <v>9.1999999999999993</v>
      </c>
      <c r="G29">
        <f>275 + 12.5</f>
        <v>287.5</v>
      </c>
    </row>
    <row r="30" spans="6:7" x14ac:dyDescent="0.3">
      <c r="F30">
        <v>12</v>
      </c>
      <c r="G30" s="5">
        <v>312.5</v>
      </c>
    </row>
  </sheetData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32EB6-27E6-40FF-ADC9-E15B51D417E1}">
  <dimension ref="A1:AT94"/>
  <sheetViews>
    <sheetView topLeftCell="D5" zoomScale="160" zoomScaleNormal="160" workbookViewId="0">
      <selection activeCell="Z42" sqref="Z42"/>
    </sheetView>
  </sheetViews>
  <sheetFormatPr defaultRowHeight="14.4" x14ac:dyDescent="0.3"/>
  <cols>
    <col min="2" max="36" width="3.21875" customWidth="1"/>
  </cols>
  <sheetData>
    <row r="1" spans="1:45" x14ac:dyDescent="0.3">
      <c r="A1" s="6"/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</row>
    <row r="2" spans="1:45" x14ac:dyDescent="0.3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</row>
    <row r="3" spans="1:45" x14ac:dyDescent="0.3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</row>
    <row r="4" spans="1:45" x14ac:dyDescent="0.3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</row>
    <row r="5" spans="1:45" x14ac:dyDescent="0.3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</row>
    <row r="6" spans="1:45" x14ac:dyDescent="0.3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</row>
    <row r="7" spans="1:45" x14ac:dyDescent="0.3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spans="1:45" x14ac:dyDescent="0.3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</row>
    <row r="9" spans="1:45" x14ac:dyDescent="0.3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</row>
    <row r="10" spans="1:45" x14ac:dyDescent="0.3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</row>
    <row r="11" spans="1:45" x14ac:dyDescent="0.3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</row>
    <row r="12" spans="1:45" x14ac:dyDescent="0.3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</row>
    <row r="13" spans="1:45" x14ac:dyDescent="0.3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R13" s="1" t="s">
        <v>62</v>
      </c>
      <c r="AS13" s="1" t="s">
        <v>25</v>
      </c>
    </row>
    <row r="14" spans="1:45" x14ac:dyDescent="0.3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R14">
        <v>2.5</v>
      </c>
      <c r="AS14">
        <v>12.5</v>
      </c>
    </row>
    <row r="15" spans="1:45" x14ac:dyDescent="0.3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R15">
        <v>4.25</v>
      </c>
      <c r="AS15">
        <v>12.25</v>
      </c>
    </row>
    <row r="16" spans="1:45" x14ac:dyDescent="0.3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R16">
        <v>4.8499999999999996</v>
      </c>
      <c r="AS16">
        <v>12</v>
      </c>
    </row>
    <row r="17" spans="1:45" x14ac:dyDescent="0.3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R17">
        <v>6.5</v>
      </c>
      <c r="AS17">
        <v>11.25</v>
      </c>
    </row>
    <row r="18" spans="1:45" x14ac:dyDescent="0.3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R18">
        <v>8</v>
      </c>
      <c r="AS18">
        <v>10.25</v>
      </c>
    </row>
    <row r="19" spans="1:45" x14ac:dyDescent="0.3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R19">
        <v>9.75</v>
      </c>
      <c r="AS19">
        <v>8.75</v>
      </c>
    </row>
    <row r="20" spans="1:45" x14ac:dyDescent="0.3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R20">
        <v>10.75</v>
      </c>
      <c r="AS20">
        <v>7.75</v>
      </c>
    </row>
    <row r="21" spans="1:45" x14ac:dyDescent="0.3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R21">
        <v>11.75</v>
      </c>
      <c r="AS21">
        <v>6.5</v>
      </c>
    </row>
    <row r="22" spans="1:45" x14ac:dyDescent="0.3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R22">
        <v>12.75</v>
      </c>
      <c r="AS22">
        <v>5.25</v>
      </c>
    </row>
    <row r="23" spans="1:45" x14ac:dyDescent="0.3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R23">
        <v>13.2</v>
      </c>
      <c r="AS23">
        <v>4.7</v>
      </c>
    </row>
    <row r="24" spans="1:45" x14ac:dyDescent="0.3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</row>
    <row r="25" spans="1:45" x14ac:dyDescent="0.3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</row>
    <row r="26" spans="1:45" x14ac:dyDescent="0.3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</row>
    <row r="27" spans="1:45" x14ac:dyDescent="0.3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</row>
    <row r="28" spans="1:45" x14ac:dyDescent="0.3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</row>
    <row r="29" spans="1:45" x14ac:dyDescent="0.3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</row>
    <row r="30" spans="1:45" ht="7.8" customHeight="1" x14ac:dyDescent="0.3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</row>
    <row r="31" spans="1:45" ht="7.8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</row>
    <row r="32" spans="1:45" ht="7.8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</row>
    <row r="33" spans="1:46" ht="7.8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</row>
    <row r="34" spans="1:46" ht="7.8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</row>
    <row r="35" spans="1:46" ht="7.8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</row>
    <row r="36" spans="1:46" ht="7.8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</row>
    <row r="37" spans="1:46" ht="7.8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</row>
    <row r="38" spans="1:46" ht="7.8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</row>
    <row r="39" spans="1:46" ht="7.8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</row>
    <row r="40" spans="1:46" ht="7.8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</row>
    <row r="41" spans="1:46" ht="7.8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</row>
    <row r="42" spans="1:46" ht="7.8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</row>
    <row r="43" spans="1:46" ht="7.8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</row>
    <row r="44" spans="1:46" ht="7.8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</row>
    <row r="45" spans="1:46" ht="7.8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</row>
    <row r="46" spans="1:46" ht="7.8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</row>
    <row r="47" spans="1:46" ht="7.8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7"/>
      <c r="AS47" s="7"/>
      <c r="AT47" s="6"/>
    </row>
    <row r="48" spans="1:46" ht="7.8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</row>
    <row r="49" spans="1:46" ht="7.8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</row>
    <row r="50" spans="1:46" ht="7.8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</row>
    <row r="51" spans="1:46" ht="7.8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</row>
    <row r="52" spans="1:46" ht="7.8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</row>
    <row r="53" spans="1:46" ht="7.8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</row>
    <row r="54" spans="1:46" ht="7.8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</row>
    <row r="55" spans="1:46" ht="7.8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</row>
    <row r="56" spans="1:46" ht="7.8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</row>
    <row r="57" spans="1:46" ht="7.8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</row>
    <row r="58" spans="1:46" ht="7.8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</row>
    <row r="59" spans="1:46" ht="7.8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</row>
    <row r="60" spans="1:46" ht="7.8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</row>
    <row r="61" spans="1:46" ht="7.8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</row>
    <row r="62" spans="1:46" ht="7.8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</row>
    <row r="63" spans="1:46" ht="7.8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</row>
    <row r="64" spans="1:46" ht="7.8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</row>
    <row r="65" spans="1:46" ht="7.8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</row>
    <row r="66" spans="1:46" ht="7.8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</row>
    <row r="67" spans="1:46" ht="7.8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</row>
    <row r="68" spans="1:46" ht="7.8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</row>
    <row r="69" spans="1:46" ht="7.8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</row>
    <row r="70" spans="1:46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</row>
    <row r="71" spans="1:46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</row>
    <row r="72" spans="1:46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7" t="s">
        <v>62</v>
      </c>
      <c r="AS72" s="7" t="s">
        <v>63</v>
      </c>
      <c r="AT72" s="6"/>
    </row>
    <row r="73" spans="1:46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>
        <v>2.5</v>
      </c>
      <c r="AS73" s="6">
        <f>0.28*1000</f>
        <v>280</v>
      </c>
      <c r="AT73" s="6"/>
    </row>
    <row r="74" spans="1:46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>
        <v>3.25</v>
      </c>
      <c r="AS74" s="6">
        <f>0.3*1000</f>
        <v>300</v>
      </c>
      <c r="AT74" s="6"/>
    </row>
    <row r="75" spans="1:46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>
        <v>4.25</v>
      </c>
      <c r="AS75" s="6">
        <f>0.32*1000</f>
        <v>320</v>
      </c>
      <c r="AT75" s="6"/>
    </row>
    <row r="76" spans="1:46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>
        <v>5</v>
      </c>
      <c r="AS76" s="6">
        <f>0.34*1000</f>
        <v>340</v>
      </c>
      <c r="AT76" s="6"/>
    </row>
    <row r="77" spans="1:46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>
        <f>+(5.5+6)/2</f>
        <v>5.75</v>
      </c>
      <c r="AS77" s="6">
        <f>0.36*1000</f>
        <v>360</v>
      </c>
      <c r="AT77" s="6"/>
    </row>
    <row r="78" spans="1:46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>
        <v>7.25</v>
      </c>
      <c r="AS78" s="6">
        <f>0.4*1000</f>
        <v>400</v>
      </c>
      <c r="AT78" s="6"/>
    </row>
    <row r="79" spans="1:46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>
        <f>+(8.5+9)/2</f>
        <v>8.75</v>
      </c>
      <c r="AS79" s="6">
        <f>0.44*1000</f>
        <v>440</v>
      </c>
      <c r="AT79" s="6"/>
    </row>
    <row r="80" spans="1:46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>
        <v>10</v>
      </c>
      <c r="AS80" s="6">
        <f>0.47*1000</f>
        <v>470</v>
      </c>
      <c r="AT80" s="6"/>
    </row>
    <row r="81" spans="1:46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>
        <v>11.5</v>
      </c>
      <c r="AS81" s="6">
        <v>500</v>
      </c>
      <c r="AT81" s="6"/>
    </row>
    <row r="82" spans="1:46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>
        <v>12.5</v>
      </c>
      <c r="AS82" s="6">
        <f>0.51*1000</f>
        <v>510</v>
      </c>
      <c r="AT82" s="6"/>
    </row>
    <row r="83" spans="1:46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</row>
    <row r="84" spans="1:46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</row>
    <row r="85" spans="1:46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</row>
    <row r="86" spans="1:46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</row>
    <row r="87" spans="1:46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</row>
    <row r="88" spans="1:46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</row>
    <row r="89" spans="1:46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</row>
    <row r="90" spans="1:46" x14ac:dyDescent="0.3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</row>
    <row r="91" spans="1:46" x14ac:dyDescent="0.3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</row>
    <row r="92" spans="1:46" x14ac:dyDescent="0.3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</row>
    <row r="93" spans="1:46" x14ac:dyDescent="0.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</row>
    <row r="94" spans="1:46" x14ac:dyDescent="0.3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</row>
  </sheetData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28FFA-A26D-449C-897F-5EE329789F00}">
  <dimension ref="F8:G32"/>
  <sheetViews>
    <sheetView zoomScaleNormal="100" workbookViewId="0">
      <selection activeCell="S18" sqref="S18"/>
    </sheetView>
  </sheetViews>
  <sheetFormatPr defaultRowHeight="14.4" x14ac:dyDescent="0.3"/>
  <sheetData>
    <row r="8" spans="6:7" x14ac:dyDescent="0.3">
      <c r="F8" s="1" t="s">
        <v>62</v>
      </c>
      <c r="G8" s="1" t="s">
        <v>25</v>
      </c>
    </row>
    <row r="9" spans="6:7" x14ac:dyDescent="0.3">
      <c r="F9">
        <v>2.4</v>
      </c>
      <c r="G9">
        <v>7.6</v>
      </c>
    </row>
    <row r="10" spans="6:7" x14ac:dyDescent="0.3">
      <c r="F10">
        <v>3.6</v>
      </c>
      <c r="G10">
        <v>7.4</v>
      </c>
    </row>
    <row r="11" spans="6:7" x14ac:dyDescent="0.3">
      <c r="F11">
        <v>5.6</v>
      </c>
      <c r="G11">
        <v>7</v>
      </c>
    </row>
    <row r="12" spans="6:7" x14ac:dyDescent="0.3">
      <c r="F12">
        <v>6</v>
      </c>
      <c r="G12">
        <v>6.9</v>
      </c>
    </row>
    <row r="13" spans="6:7" x14ac:dyDescent="0.3">
      <c r="F13">
        <v>7.6</v>
      </c>
      <c r="G13">
        <v>6.3</v>
      </c>
    </row>
    <row r="14" spans="6:7" x14ac:dyDescent="0.3">
      <c r="F14">
        <v>7.8</v>
      </c>
      <c r="G14">
        <v>6.2</v>
      </c>
    </row>
    <row r="15" spans="6:7" x14ac:dyDescent="0.3">
      <c r="F15">
        <v>8.6</v>
      </c>
      <c r="G15">
        <v>5.8</v>
      </c>
    </row>
    <row r="16" spans="6:7" x14ac:dyDescent="0.3">
      <c r="F16">
        <v>9.8000000000000007</v>
      </c>
      <c r="G16">
        <v>5</v>
      </c>
    </row>
    <row r="17" spans="6:7" x14ac:dyDescent="0.3">
      <c r="F17">
        <v>10.6</v>
      </c>
      <c r="G17">
        <v>4.4000000000000004</v>
      </c>
    </row>
    <row r="18" spans="6:7" x14ac:dyDescent="0.3">
      <c r="F18">
        <v>10.8</v>
      </c>
      <c r="G18">
        <v>4.2</v>
      </c>
    </row>
    <row r="22" spans="6:7" x14ac:dyDescent="0.3">
      <c r="F22" s="1" t="s">
        <v>62</v>
      </c>
      <c r="G22" s="1" t="s">
        <v>37</v>
      </c>
    </row>
    <row r="23" spans="6:7" x14ac:dyDescent="0.3">
      <c r="F23">
        <v>2.4</v>
      </c>
      <c r="G23" s="5">
        <v>140</v>
      </c>
    </row>
    <row r="24" spans="6:7" x14ac:dyDescent="0.3">
      <c r="F24">
        <v>3.8</v>
      </c>
      <c r="G24" s="5">
        <v>160</v>
      </c>
    </row>
    <row r="25" spans="6:7" x14ac:dyDescent="0.3">
      <c r="F25">
        <v>4.8</v>
      </c>
      <c r="G25" s="5">
        <v>174</v>
      </c>
    </row>
    <row r="26" spans="6:7" x14ac:dyDescent="0.3">
      <c r="F26">
        <v>5.6</v>
      </c>
      <c r="G26" s="5">
        <v>185</v>
      </c>
    </row>
    <row r="27" spans="6:7" x14ac:dyDescent="0.3">
      <c r="F27">
        <v>5.9</v>
      </c>
      <c r="G27" s="5">
        <v>190</v>
      </c>
    </row>
    <row r="28" spans="6:7" x14ac:dyDescent="0.3">
      <c r="F28">
        <v>6.8</v>
      </c>
      <c r="G28" s="5">
        <v>200</v>
      </c>
    </row>
    <row r="29" spans="6:7" x14ac:dyDescent="0.3">
      <c r="F29">
        <v>7.6</v>
      </c>
      <c r="G29" s="5">
        <v>210</v>
      </c>
    </row>
    <row r="30" spans="6:7" x14ac:dyDescent="0.3">
      <c r="F30">
        <v>9.1999999999999993</v>
      </c>
      <c r="G30" s="5">
        <v>230</v>
      </c>
    </row>
    <row r="31" spans="6:7" x14ac:dyDescent="0.3">
      <c r="F31">
        <v>10</v>
      </c>
      <c r="G31" s="5">
        <v>240</v>
      </c>
    </row>
    <row r="32" spans="6:7" x14ac:dyDescent="0.3">
      <c r="F32">
        <v>10.7</v>
      </c>
      <c r="G32" s="5">
        <v>250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16</vt:i4>
      </vt:variant>
    </vt:vector>
  </HeadingPairs>
  <TitlesOfParts>
    <vt:vector size="16" baseType="lpstr">
      <vt:lpstr>Foglio1</vt:lpstr>
      <vt:lpstr>Foglio2</vt:lpstr>
      <vt:lpstr>Foglio3</vt:lpstr>
      <vt:lpstr>Nominal</vt:lpstr>
      <vt:lpstr>P101</vt:lpstr>
      <vt:lpstr>P101_points</vt:lpstr>
      <vt:lpstr>P202-P606</vt:lpstr>
      <vt:lpstr>P202_point</vt:lpstr>
      <vt:lpstr>PR01</vt:lpstr>
      <vt:lpstr>PR01_points</vt:lpstr>
      <vt:lpstr>P901</vt:lpstr>
      <vt:lpstr>P301</vt:lpstr>
      <vt:lpstr>P302</vt:lpstr>
      <vt:lpstr>P302_points</vt:lpstr>
      <vt:lpstr>P701</vt:lpstr>
      <vt:lpstr>P701_points</vt:lpstr>
    </vt:vector>
  </TitlesOfParts>
  <Company>RSE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Muro Alvarado Marcelo Andre (RSE)</dc:creator>
  <cp:lastModifiedBy>Muro Alvarado Marcelo Andre (RSE)</cp:lastModifiedBy>
  <dcterms:created xsi:type="dcterms:W3CDTF">2023-02-16T15:23:56Z</dcterms:created>
  <dcterms:modified xsi:type="dcterms:W3CDTF">2023-11-02T22:17:51Z</dcterms:modified>
</cp:coreProperties>
</file>