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lients\Nashville\Tasks\Task9_ReCalibration\Validation\transit\"/>
    </mc:Choice>
  </mc:AlternateContent>
  <bookViews>
    <workbookView xWindow="0" yWindow="0" windowWidth="28800" windowHeight="12435" tabRatio="763"/>
  </bookViews>
  <sheets>
    <sheet name="BoardingByRoute_All" sheetId="22" r:id="rId1"/>
    <sheet name="PrilimTable" sheetId="1" r:id="rId2"/>
    <sheet name="Aggregated_Transit_Final_V2" sheetId="25" r:id="rId3"/>
    <sheet name="BoardingByRoute_ABM" sheetId="18" r:id="rId4"/>
    <sheet name="TrnStat.asc" sheetId="24" r:id="rId5"/>
    <sheet name="OBS_RteName" sheetId="8" r:id="rId6"/>
    <sheet name="ABM_RteName" sheetId="9" r:id="rId7"/>
  </sheets>
  <definedNames>
    <definedName name="_xlnm._FilterDatabase" localSheetId="0" hidden="1">BoardingByRoute_All!$A$14:$J$67</definedName>
  </definedNames>
  <calcPr calcId="162913"/>
</workbook>
</file>

<file path=xl/calcChain.xml><?xml version="1.0" encoding="utf-8"?>
<calcChain xmlns="http://schemas.openxmlformats.org/spreadsheetml/2006/main">
  <c r="B52" i="18" l="1"/>
  <c r="C52" i="18"/>
  <c r="D52" i="18"/>
  <c r="E52" i="18"/>
  <c r="F52" i="18"/>
  <c r="G52" i="18"/>
  <c r="H52" i="18"/>
  <c r="I52" i="18"/>
  <c r="J52" i="18"/>
  <c r="K52" i="18"/>
  <c r="M52" i="18" s="1"/>
  <c r="N52" i="18" s="1"/>
  <c r="C66" i="22" l="1"/>
  <c r="B53" i="9"/>
  <c r="C53" i="9" s="1"/>
  <c r="P55" i="1" s="1"/>
  <c r="D53" i="9"/>
  <c r="U55" i="1" s="1"/>
  <c r="E53" i="9"/>
  <c r="B51" i="18"/>
  <c r="C51" i="18"/>
  <c r="D51" i="18"/>
  <c r="E51" i="18"/>
  <c r="F51" i="18"/>
  <c r="G51" i="18"/>
  <c r="H51" i="18"/>
  <c r="I51" i="18"/>
  <c r="J51" i="18"/>
  <c r="K51" i="18"/>
  <c r="M51" i="18" s="1"/>
  <c r="N51" i="18" s="1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15" i="22"/>
  <c r="A66" i="22" l="1"/>
  <c r="D66" i="22"/>
  <c r="Z26" i="22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2" i="9"/>
  <c r="M31" i="1"/>
  <c r="D3" i="9"/>
  <c r="M5" i="1" s="1"/>
  <c r="D4" i="9"/>
  <c r="M6" i="1" s="1"/>
  <c r="D5" i="9"/>
  <c r="U7" i="1" s="1"/>
  <c r="A18" i="22" s="1"/>
  <c r="D6" i="9"/>
  <c r="U8" i="1" s="1"/>
  <c r="A19" i="22" s="1"/>
  <c r="D7" i="9"/>
  <c r="U9" i="1" s="1"/>
  <c r="A20" i="22" s="1"/>
  <c r="D8" i="9"/>
  <c r="U10" i="1" s="1"/>
  <c r="A21" i="22" s="1"/>
  <c r="D9" i="9"/>
  <c r="U11" i="1" s="1"/>
  <c r="A22" i="22" s="1"/>
  <c r="D10" i="9"/>
  <c r="U12" i="1" s="1"/>
  <c r="A23" i="22" s="1"/>
  <c r="D11" i="9"/>
  <c r="U13" i="1" s="1"/>
  <c r="A24" i="22" s="1"/>
  <c r="D12" i="9"/>
  <c r="U14" i="1" s="1"/>
  <c r="A25" i="22" s="1"/>
  <c r="D13" i="9"/>
  <c r="U15" i="1" s="1"/>
  <c r="A26" i="22" s="1"/>
  <c r="D14" i="9"/>
  <c r="U16" i="1" s="1"/>
  <c r="A27" i="22" s="1"/>
  <c r="D15" i="9"/>
  <c r="U17" i="1" s="1"/>
  <c r="A28" i="22" s="1"/>
  <c r="D16" i="9"/>
  <c r="U18" i="1" s="1"/>
  <c r="A29" i="22" s="1"/>
  <c r="D17" i="9"/>
  <c r="U19" i="1" s="1"/>
  <c r="A30" i="22" s="1"/>
  <c r="D18" i="9"/>
  <c r="U20" i="1" s="1"/>
  <c r="A31" i="22" s="1"/>
  <c r="D19" i="9"/>
  <c r="U21" i="1" s="1"/>
  <c r="A32" i="22" s="1"/>
  <c r="D20" i="9"/>
  <c r="U22" i="1" s="1"/>
  <c r="A33" i="22" s="1"/>
  <c r="D21" i="9"/>
  <c r="U23" i="1" s="1"/>
  <c r="A34" i="22" s="1"/>
  <c r="D22" i="9"/>
  <c r="U24" i="1" s="1"/>
  <c r="A35" i="22" s="1"/>
  <c r="D23" i="9"/>
  <c r="U25" i="1" s="1"/>
  <c r="A36" i="22" s="1"/>
  <c r="D24" i="9"/>
  <c r="U26" i="1" s="1"/>
  <c r="A37" i="22" s="1"/>
  <c r="D25" i="9"/>
  <c r="M27" i="1" s="1"/>
  <c r="D26" i="9"/>
  <c r="M28" i="1" s="1"/>
  <c r="D27" i="9"/>
  <c r="U29" i="1" s="1"/>
  <c r="A40" i="22" s="1"/>
  <c r="D28" i="9"/>
  <c r="U30" i="1" s="1"/>
  <c r="A41" i="22" s="1"/>
  <c r="D29" i="9"/>
  <c r="U31" i="1" s="1"/>
  <c r="A42" i="22" s="1"/>
  <c r="D30" i="9"/>
  <c r="U32" i="1" s="1"/>
  <c r="A43" i="22" s="1"/>
  <c r="D31" i="9"/>
  <c r="U33" i="1" s="1"/>
  <c r="A44" i="22" s="1"/>
  <c r="D32" i="9"/>
  <c r="U34" i="1" s="1"/>
  <c r="A45" i="22" s="1"/>
  <c r="D33" i="9"/>
  <c r="M35" i="1" s="1"/>
  <c r="D34" i="9"/>
  <c r="M36" i="1" s="1"/>
  <c r="D35" i="9"/>
  <c r="U37" i="1" s="1"/>
  <c r="A48" i="22" s="1"/>
  <c r="D36" i="9"/>
  <c r="M38" i="1" s="1"/>
  <c r="D37" i="9"/>
  <c r="M39" i="1" s="1"/>
  <c r="D38" i="9"/>
  <c r="M40" i="1" s="1"/>
  <c r="D39" i="9"/>
  <c r="U41" i="1" s="1"/>
  <c r="A52" i="22" s="1"/>
  <c r="D40" i="9"/>
  <c r="M42" i="1" s="1"/>
  <c r="D41" i="9"/>
  <c r="M43" i="1" s="1"/>
  <c r="D42" i="9"/>
  <c r="M44" i="1" s="1"/>
  <c r="D43" i="9"/>
  <c r="M45" i="1" s="1"/>
  <c r="D44" i="9"/>
  <c r="M46" i="1" s="1"/>
  <c r="D45" i="9"/>
  <c r="M47" i="1" s="1"/>
  <c r="D46" i="9"/>
  <c r="M48" i="1" s="1"/>
  <c r="D47" i="9"/>
  <c r="M49" i="1" s="1"/>
  <c r="D48" i="9"/>
  <c r="M50" i="1" s="1"/>
  <c r="D49" i="9"/>
  <c r="M51" i="1" s="1"/>
  <c r="D50" i="9"/>
  <c r="M52" i="1" s="1"/>
  <c r="D51" i="9"/>
  <c r="M53" i="1" s="1"/>
  <c r="D52" i="9"/>
  <c r="M54" i="1" s="1"/>
  <c r="D2" i="9"/>
  <c r="U4" i="1" s="1"/>
  <c r="B3" i="9"/>
  <c r="C3" i="9" s="1"/>
  <c r="P5" i="1" s="1"/>
  <c r="D16" i="22" s="1"/>
  <c r="Z51" i="22" s="1"/>
  <c r="B4" i="9"/>
  <c r="C4" i="9" s="1"/>
  <c r="P6" i="1" s="1"/>
  <c r="D17" i="22" s="1"/>
  <c r="Z23" i="22" s="1"/>
  <c r="B5" i="9"/>
  <c r="C5" i="9" s="1"/>
  <c r="P7" i="1" s="1"/>
  <c r="D18" i="22" s="1"/>
  <c r="Z22" i="22" s="1"/>
  <c r="B6" i="9"/>
  <c r="C6" i="9" s="1"/>
  <c r="P8" i="1" s="1"/>
  <c r="D19" i="22" s="1"/>
  <c r="Z25" i="22" s="1"/>
  <c r="B7" i="9"/>
  <c r="C7" i="9" s="1"/>
  <c r="P9" i="1" s="1"/>
  <c r="D20" i="22" s="1"/>
  <c r="Z28" i="22" s="1"/>
  <c r="B8" i="9"/>
  <c r="C8" i="9" s="1"/>
  <c r="P10" i="1" s="1"/>
  <c r="D21" i="22" s="1"/>
  <c r="Z21" i="22" s="1"/>
  <c r="B9" i="9"/>
  <c r="C9" i="9" s="1"/>
  <c r="P11" i="1" s="1"/>
  <c r="D22" i="22" s="1"/>
  <c r="Z35" i="22" s="1"/>
  <c r="B10" i="9"/>
  <c r="C10" i="9" s="1"/>
  <c r="P12" i="1" s="1"/>
  <c r="D23" i="22" s="1"/>
  <c r="Z34" i="22" s="1"/>
  <c r="B11" i="9"/>
  <c r="C11" i="9" s="1"/>
  <c r="P13" i="1" s="1"/>
  <c r="D24" i="22" s="1"/>
  <c r="Z18" i="22" s="1"/>
  <c r="B12" i="9"/>
  <c r="C12" i="9" s="1"/>
  <c r="P14" i="1" s="1"/>
  <c r="D25" i="22" s="1"/>
  <c r="Z33" i="22" s="1"/>
  <c r="B13" i="9"/>
  <c r="C13" i="9" s="1"/>
  <c r="P15" i="1" s="1"/>
  <c r="D26" i="22" s="1"/>
  <c r="Z15" i="22" s="1"/>
  <c r="B14" i="9"/>
  <c r="C14" i="9" s="1"/>
  <c r="P16" i="1" s="1"/>
  <c r="D27" i="22" s="1"/>
  <c r="Z29" i="22" s="1"/>
  <c r="B15" i="9"/>
  <c r="C15" i="9" s="1"/>
  <c r="P17" i="1" s="1"/>
  <c r="D28" i="22" s="1"/>
  <c r="Z40" i="22" s="1"/>
  <c r="B16" i="9"/>
  <c r="C16" i="9" s="1"/>
  <c r="P18" i="1" s="1"/>
  <c r="D29" i="22" s="1"/>
  <c r="Z27" i="22" s="1"/>
  <c r="B17" i="9"/>
  <c r="C17" i="9" s="1"/>
  <c r="P19" i="1" s="1"/>
  <c r="D30" i="22" s="1"/>
  <c r="Z43" i="22" s="1"/>
  <c r="B18" i="9"/>
  <c r="C18" i="9" s="1"/>
  <c r="P20" i="1" s="1"/>
  <c r="D31" i="22" s="1"/>
  <c r="Z42" i="22" s="1"/>
  <c r="B19" i="9"/>
  <c r="C19" i="9" s="1"/>
  <c r="P21" i="1" s="1"/>
  <c r="D32" i="22" s="1"/>
  <c r="Z20" i="22" s="1"/>
  <c r="B20" i="9"/>
  <c r="C20" i="9" s="1"/>
  <c r="P22" i="1" s="1"/>
  <c r="D33" i="22" s="1"/>
  <c r="Z19" i="22" s="1"/>
  <c r="B21" i="9"/>
  <c r="C21" i="9" s="1"/>
  <c r="P23" i="1" s="1"/>
  <c r="D34" i="22" s="1"/>
  <c r="Z44" i="22" s="1"/>
  <c r="B22" i="9"/>
  <c r="C22" i="9" s="1"/>
  <c r="P24" i="1" s="1"/>
  <c r="D35" i="22" s="1"/>
  <c r="Z37" i="22" s="1"/>
  <c r="B23" i="9"/>
  <c r="C23" i="9" s="1"/>
  <c r="P25" i="1" s="1"/>
  <c r="D36" i="22" s="1"/>
  <c r="Z24" i="22" s="1"/>
  <c r="B24" i="9"/>
  <c r="C24" i="9" s="1"/>
  <c r="P26" i="1" s="1"/>
  <c r="D37" i="22" s="1"/>
  <c r="Z57" i="22" s="1"/>
  <c r="B25" i="9"/>
  <c r="C25" i="9" s="1"/>
  <c r="P27" i="1" s="1"/>
  <c r="D38" i="22" s="1"/>
  <c r="Z38" i="22" s="1"/>
  <c r="B26" i="9"/>
  <c r="C26" i="9" s="1"/>
  <c r="P28" i="1" s="1"/>
  <c r="D39" i="22" s="1"/>
  <c r="Z30" i="22" s="1"/>
  <c r="B27" i="9"/>
  <c r="C27" i="9" s="1"/>
  <c r="P29" i="1" s="1"/>
  <c r="D40" i="22" s="1"/>
  <c r="Z45" i="22" s="1"/>
  <c r="B28" i="9"/>
  <c r="C28" i="9" s="1"/>
  <c r="P30" i="1" s="1"/>
  <c r="D41" i="22" s="1"/>
  <c r="Z50" i="22" s="1"/>
  <c r="B29" i="9"/>
  <c r="C29" i="9" s="1"/>
  <c r="P31" i="1" s="1"/>
  <c r="D42" i="22" s="1"/>
  <c r="Z41" i="22" s="1"/>
  <c r="B30" i="9"/>
  <c r="C30" i="9" s="1"/>
  <c r="P32" i="1" s="1"/>
  <c r="D43" i="22" s="1"/>
  <c r="Z49" i="22" s="1"/>
  <c r="B31" i="9"/>
  <c r="C31" i="9" s="1"/>
  <c r="P33" i="1" s="1"/>
  <c r="D44" i="22" s="1"/>
  <c r="Z54" i="22" s="1"/>
  <c r="B32" i="9"/>
  <c r="C32" i="9" s="1"/>
  <c r="P34" i="1" s="1"/>
  <c r="D45" i="22" s="1"/>
  <c r="Z65" i="22" s="1"/>
  <c r="B33" i="9"/>
  <c r="C33" i="9" s="1"/>
  <c r="P35" i="1" s="1"/>
  <c r="D46" i="22" s="1"/>
  <c r="Z48" i="22" s="1"/>
  <c r="B34" i="9"/>
  <c r="C34" i="9" s="1"/>
  <c r="P36" i="1" s="1"/>
  <c r="D47" i="22" s="1"/>
  <c r="Z55" i="22" s="1"/>
  <c r="B35" i="9"/>
  <c r="C35" i="9" s="1"/>
  <c r="P37" i="1" s="1"/>
  <c r="D48" i="22" s="1"/>
  <c r="Z36" i="22" s="1"/>
  <c r="B36" i="9"/>
  <c r="C36" i="9" s="1"/>
  <c r="P38" i="1" s="1"/>
  <c r="D49" i="22" s="1"/>
  <c r="Z47" i="22" s="1"/>
  <c r="B37" i="9"/>
  <c r="C37" i="9" s="1"/>
  <c r="P39" i="1" s="1"/>
  <c r="D50" i="22" s="1"/>
  <c r="Z17" i="22" s="1"/>
  <c r="B38" i="9"/>
  <c r="C38" i="9" s="1"/>
  <c r="P40" i="1" s="1"/>
  <c r="D51" i="22" s="1"/>
  <c r="Z16" i="22" s="1"/>
  <c r="B39" i="9"/>
  <c r="C39" i="9" s="1"/>
  <c r="P41" i="1" s="1"/>
  <c r="D52" i="22" s="1"/>
  <c r="Z31" i="22" s="1"/>
  <c r="B40" i="9"/>
  <c r="C40" i="9" s="1"/>
  <c r="P42" i="1" s="1"/>
  <c r="D53" i="22" s="1"/>
  <c r="Z32" i="22" s="1"/>
  <c r="B41" i="9"/>
  <c r="C41" i="9" s="1"/>
  <c r="P43" i="1" s="1"/>
  <c r="D54" i="22" s="1"/>
  <c r="Z59" i="22" s="1"/>
  <c r="B42" i="9"/>
  <c r="C42" i="9" s="1"/>
  <c r="P44" i="1" s="1"/>
  <c r="D55" i="22" s="1"/>
  <c r="Z39" i="22" s="1"/>
  <c r="B43" i="9"/>
  <c r="C43" i="9" s="1"/>
  <c r="P45" i="1" s="1"/>
  <c r="D56" i="22" s="1"/>
  <c r="Z62" i="22" s="1"/>
  <c r="B44" i="9"/>
  <c r="C44" i="9" s="1"/>
  <c r="P46" i="1" s="1"/>
  <c r="D57" i="22" s="1"/>
  <c r="Z53" i="22" s="1"/>
  <c r="B45" i="9"/>
  <c r="C45" i="9" s="1"/>
  <c r="P47" i="1" s="1"/>
  <c r="D58" i="22" s="1"/>
  <c r="Z58" i="22" s="1"/>
  <c r="B46" i="9"/>
  <c r="C46" i="9" s="1"/>
  <c r="P48" i="1" s="1"/>
  <c r="B47" i="9"/>
  <c r="C47" i="9" s="1"/>
  <c r="P49" i="1" s="1"/>
  <c r="D60" i="22" s="1"/>
  <c r="Z66" i="22" s="1"/>
  <c r="B48" i="9"/>
  <c r="C48" i="9" s="1"/>
  <c r="P50" i="1" s="1"/>
  <c r="B49" i="9"/>
  <c r="C49" i="9" s="1"/>
  <c r="P51" i="1" s="1"/>
  <c r="B50" i="9"/>
  <c r="C50" i="9" s="1"/>
  <c r="P52" i="1" s="1"/>
  <c r="B51" i="9"/>
  <c r="C51" i="9" s="1"/>
  <c r="P53" i="1" s="1"/>
  <c r="B52" i="9"/>
  <c r="C52" i="9" s="1"/>
  <c r="P54" i="1" s="1"/>
  <c r="B2" i="9"/>
  <c r="C2" i="9" s="1"/>
  <c r="P4" i="1" s="1"/>
  <c r="D15" i="22" s="1"/>
  <c r="Z56" i="22" s="1"/>
  <c r="H38" i="25"/>
  <c r="C5" i="1" s="1"/>
  <c r="Q5" i="1" s="1"/>
  <c r="H10" i="25"/>
  <c r="C6" i="1" s="1"/>
  <c r="Q6" i="1" s="1"/>
  <c r="H9" i="25"/>
  <c r="C7" i="1" s="1"/>
  <c r="Q7" i="1" s="1"/>
  <c r="H12" i="25"/>
  <c r="C8" i="1" s="1"/>
  <c r="Q8" i="1" s="1"/>
  <c r="H15" i="25"/>
  <c r="C9" i="1" s="1"/>
  <c r="Q9" i="1" s="1"/>
  <c r="H8" i="25"/>
  <c r="C10" i="1" s="1"/>
  <c r="Q10" i="1" s="1"/>
  <c r="H22" i="25"/>
  <c r="C11" i="1" s="1"/>
  <c r="Q11" i="1" s="1"/>
  <c r="H21" i="25"/>
  <c r="C12" i="1" s="1"/>
  <c r="Q12" i="1" s="1"/>
  <c r="H5" i="25"/>
  <c r="C13" i="1" s="1"/>
  <c r="Q13" i="1" s="1"/>
  <c r="H20" i="25"/>
  <c r="C14" i="1" s="1"/>
  <c r="Q14" i="1" s="1"/>
  <c r="H2" i="25"/>
  <c r="C15" i="1" s="1"/>
  <c r="Q15" i="1" s="1"/>
  <c r="H16" i="25"/>
  <c r="C16" i="1" s="1"/>
  <c r="Q16" i="1" s="1"/>
  <c r="H27" i="25"/>
  <c r="C17" i="1" s="1"/>
  <c r="Q17" i="1" s="1"/>
  <c r="H14" i="25"/>
  <c r="C18" i="1" s="1"/>
  <c r="Q18" i="1" s="1"/>
  <c r="H30" i="25"/>
  <c r="C19" i="1" s="1"/>
  <c r="Q19" i="1" s="1"/>
  <c r="H29" i="25"/>
  <c r="C20" i="1" s="1"/>
  <c r="Q20" i="1" s="1"/>
  <c r="H7" i="25"/>
  <c r="C21" i="1" s="1"/>
  <c r="Q21" i="1" s="1"/>
  <c r="H6" i="25"/>
  <c r="C22" i="1" s="1"/>
  <c r="Q22" i="1" s="1"/>
  <c r="H31" i="25"/>
  <c r="C23" i="1" s="1"/>
  <c r="Q23" i="1" s="1"/>
  <c r="H24" i="25"/>
  <c r="C24" i="1" s="1"/>
  <c r="Q24" i="1" s="1"/>
  <c r="H11" i="25"/>
  <c r="C25" i="1" s="1"/>
  <c r="Q25" i="1" s="1"/>
  <c r="H44" i="25"/>
  <c r="C26" i="1" s="1"/>
  <c r="Q26" i="1" s="1"/>
  <c r="H25" i="25"/>
  <c r="C27" i="1" s="1"/>
  <c r="Q27" i="1" s="1"/>
  <c r="H17" i="25"/>
  <c r="C28" i="1" s="1"/>
  <c r="Q28" i="1" s="1"/>
  <c r="H32" i="25"/>
  <c r="C29" i="1" s="1"/>
  <c r="Q29" i="1" s="1"/>
  <c r="H37" i="25"/>
  <c r="C30" i="1" s="1"/>
  <c r="Q30" i="1" s="1"/>
  <c r="H28" i="25"/>
  <c r="C31" i="1" s="1"/>
  <c r="Q31" i="1" s="1"/>
  <c r="H36" i="25"/>
  <c r="C32" i="1" s="1"/>
  <c r="Q32" i="1" s="1"/>
  <c r="H41" i="25"/>
  <c r="C33" i="1" s="1"/>
  <c r="Q33" i="1" s="1"/>
  <c r="H52" i="25"/>
  <c r="C34" i="1" s="1"/>
  <c r="Q34" i="1" s="1"/>
  <c r="H35" i="25"/>
  <c r="C35" i="1" s="1"/>
  <c r="Q35" i="1" s="1"/>
  <c r="H42" i="25"/>
  <c r="C36" i="1" s="1"/>
  <c r="Q36" i="1" s="1"/>
  <c r="H23" i="25"/>
  <c r="C37" i="1" s="1"/>
  <c r="Q37" i="1" s="1"/>
  <c r="H34" i="25"/>
  <c r="C38" i="1" s="1"/>
  <c r="Q38" i="1" s="1"/>
  <c r="H4" i="25"/>
  <c r="C39" i="1" s="1"/>
  <c r="Q39" i="1" s="1"/>
  <c r="H3" i="25"/>
  <c r="C40" i="1" s="1"/>
  <c r="Q40" i="1" s="1"/>
  <c r="H18" i="25"/>
  <c r="C41" i="1" s="1"/>
  <c r="Q41" i="1" s="1"/>
  <c r="H19" i="25"/>
  <c r="C42" i="1" s="1"/>
  <c r="Q42" i="1" s="1"/>
  <c r="H46" i="25"/>
  <c r="C43" i="1" s="1"/>
  <c r="Q43" i="1" s="1"/>
  <c r="H26" i="25"/>
  <c r="C44" i="1" s="1"/>
  <c r="Q44" i="1" s="1"/>
  <c r="H49" i="25"/>
  <c r="C45" i="1" s="1"/>
  <c r="Q45" i="1" s="1"/>
  <c r="H40" i="25"/>
  <c r="C46" i="1" s="1"/>
  <c r="Q46" i="1" s="1"/>
  <c r="H45" i="25"/>
  <c r="C47" i="1" s="1"/>
  <c r="Q47" i="1" s="1"/>
  <c r="H50" i="25"/>
  <c r="C48" i="1" s="1"/>
  <c r="Q48" i="1" s="1"/>
  <c r="H53" i="25"/>
  <c r="C49" i="1" s="1"/>
  <c r="Q49" i="1" s="1"/>
  <c r="H13" i="25"/>
  <c r="H47" i="25"/>
  <c r="C51" i="1" s="1"/>
  <c r="Q50" i="1" s="1"/>
  <c r="H48" i="25"/>
  <c r="C52" i="1" s="1"/>
  <c r="Q51" i="1" s="1"/>
  <c r="H33" i="25"/>
  <c r="C53" i="1" s="1"/>
  <c r="Q52" i="1" s="1"/>
  <c r="H51" i="25"/>
  <c r="C54" i="1" s="1"/>
  <c r="Q53" i="1" s="1"/>
  <c r="H39" i="25"/>
  <c r="C55" i="1" s="1"/>
  <c r="Q54" i="1" s="1"/>
  <c r="H43" i="25"/>
  <c r="C4" i="1" s="1"/>
  <c r="Q4" i="1" s="1"/>
  <c r="B50" i="18"/>
  <c r="C50" i="18"/>
  <c r="D50" i="18"/>
  <c r="E50" i="18"/>
  <c r="F50" i="18"/>
  <c r="G50" i="18"/>
  <c r="H50" i="18"/>
  <c r="I50" i="18"/>
  <c r="J50" i="18"/>
  <c r="K50" i="18"/>
  <c r="M50" i="18" s="1"/>
  <c r="N50" i="18" s="1"/>
  <c r="M29" i="1" l="1"/>
  <c r="M30" i="1"/>
  <c r="M16" i="1"/>
  <c r="M15" i="1"/>
  <c r="M14" i="1"/>
  <c r="M13" i="1"/>
  <c r="M12" i="1"/>
  <c r="M11" i="1"/>
  <c r="U54" i="1"/>
  <c r="A65" i="22" s="1"/>
  <c r="U53" i="1"/>
  <c r="U52" i="1"/>
  <c r="A63" i="22" s="1"/>
  <c r="U51" i="1"/>
  <c r="M41" i="1"/>
  <c r="M10" i="1"/>
  <c r="M9" i="1"/>
  <c r="M8" i="1"/>
  <c r="U50" i="1"/>
  <c r="A61" i="22" s="1"/>
  <c r="U49" i="1"/>
  <c r="A60" i="22" s="1"/>
  <c r="U48" i="1"/>
  <c r="A59" i="22" s="1"/>
  <c r="M7" i="1"/>
  <c r="U47" i="1"/>
  <c r="A58" i="22" s="1"/>
  <c r="U45" i="1"/>
  <c r="A56" i="22" s="1"/>
  <c r="U6" i="1"/>
  <c r="A17" i="22" s="1"/>
  <c r="D64" i="22"/>
  <c r="Z64" i="22" s="1"/>
  <c r="C50" i="1"/>
  <c r="C56" i="1"/>
  <c r="Q55" i="1" s="1"/>
  <c r="M32" i="1"/>
  <c r="U46" i="1"/>
  <c r="A57" i="22" s="1"/>
  <c r="U28" i="1"/>
  <c r="A39" i="22" s="1"/>
  <c r="U27" i="1"/>
  <c r="A38" i="22" s="1"/>
  <c r="A64" i="22"/>
  <c r="A62" i="22"/>
  <c r="D65" i="22"/>
  <c r="Z52" i="22" s="1"/>
  <c r="A15" i="22"/>
  <c r="AA51" i="22"/>
  <c r="AA66" i="22"/>
  <c r="E58" i="22"/>
  <c r="E33" i="22"/>
  <c r="E49" i="22"/>
  <c r="AA18" i="22"/>
  <c r="E44" i="22"/>
  <c r="D62" i="22"/>
  <c r="D61" i="22"/>
  <c r="Z60" i="22" s="1"/>
  <c r="D59" i="22"/>
  <c r="Z63" i="22" s="1"/>
  <c r="D63" i="22"/>
  <c r="Z61" i="22" s="1"/>
  <c r="U44" i="1"/>
  <c r="A55" i="22" s="1"/>
  <c r="U43" i="1"/>
  <c r="A54" i="22" s="1"/>
  <c r="M37" i="1"/>
  <c r="U42" i="1"/>
  <c r="A53" i="22" s="1"/>
  <c r="M26" i="1"/>
  <c r="M34" i="1"/>
  <c r="U5" i="1"/>
  <c r="E32" i="22" s="1"/>
  <c r="M25" i="1"/>
  <c r="U40" i="1"/>
  <c r="A51" i="22" s="1"/>
  <c r="M24" i="1"/>
  <c r="U39" i="1"/>
  <c r="A50" i="22" s="1"/>
  <c r="M23" i="1"/>
  <c r="U38" i="1"/>
  <c r="A49" i="22" s="1"/>
  <c r="M22" i="1"/>
  <c r="M21" i="1"/>
  <c r="U36" i="1"/>
  <c r="A47" i="22" s="1"/>
  <c r="M33" i="1"/>
  <c r="M20" i="1"/>
  <c r="U35" i="1"/>
  <c r="A46" i="22" s="1"/>
  <c r="M4" i="1"/>
  <c r="M19" i="1"/>
  <c r="M18" i="1"/>
  <c r="M17" i="1"/>
  <c r="K5" i="22"/>
  <c r="K6" i="22"/>
  <c r="K7" i="22"/>
  <c r="K4" i="22"/>
  <c r="AA32" i="22" l="1"/>
  <c r="AA49" i="22"/>
  <c r="E63" i="22"/>
  <c r="E18" i="22"/>
  <c r="AA17" i="22"/>
  <c r="AA64" i="22"/>
  <c r="E21" i="22"/>
  <c r="E42" i="22"/>
  <c r="AA43" i="22"/>
  <c r="E50" i="22"/>
  <c r="AA16" i="22"/>
  <c r="A16" i="22"/>
  <c r="AA19" i="22"/>
  <c r="AA34" i="22"/>
  <c r="AA33" i="22"/>
  <c r="AA28" i="22"/>
  <c r="AA25" i="22"/>
  <c r="AA23" i="22"/>
  <c r="AA21" i="22"/>
  <c r="AA38" i="22"/>
  <c r="AA37" i="22"/>
  <c r="AA36" i="22"/>
  <c r="AA30" i="22"/>
  <c r="AA29" i="22"/>
  <c r="AA27" i="22"/>
  <c r="AA26" i="22"/>
  <c r="AA65" i="22"/>
  <c r="AA24" i="22"/>
  <c r="AA63" i="22"/>
  <c r="AA22" i="22"/>
  <c r="AA61" i="22"/>
  <c r="AA20" i="22"/>
  <c r="AA48" i="22"/>
  <c r="AA47" i="22"/>
  <c r="AA55" i="22"/>
  <c r="AA42" i="22"/>
  <c r="E51" i="22"/>
  <c r="E24" i="22"/>
  <c r="E25" i="22"/>
  <c r="AA50" i="22"/>
  <c r="E64" i="22"/>
  <c r="E27" i="22"/>
  <c r="E29" i="22"/>
  <c r="AA15" i="22"/>
  <c r="E57" i="22"/>
  <c r="E40" i="22"/>
  <c r="AA39" i="22"/>
  <c r="AA53" i="22"/>
  <c r="E47" i="22"/>
  <c r="E19" i="22"/>
  <c r="E26" i="22"/>
  <c r="E61" i="22"/>
  <c r="AA59" i="22"/>
  <c r="E16" i="22"/>
  <c r="AA41" i="22"/>
  <c r="E20" i="22"/>
  <c r="E34" i="22"/>
  <c r="AA46" i="22"/>
  <c r="AA54" i="22"/>
  <c r="E62" i="22"/>
  <c r="AA40" i="22"/>
  <c r="E52" i="22"/>
  <c r="E53" i="22"/>
  <c r="E55" i="22"/>
  <c r="E15" i="22"/>
  <c r="E43" i="22"/>
  <c r="E22" i="22"/>
  <c r="AA62" i="22"/>
  <c r="AA45" i="22"/>
  <c r="E35" i="22"/>
  <c r="E66" i="22"/>
  <c r="AA60" i="22"/>
  <c r="E37" i="22"/>
  <c r="E38" i="22"/>
  <c r="E23" i="22"/>
  <c r="AA58" i="22"/>
  <c r="AA52" i="22"/>
  <c r="E39" i="22"/>
  <c r="AA57" i="22"/>
  <c r="AA44" i="22"/>
  <c r="AA35" i="22"/>
  <c r="E48" i="22"/>
  <c r="E17" i="22"/>
  <c r="E46" i="22"/>
  <c r="E54" i="22"/>
  <c r="E65" i="22"/>
  <c r="E31" i="22"/>
  <c r="E56" i="22"/>
  <c r="E30" i="22"/>
  <c r="E60" i="22"/>
  <c r="E45" i="22"/>
  <c r="E59" i="22"/>
  <c r="AA56" i="22"/>
  <c r="E41" i="22"/>
  <c r="E36" i="22"/>
  <c r="E28" i="22"/>
  <c r="AA31" i="22"/>
  <c r="Q56" i="1"/>
  <c r="R55" i="1" s="1"/>
  <c r="Z46" i="22"/>
  <c r="D76" i="1"/>
  <c r="D77" i="1"/>
  <c r="D79" i="1"/>
  <c r="E67" i="22" l="1"/>
  <c r="AB60" i="22" s="1"/>
  <c r="E7" i="22"/>
  <c r="AB26" i="22" l="1"/>
  <c r="AB64" i="22"/>
  <c r="E81" i="1"/>
  <c r="L10" i="22" s="1"/>
  <c r="E78" i="1"/>
  <c r="E77" i="1"/>
  <c r="E76" i="1"/>
  <c r="E75" i="1"/>
  <c r="B48" i="18"/>
  <c r="C48" i="18"/>
  <c r="D48" i="18"/>
  <c r="E48" i="18"/>
  <c r="F48" i="18"/>
  <c r="G48" i="18"/>
  <c r="H48" i="18"/>
  <c r="I48" i="18"/>
  <c r="J48" i="18"/>
  <c r="K48" i="18"/>
  <c r="M48" i="18" s="1"/>
  <c r="N48" i="18" s="1"/>
  <c r="B49" i="18"/>
  <c r="C49" i="18"/>
  <c r="D49" i="18"/>
  <c r="E49" i="18"/>
  <c r="F49" i="18"/>
  <c r="G49" i="18"/>
  <c r="H49" i="18"/>
  <c r="I49" i="18"/>
  <c r="J49" i="18"/>
  <c r="K49" i="18"/>
  <c r="M49" i="18" s="1"/>
  <c r="N49" i="18" s="1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5" i="18"/>
  <c r="C15" i="18"/>
  <c r="D15" i="18"/>
  <c r="E15" i="18"/>
  <c r="F15" i="18"/>
  <c r="G15" i="18"/>
  <c r="H15" i="18"/>
  <c r="I15" i="18"/>
  <c r="J15" i="18"/>
  <c r="K15" i="18"/>
  <c r="B16" i="18"/>
  <c r="C16" i="18"/>
  <c r="D16" i="18"/>
  <c r="E16" i="18"/>
  <c r="F16" i="18"/>
  <c r="G16" i="18"/>
  <c r="H16" i="18"/>
  <c r="I16" i="18"/>
  <c r="J16" i="18"/>
  <c r="K16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B22" i="18"/>
  <c r="C22" i="18"/>
  <c r="D22" i="18"/>
  <c r="E22" i="18"/>
  <c r="F22" i="18"/>
  <c r="G22" i="18"/>
  <c r="H22" i="18"/>
  <c r="I22" i="18"/>
  <c r="J22" i="18"/>
  <c r="K22" i="18"/>
  <c r="B23" i="18"/>
  <c r="C23" i="18"/>
  <c r="D23" i="18"/>
  <c r="E23" i="18"/>
  <c r="F23" i="18"/>
  <c r="G23" i="18"/>
  <c r="H23" i="18"/>
  <c r="I23" i="18"/>
  <c r="J23" i="18"/>
  <c r="K23" i="18"/>
  <c r="B24" i="18"/>
  <c r="C24" i="18"/>
  <c r="D24" i="18"/>
  <c r="E24" i="18"/>
  <c r="F24" i="18"/>
  <c r="G24" i="18"/>
  <c r="H24" i="18"/>
  <c r="I24" i="18"/>
  <c r="J24" i="18"/>
  <c r="K24" i="18"/>
  <c r="B25" i="18"/>
  <c r="C25" i="18"/>
  <c r="D25" i="18"/>
  <c r="E25" i="18"/>
  <c r="F25" i="18"/>
  <c r="G25" i="18"/>
  <c r="H25" i="18"/>
  <c r="I25" i="18"/>
  <c r="J25" i="18"/>
  <c r="K25" i="18"/>
  <c r="B26" i="18"/>
  <c r="C26" i="18"/>
  <c r="D26" i="18"/>
  <c r="E26" i="18"/>
  <c r="F26" i="18"/>
  <c r="G26" i="18"/>
  <c r="H26" i="18"/>
  <c r="I26" i="18"/>
  <c r="J26" i="18"/>
  <c r="K26" i="18"/>
  <c r="B27" i="18"/>
  <c r="C27" i="18"/>
  <c r="D27" i="18"/>
  <c r="E27" i="18"/>
  <c r="F27" i="18"/>
  <c r="G27" i="18"/>
  <c r="H27" i="18"/>
  <c r="I27" i="18"/>
  <c r="J27" i="18"/>
  <c r="K27" i="18"/>
  <c r="B28" i="18"/>
  <c r="C28" i="18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B31" i="18"/>
  <c r="C31" i="18"/>
  <c r="D31" i="18"/>
  <c r="E31" i="18"/>
  <c r="F31" i="18"/>
  <c r="G31" i="18"/>
  <c r="H31" i="18"/>
  <c r="I31" i="18"/>
  <c r="J31" i="18"/>
  <c r="K31" i="18"/>
  <c r="B32" i="18"/>
  <c r="C32" i="18"/>
  <c r="D32" i="18"/>
  <c r="E32" i="18"/>
  <c r="F32" i="18"/>
  <c r="G32" i="18"/>
  <c r="H32" i="18"/>
  <c r="I32" i="18"/>
  <c r="J32" i="18"/>
  <c r="K32" i="18"/>
  <c r="B33" i="18"/>
  <c r="C33" i="18"/>
  <c r="D33" i="18"/>
  <c r="E33" i="18"/>
  <c r="F33" i="18"/>
  <c r="G33" i="18"/>
  <c r="H33" i="18"/>
  <c r="I33" i="18"/>
  <c r="J33" i="18"/>
  <c r="K33" i="18"/>
  <c r="B34" i="18"/>
  <c r="C34" i="18"/>
  <c r="D34" i="18"/>
  <c r="E34" i="18"/>
  <c r="F34" i="18"/>
  <c r="G34" i="18"/>
  <c r="H34" i="18"/>
  <c r="I34" i="18"/>
  <c r="J34" i="18"/>
  <c r="K34" i="18"/>
  <c r="B35" i="18"/>
  <c r="C35" i="18"/>
  <c r="D35" i="18"/>
  <c r="E35" i="18"/>
  <c r="F35" i="18"/>
  <c r="G35" i="18"/>
  <c r="H35" i="18"/>
  <c r="I35" i="18"/>
  <c r="J35" i="18"/>
  <c r="K35" i="18"/>
  <c r="B36" i="18"/>
  <c r="C36" i="18"/>
  <c r="D36" i="18"/>
  <c r="E36" i="18"/>
  <c r="F36" i="18"/>
  <c r="G36" i="18"/>
  <c r="H36" i="18"/>
  <c r="I36" i="18"/>
  <c r="J36" i="18"/>
  <c r="K36" i="18"/>
  <c r="B37" i="18"/>
  <c r="C37" i="18"/>
  <c r="D37" i="18"/>
  <c r="E37" i="18"/>
  <c r="F37" i="18"/>
  <c r="G37" i="18"/>
  <c r="H37" i="18"/>
  <c r="I37" i="18"/>
  <c r="J37" i="18"/>
  <c r="K37" i="18"/>
  <c r="B38" i="18"/>
  <c r="C38" i="18"/>
  <c r="D38" i="18"/>
  <c r="E38" i="18"/>
  <c r="F38" i="18"/>
  <c r="G38" i="18"/>
  <c r="H38" i="18"/>
  <c r="I38" i="18"/>
  <c r="J38" i="18"/>
  <c r="K38" i="18"/>
  <c r="B39" i="18"/>
  <c r="C39" i="18"/>
  <c r="D39" i="18"/>
  <c r="E39" i="18"/>
  <c r="F39" i="18"/>
  <c r="G39" i="18"/>
  <c r="H39" i="18"/>
  <c r="I39" i="18"/>
  <c r="J39" i="18"/>
  <c r="K39" i="18"/>
  <c r="B40" i="18"/>
  <c r="C40" i="18"/>
  <c r="D40" i="18"/>
  <c r="E40" i="18"/>
  <c r="F40" i="18"/>
  <c r="G40" i="18"/>
  <c r="H40" i="18"/>
  <c r="I40" i="18"/>
  <c r="J40" i="18"/>
  <c r="K40" i="18"/>
  <c r="B41" i="18"/>
  <c r="C41" i="18"/>
  <c r="D41" i="18"/>
  <c r="E41" i="18"/>
  <c r="F41" i="18"/>
  <c r="G41" i="18"/>
  <c r="H41" i="18"/>
  <c r="I41" i="18"/>
  <c r="J41" i="18"/>
  <c r="K41" i="18"/>
  <c r="B42" i="18"/>
  <c r="C42" i="18"/>
  <c r="D42" i="18"/>
  <c r="E42" i="18"/>
  <c r="F42" i="18"/>
  <c r="G42" i="18"/>
  <c r="H42" i="18"/>
  <c r="I42" i="18"/>
  <c r="J42" i="18"/>
  <c r="K42" i="18"/>
  <c r="B43" i="18"/>
  <c r="C43" i="18"/>
  <c r="D43" i="18"/>
  <c r="E43" i="18"/>
  <c r="F43" i="18"/>
  <c r="G43" i="18"/>
  <c r="H43" i="18"/>
  <c r="I43" i="18"/>
  <c r="J43" i="18"/>
  <c r="K43" i="18"/>
  <c r="B44" i="18"/>
  <c r="C44" i="18"/>
  <c r="D44" i="18"/>
  <c r="E44" i="18"/>
  <c r="F44" i="18"/>
  <c r="G44" i="18"/>
  <c r="H44" i="18"/>
  <c r="I44" i="18"/>
  <c r="J44" i="18"/>
  <c r="K44" i="18"/>
  <c r="B45" i="18"/>
  <c r="C45" i="18"/>
  <c r="D45" i="18"/>
  <c r="E45" i="18"/>
  <c r="F45" i="18"/>
  <c r="G45" i="18"/>
  <c r="H45" i="18"/>
  <c r="I45" i="18"/>
  <c r="J45" i="18"/>
  <c r="K45" i="18"/>
  <c r="B46" i="18"/>
  <c r="C46" i="18"/>
  <c r="D46" i="18"/>
  <c r="E46" i="18"/>
  <c r="F46" i="18"/>
  <c r="G46" i="18"/>
  <c r="H46" i="18"/>
  <c r="I46" i="18"/>
  <c r="J46" i="18"/>
  <c r="K46" i="18"/>
  <c r="B47" i="18"/>
  <c r="C47" i="18"/>
  <c r="D47" i="18"/>
  <c r="E47" i="18"/>
  <c r="F47" i="18"/>
  <c r="G47" i="18"/>
  <c r="H47" i="18"/>
  <c r="I47" i="18"/>
  <c r="J47" i="18"/>
  <c r="K47" i="18"/>
  <c r="C2" i="18"/>
  <c r="D2" i="18"/>
  <c r="E2" i="18"/>
  <c r="F2" i="18"/>
  <c r="G2" i="18"/>
  <c r="H2" i="18"/>
  <c r="I2" i="18"/>
  <c r="J2" i="18"/>
  <c r="K2" i="18"/>
  <c r="B2" i="18"/>
  <c r="S50" i="1" l="1"/>
  <c r="S51" i="1"/>
  <c r="S52" i="1"/>
  <c r="S53" i="1"/>
  <c r="S54" i="1"/>
  <c r="S55" i="1"/>
  <c r="M47" i="18"/>
  <c r="N47" i="18" s="1"/>
  <c r="S49" i="1" s="1"/>
  <c r="AC66" i="22" l="1"/>
  <c r="AE66" i="22" s="1"/>
  <c r="AF66" i="22" s="1"/>
  <c r="G60" i="22"/>
  <c r="AC64" i="22"/>
  <c r="G64" i="22"/>
  <c r="AC46" i="22"/>
  <c r="AE46" i="22" s="1"/>
  <c r="AF46" i="22" s="1"/>
  <c r="G63" i="22"/>
  <c r="G7" i="22" s="1"/>
  <c r="AC61" i="22"/>
  <c r="AE61" i="22" s="1"/>
  <c r="AF61" i="22" s="1"/>
  <c r="G62" i="22"/>
  <c r="AC60" i="22"/>
  <c r="G61" i="22"/>
  <c r="AC52" i="22"/>
  <c r="AE52" i="22" s="1"/>
  <c r="AF52" i="22" s="1"/>
  <c r="G65" i="22"/>
  <c r="AC26" i="22"/>
  <c r="AE26" i="22" s="1"/>
  <c r="AF26" i="22" s="1"/>
  <c r="G66" i="22"/>
  <c r="I66" i="22" s="1"/>
  <c r="J66" i="22" s="1"/>
  <c r="AC13" i="22"/>
  <c r="AE60" i="22" l="1"/>
  <c r="AF60" i="22" s="1"/>
  <c r="AE64" i="22"/>
  <c r="AF64" i="22" s="1"/>
  <c r="H76" i="1"/>
  <c r="L5" i="22" s="1"/>
  <c r="H77" i="1"/>
  <c r="L6" i="22" s="1"/>
  <c r="H78" i="1"/>
  <c r="L7" i="22" s="1"/>
  <c r="H75" i="1"/>
  <c r="L4" i="22" s="1"/>
  <c r="I61" i="22" l="1"/>
  <c r="J61" i="22" s="1"/>
  <c r="M46" i="18"/>
  <c r="N46" i="18" s="1"/>
  <c r="S48" i="1" s="1"/>
  <c r="M45" i="18"/>
  <c r="N45" i="18" s="1"/>
  <c r="S47" i="1" s="1"/>
  <c r="M44" i="18"/>
  <c r="N44" i="18" s="1"/>
  <c r="S46" i="1" s="1"/>
  <c r="M43" i="18"/>
  <c r="N43" i="18" s="1"/>
  <c r="S45" i="1" s="1"/>
  <c r="M42" i="18"/>
  <c r="N42" i="18" s="1"/>
  <c r="S44" i="1" s="1"/>
  <c r="M41" i="18"/>
  <c r="N41" i="18" s="1"/>
  <c r="S43" i="1" s="1"/>
  <c r="M40" i="18"/>
  <c r="N40" i="18" s="1"/>
  <c r="S42" i="1" s="1"/>
  <c r="M39" i="18"/>
  <c r="N39" i="18" s="1"/>
  <c r="S41" i="1" s="1"/>
  <c r="M38" i="18"/>
  <c r="N38" i="18" s="1"/>
  <c r="S40" i="1" s="1"/>
  <c r="M37" i="18"/>
  <c r="N37" i="18" s="1"/>
  <c r="S39" i="1" s="1"/>
  <c r="M36" i="18"/>
  <c r="N36" i="18" s="1"/>
  <c r="S38" i="1" s="1"/>
  <c r="M35" i="18"/>
  <c r="N35" i="18" s="1"/>
  <c r="S37" i="1" s="1"/>
  <c r="M34" i="18"/>
  <c r="N34" i="18" s="1"/>
  <c r="S36" i="1" s="1"/>
  <c r="M33" i="18"/>
  <c r="N33" i="18" s="1"/>
  <c r="S35" i="1" s="1"/>
  <c r="M32" i="18"/>
  <c r="N32" i="18" s="1"/>
  <c r="S34" i="1" s="1"/>
  <c r="M31" i="18"/>
  <c r="N31" i="18" s="1"/>
  <c r="S33" i="1" s="1"/>
  <c r="M30" i="18"/>
  <c r="N30" i="18" s="1"/>
  <c r="S32" i="1" s="1"/>
  <c r="M29" i="18"/>
  <c r="N29" i="18" s="1"/>
  <c r="S31" i="1" s="1"/>
  <c r="M28" i="18"/>
  <c r="N28" i="18" s="1"/>
  <c r="S30" i="1" s="1"/>
  <c r="M27" i="18"/>
  <c r="N27" i="18" s="1"/>
  <c r="S29" i="1" s="1"/>
  <c r="M26" i="18"/>
  <c r="N26" i="18" s="1"/>
  <c r="S28" i="1" s="1"/>
  <c r="M25" i="18"/>
  <c r="N25" i="18" s="1"/>
  <c r="S27" i="1" s="1"/>
  <c r="M24" i="18"/>
  <c r="N24" i="18" s="1"/>
  <c r="S26" i="1" s="1"/>
  <c r="M23" i="18"/>
  <c r="N23" i="18" s="1"/>
  <c r="S25" i="1" s="1"/>
  <c r="M22" i="18"/>
  <c r="N22" i="18" s="1"/>
  <c r="S24" i="1" s="1"/>
  <c r="M21" i="18"/>
  <c r="N21" i="18" s="1"/>
  <c r="S23" i="1" s="1"/>
  <c r="M20" i="18"/>
  <c r="N20" i="18" s="1"/>
  <c r="S22" i="1" s="1"/>
  <c r="M19" i="18"/>
  <c r="N19" i="18" s="1"/>
  <c r="S21" i="1" s="1"/>
  <c r="M18" i="18"/>
  <c r="N18" i="18" s="1"/>
  <c r="S20" i="1" s="1"/>
  <c r="M17" i="18"/>
  <c r="N17" i="18" s="1"/>
  <c r="S19" i="1" s="1"/>
  <c r="M16" i="18"/>
  <c r="N16" i="18" s="1"/>
  <c r="S18" i="1" s="1"/>
  <c r="M15" i="18"/>
  <c r="N15" i="18" s="1"/>
  <c r="S17" i="1" s="1"/>
  <c r="M14" i="18"/>
  <c r="N14" i="18" s="1"/>
  <c r="S16" i="1" s="1"/>
  <c r="M13" i="18"/>
  <c r="N13" i="18" s="1"/>
  <c r="S15" i="1" s="1"/>
  <c r="M12" i="18"/>
  <c r="N12" i="18" s="1"/>
  <c r="S14" i="1" s="1"/>
  <c r="M11" i="18"/>
  <c r="N11" i="18" s="1"/>
  <c r="S13" i="1" s="1"/>
  <c r="M10" i="18"/>
  <c r="N10" i="18" s="1"/>
  <c r="S12" i="1" s="1"/>
  <c r="M9" i="18"/>
  <c r="N9" i="18" s="1"/>
  <c r="S11" i="1" s="1"/>
  <c r="M8" i="18"/>
  <c r="N8" i="18" s="1"/>
  <c r="S10" i="1" s="1"/>
  <c r="M7" i="18"/>
  <c r="N7" i="18" s="1"/>
  <c r="S9" i="1" s="1"/>
  <c r="M6" i="18"/>
  <c r="N6" i="18" s="1"/>
  <c r="S8" i="1" s="1"/>
  <c r="M5" i="18"/>
  <c r="N5" i="18" s="1"/>
  <c r="S7" i="1" s="1"/>
  <c r="M4" i="18"/>
  <c r="N4" i="18" s="1"/>
  <c r="S6" i="1" s="1"/>
  <c r="M3" i="18"/>
  <c r="N3" i="18" s="1"/>
  <c r="S5" i="1" s="1"/>
  <c r="M2" i="18"/>
  <c r="N2" i="18" s="1"/>
  <c r="S4" i="1" s="1"/>
  <c r="AC18" i="22" l="1"/>
  <c r="AE18" i="22" s="1"/>
  <c r="AF18" i="22" s="1"/>
  <c r="G24" i="22"/>
  <c r="AC15" i="22"/>
  <c r="AE15" i="22" s="1"/>
  <c r="AF15" i="22" s="1"/>
  <c r="G26" i="22"/>
  <c r="AC29" i="22"/>
  <c r="AE29" i="22" s="1"/>
  <c r="AF29" i="22" s="1"/>
  <c r="G27" i="22"/>
  <c r="AC42" i="22"/>
  <c r="AE42" i="22" s="1"/>
  <c r="AF42" i="22" s="1"/>
  <c r="G31" i="22"/>
  <c r="AC19" i="22"/>
  <c r="AE19" i="22" s="1"/>
  <c r="AF19" i="22" s="1"/>
  <c r="G33" i="22"/>
  <c r="AC44" i="22"/>
  <c r="AE44" i="22" s="1"/>
  <c r="AF44" i="22" s="1"/>
  <c r="G34" i="22"/>
  <c r="AC45" i="22"/>
  <c r="AE45" i="22" s="1"/>
  <c r="AF45" i="22" s="1"/>
  <c r="G40" i="22"/>
  <c r="AC50" i="22"/>
  <c r="AE50" i="22" s="1"/>
  <c r="AF50" i="22" s="1"/>
  <c r="G41" i="22"/>
  <c r="AC41" i="22"/>
  <c r="AE41" i="22" s="1"/>
  <c r="AF41" i="22" s="1"/>
  <c r="G42" i="22"/>
  <c r="AC49" i="22"/>
  <c r="AE49" i="22" s="1"/>
  <c r="AF49" i="22" s="1"/>
  <c r="G43" i="22"/>
  <c r="AC54" i="22"/>
  <c r="AE54" i="22" s="1"/>
  <c r="AF54" i="22" s="1"/>
  <c r="G44" i="22"/>
  <c r="AC35" i="22"/>
  <c r="AE35" i="22" s="1"/>
  <c r="AF35" i="22" s="1"/>
  <c r="G22" i="22"/>
  <c r="AC65" i="22"/>
  <c r="AE65" i="22" s="1"/>
  <c r="AF65" i="22" s="1"/>
  <c r="G45" i="22"/>
  <c r="AC21" i="22"/>
  <c r="AE21" i="22" s="1"/>
  <c r="AF21" i="22" s="1"/>
  <c r="G21" i="22"/>
  <c r="AC48" i="22"/>
  <c r="AE48" i="22" s="1"/>
  <c r="AF48" i="22" s="1"/>
  <c r="G46" i="22"/>
  <c r="AC55" i="22"/>
  <c r="AE55" i="22" s="1"/>
  <c r="AF55" i="22" s="1"/>
  <c r="G47" i="22"/>
  <c r="AC36" i="22"/>
  <c r="AE36" i="22" s="1"/>
  <c r="AF36" i="22" s="1"/>
  <c r="G48" i="22"/>
  <c r="AC40" i="22"/>
  <c r="AE40" i="22" s="1"/>
  <c r="AF40" i="22" s="1"/>
  <c r="G28" i="22"/>
  <c r="G5" i="22" s="1"/>
  <c r="AC47" i="22"/>
  <c r="AE47" i="22" s="1"/>
  <c r="AF47" i="22" s="1"/>
  <c r="G49" i="22"/>
  <c r="AC38" i="22"/>
  <c r="AE38" i="22" s="1"/>
  <c r="AF38" i="22" s="1"/>
  <c r="G38" i="22"/>
  <c r="AC17" i="22"/>
  <c r="AE17" i="22" s="1"/>
  <c r="AF17" i="22" s="1"/>
  <c r="G50" i="22"/>
  <c r="AC57" i="22"/>
  <c r="AE57" i="22" s="1"/>
  <c r="AF57" i="22" s="1"/>
  <c r="G37" i="22"/>
  <c r="AC16" i="22"/>
  <c r="AE16" i="22" s="1"/>
  <c r="AF16" i="22" s="1"/>
  <c r="G51" i="22"/>
  <c r="G6" i="22" s="1"/>
  <c r="AC33" i="22"/>
  <c r="AE33" i="22" s="1"/>
  <c r="AF33" i="22" s="1"/>
  <c r="G25" i="22"/>
  <c r="AC31" i="22"/>
  <c r="AE31" i="22" s="1"/>
  <c r="AF31" i="22" s="1"/>
  <c r="G52" i="22"/>
  <c r="AC20" i="22"/>
  <c r="AE20" i="22" s="1"/>
  <c r="AF20" i="22" s="1"/>
  <c r="G32" i="22"/>
  <c r="AC32" i="22"/>
  <c r="AE32" i="22" s="1"/>
  <c r="AF32" i="22" s="1"/>
  <c r="G53" i="22"/>
  <c r="AC24" i="22"/>
  <c r="AE24" i="22" s="1"/>
  <c r="AF24" i="22" s="1"/>
  <c r="G36" i="22"/>
  <c r="AC59" i="22"/>
  <c r="AE59" i="22" s="1"/>
  <c r="AF59" i="22" s="1"/>
  <c r="G54" i="22"/>
  <c r="AC56" i="22"/>
  <c r="AE56" i="22" s="1"/>
  <c r="AF56" i="22" s="1"/>
  <c r="S56" i="1"/>
  <c r="T55" i="1" s="1"/>
  <c r="G15" i="22"/>
  <c r="AC39" i="22"/>
  <c r="AE39" i="22" s="1"/>
  <c r="AF39" i="22" s="1"/>
  <c r="G55" i="22"/>
  <c r="AC34" i="22"/>
  <c r="AE34" i="22" s="1"/>
  <c r="AF34" i="22" s="1"/>
  <c r="G23" i="22"/>
  <c r="AC51" i="22"/>
  <c r="AE51" i="22" s="1"/>
  <c r="AF51" i="22" s="1"/>
  <c r="G16" i="22"/>
  <c r="AC62" i="22"/>
  <c r="AE62" i="22" s="1"/>
  <c r="AF62" i="22" s="1"/>
  <c r="G56" i="22"/>
  <c r="AC27" i="22"/>
  <c r="AE27" i="22" s="1"/>
  <c r="AF27" i="22" s="1"/>
  <c r="G29" i="22"/>
  <c r="AC23" i="22"/>
  <c r="AE23" i="22" s="1"/>
  <c r="AF23" i="22" s="1"/>
  <c r="G17" i="22"/>
  <c r="AC53" i="22"/>
  <c r="AE53" i="22" s="1"/>
  <c r="AF53" i="22" s="1"/>
  <c r="G57" i="22"/>
  <c r="AC43" i="22"/>
  <c r="AE43" i="22" s="1"/>
  <c r="AF43" i="22" s="1"/>
  <c r="G30" i="22"/>
  <c r="AC22" i="22"/>
  <c r="AE22" i="22" s="1"/>
  <c r="AF22" i="22" s="1"/>
  <c r="G18" i="22"/>
  <c r="AC58" i="22"/>
  <c r="AE58" i="22" s="1"/>
  <c r="AF58" i="22" s="1"/>
  <c r="G58" i="22"/>
  <c r="AC30" i="22"/>
  <c r="AE30" i="22" s="1"/>
  <c r="AF30" i="22" s="1"/>
  <c r="G39" i="22"/>
  <c r="AC63" i="22"/>
  <c r="AE63" i="22" s="1"/>
  <c r="AF63" i="22" s="1"/>
  <c r="G59" i="22"/>
  <c r="AC37" i="22"/>
  <c r="AE37" i="22" s="1"/>
  <c r="AF37" i="22" s="1"/>
  <c r="G35" i="22"/>
  <c r="AC25" i="22"/>
  <c r="AE25" i="22" s="1"/>
  <c r="AF25" i="22" s="1"/>
  <c r="G19" i="22"/>
  <c r="AC28" i="22"/>
  <c r="AE28" i="22" s="1"/>
  <c r="AF28" i="22" s="1"/>
  <c r="G20" i="22"/>
  <c r="I64" i="22"/>
  <c r="J64" i="22" s="1"/>
  <c r="I62" i="22"/>
  <c r="J62" i="22" s="1"/>
  <c r="G4" i="22" l="1"/>
  <c r="G67" i="22"/>
  <c r="E11" i="22"/>
  <c r="I7" i="22"/>
  <c r="J7" i="22" s="1"/>
  <c r="I60" i="22"/>
  <c r="J60" i="22" s="1"/>
  <c r="I65" i="22"/>
  <c r="J65" i="22" s="1"/>
  <c r="AD26" i="22" l="1"/>
  <c r="AD60" i="22"/>
  <c r="AD64" i="22"/>
  <c r="I63" i="22"/>
  <c r="J63" i="22" s="1"/>
  <c r="E6" i="22" l="1"/>
  <c r="E79" i="1" l="1"/>
  <c r="F76" i="1" s="1"/>
  <c r="H5" i="22" s="1"/>
  <c r="I6" i="22"/>
  <c r="J6" i="22" s="1"/>
  <c r="H66" i="22" l="1"/>
  <c r="E5" i="22"/>
  <c r="C75" i="1"/>
  <c r="C78" i="1"/>
  <c r="F77" i="1"/>
  <c r="H6" i="22" s="1"/>
  <c r="F75" i="1"/>
  <c r="H4" i="22" s="1"/>
  <c r="F78" i="1"/>
  <c r="H7" i="22" s="1"/>
  <c r="I56" i="22"/>
  <c r="J56" i="22" s="1"/>
  <c r="I27" i="22"/>
  <c r="J27" i="22" s="1"/>
  <c r="I48" i="22"/>
  <c r="J48" i="22" s="1"/>
  <c r="I55" i="22"/>
  <c r="J55" i="22" s="1"/>
  <c r="I17" i="22"/>
  <c r="J17" i="22" s="1"/>
  <c r="I58" i="22"/>
  <c r="J58" i="22" s="1"/>
  <c r="I47" i="22"/>
  <c r="J47" i="22" s="1"/>
  <c r="I38" i="22"/>
  <c r="J38" i="22" s="1"/>
  <c r="I28" i="22"/>
  <c r="J28" i="22" s="1"/>
  <c r="I16" i="22"/>
  <c r="J16" i="22" s="1"/>
  <c r="I19" i="22"/>
  <c r="J19" i="22" s="1"/>
  <c r="I45" i="22"/>
  <c r="J45" i="22" s="1"/>
  <c r="I52" i="22"/>
  <c r="J52" i="22" s="1"/>
  <c r="I49" i="22"/>
  <c r="J49" i="22" s="1"/>
  <c r="I18" i="22"/>
  <c r="J18" i="22" s="1"/>
  <c r="I21" i="22"/>
  <c r="J21" i="22" s="1"/>
  <c r="I46" i="22"/>
  <c r="J46" i="22" s="1"/>
  <c r="I42" i="22"/>
  <c r="J42" i="22" s="1"/>
  <c r="I32" i="22"/>
  <c r="J32" i="22" s="1"/>
  <c r="I57" i="22"/>
  <c r="J57" i="22" s="1"/>
  <c r="I20" i="22"/>
  <c r="J20" i="22" s="1"/>
  <c r="I24" i="22"/>
  <c r="J24" i="22" s="1"/>
  <c r="I53" i="22"/>
  <c r="J53" i="22" s="1"/>
  <c r="I44" i="22"/>
  <c r="J44" i="22" s="1"/>
  <c r="I33" i="22"/>
  <c r="J33" i="22" s="1"/>
  <c r="I59" i="22"/>
  <c r="J59" i="22" s="1"/>
  <c r="I25" i="22"/>
  <c r="J25" i="22" s="1"/>
  <c r="I50" i="22"/>
  <c r="J50" i="22" s="1"/>
  <c r="I41" i="22"/>
  <c r="J41" i="22" s="1"/>
  <c r="I36" i="22"/>
  <c r="J36" i="22" s="1"/>
  <c r="I54" i="22"/>
  <c r="J54" i="22" s="1"/>
  <c r="I22" i="22"/>
  <c r="J22" i="22" s="1"/>
  <c r="I31" i="22"/>
  <c r="J31" i="22" s="1"/>
  <c r="I37" i="22"/>
  <c r="J37" i="22" s="1"/>
  <c r="I39" i="22"/>
  <c r="J39" i="22" s="1"/>
  <c r="I35" i="22"/>
  <c r="J35" i="22" s="1"/>
  <c r="I30" i="22"/>
  <c r="J30" i="22" s="1"/>
  <c r="I29" i="22"/>
  <c r="J29" i="22" s="1"/>
  <c r="I26" i="22"/>
  <c r="J26" i="22" s="1"/>
  <c r="I34" i="22"/>
  <c r="J34" i="22" s="1"/>
  <c r="I40" i="22"/>
  <c r="J40" i="22" s="1"/>
  <c r="I43" i="22"/>
  <c r="J43" i="22" s="1"/>
  <c r="I51" i="22"/>
  <c r="J51" i="22" s="1"/>
  <c r="I23" i="22"/>
  <c r="J23" i="22" s="1"/>
  <c r="AC67" i="22"/>
  <c r="AA67" i="22"/>
  <c r="AE67" i="22" l="1"/>
  <c r="AF67" i="22" s="1"/>
  <c r="I5" i="22"/>
  <c r="J5" i="22" s="1"/>
  <c r="F66" i="22"/>
  <c r="G8" i="22"/>
  <c r="G10" i="22" s="1"/>
  <c r="E4" i="22"/>
  <c r="D78" i="1"/>
  <c r="D75" i="1"/>
  <c r="I15" i="22"/>
  <c r="J15" i="22" s="1"/>
  <c r="E8" i="22" l="1"/>
  <c r="F4" i="22" s="1"/>
  <c r="I4" i="22"/>
  <c r="J4" i="22" s="1"/>
  <c r="I8" i="22"/>
  <c r="J8" i="22" s="1"/>
  <c r="E10" i="22" l="1"/>
  <c r="F8" i="22"/>
  <c r="F7" i="22"/>
  <c r="F6" i="22"/>
  <c r="F5" i="22"/>
  <c r="R46" i="1"/>
  <c r="R26" i="1"/>
  <c r="R11" i="1"/>
  <c r="R35" i="1"/>
  <c r="R29" i="1"/>
  <c r="R33" i="1"/>
  <c r="R12" i="1"/>
  <c r="R14" i="1"/>
  <c r="R39" i="1"/>
  <c r="R52" i="1"/>
  <c r="R38" i="1"/>
  <c r="R43" i="1"/>
  <c r="R5" i="1"/>
  <c r="R48" i="1"/>
  <c r="R15" i="1"/>
  <c r="R34" i="1"/>
  <c r="R6" i="1"/>
  <c r="R49" i="1"/>
  <c r="R18" i="1"/>
  <c r="R40" i="1"/>
  <c r="R36" i="1"/>
  <c r="R53" i="1"/>
  <c r="R30" i="1"/>
  <c r="R31" i="1"/>
  <c r="R32" i="1"/>
  <c r="R9" i="1"/>
  <c r="R8" i="1"/>
  <c r="R16" i="1"/>
  <c r="R37" i="1"/>
  <c r="R50" i="1"/>
  <c r="R22" i="1"/>
  <c r="R47" i="1"/>
  <c r="R20" i="1"/>
  <c r="R24" i="1"/>
  <c r="R7" i="1"/>
  <c r="R13" i="1"/>
  <c r="R51" i="1"/>
  <c r="R42" i="1"/>
  <c r="R45" i="1"/>
  <c r="R17" i="1"/>
  <c r="R23" i="1"/>
  <c r="R19" i="1"/>
  <c r="R25" i="1"/>
  <c r="R10" i="1"/>
  <c r="R41" i="1"/>
  <c r="R54" i="1"/>
  <c r="R28" i="1"/>
  <c r="R21" i="1"/>
  <c r="R44" i="1"/>
  <c r="R27" i="1"/>
  <c r="R4" i="1"/>
  <c r="T31" i="1"/>
  <c r="T51" i="1"/>
  <c r="T17" i="1"/>
  <c r="T23" i="1"/>
  <c r="T33" i="1"/>
  <c r="T34" i="1"/>
  <c r="T47" i="1"/>
  <c r="T30" i="1"/>
  <c r="T4" i="1"/>
  <c r="T36" i="1"/>
  <c r="T28" i="1"/>
  <c r="T35" i="1"/>
  <c r="T19" i="1"/>
  <c r="T9" i="1"/>
  <c r="T8" i="1"/>
  <c r="T24" i="1"/>
  <c r="T46" i="1"/>
  <c r="T50" i="1"/>
  <c r="T18" i="1"/>
  <c r="T21" i="1"/>
  <c r="T25" i="1"/>
  <c r="T37" i="1"/>
  <c r="T15" i="1"/>
  <c r="T42" i="1"/>
  <c r="T5" i="1"/>
  <c r="T32" i="1"/>
  <c r="T14" i="1"/>
  <c r="T39" i="1"/>
  <c r="T13" i="1"/>
  <c r="T6" i="1"/>
  <c r="T43" i="1"/>
  <c r="T48" i="1"/>
  <c r="T12" i="1"/>
  <c r="T52" i="1"/>
  <c r="T27" i="1"/>
  <c r="T53" i="1"/>
  <c r="T49" i="1"/>
  <c r="T54" i="1"/>
  <c r="T16" i="1"/>
  <c r="T22" i="1"/>
  <c r="T45" i="1"/>
  <c r="T29" i="1"/>
  <c r="T41" i="1"/>
  <c r="T7" i="1"/>
  <c r="T44" i="1"/>
  <c r="T11" i="1"/>
  <c r="T40" i="1"/>
  <c r="T20" i="1"/>
  <c r="T38" i="1"/>
  <c r="T10" i="1"/>
  <c r="T26" i="1"/>
  <c r="AB65" i="22"/>
  <c r="F40" i="22"/>
  <c r="F20" i="22"/>
  <c r="AB53" i="22"/>
  <c r="AB23" i="22"/>
  <c r="F54" i="22"/>
  <c r="AB16" i="22"/>
  <c r="F24" i="22"/>
  <c r="F61" i="22"/>
  <c r="F45" i="22"/>
  <c r="AB27" i="22"/>
  <c r="AB35" i="22"/>
  <c r="AB24" i="22"/>
  <c r="F49" i="22"/>
  <c r="F29" i="22"/>
  <c r="F64" i="22"/>
  <c r="AB22" i="22"/>
  <c r="F46" i="22"/>
  <c r="F55" i="22"/>
  <c r="AB17" i="22"/>
  <c r="AB43" i="22"/>
  <c r="F47" i="22"/>
  <c r="F41" i="22"/>
  <c r="AB52" i="22"/>
  <c r="AB31" i="22"/>
  <c r="F53" i="22"/>
  <c r="AB19" i="22"/>
  <c r="AB42" i="22"/>
  <c r="AB45" i="22"/>
  <c r="F21" i="22"/>
  <c r="AB37" i="22"/>
  <c r="F28" i="22"/>
  <c r="AB66" i="22"/>
  <c r="AB47" i="22"/>
  <c r="F52" i="22"/>
  <c r="AB25" i="22"/>
  <c r="F37" i="22"/>
  <c r="F60" i="22"/>
  <c r="F30" i="22"/>
  <c r="F16" i="22"/>
  <c r="AB30" i="22"/>
  <c r="F23" i="22"/>
  <c r="F59" i="22"/>
  <c r="F27" i="22"/>
  <c r="AB48" i="22"/>
  <c r="AB29" i="22"/>
  <c r="AB46" i="22"/>
  <c r="AB40" i="22"/>
  <c r="F36" i="22"/>
  <c r="AB34" i="22"/>
  <c r="F43" i="22"/>
  <c r="AB39" i="22"/>
  <c r="AB62" i="22"/>
  <c r="F63" i="22"/>
  <c r="AB28" i="22"/>
  <c r="AB21" i="22"/>
  <c r="AB33" i="22"/>
  <c r="AB61" i="22"/>
  <c r="F44" i="22"/>
  <c r="AB58" i="22"/>
  <c r="F51" i="22"/>
  <c r="AB55" i="22"/>
  <c r="AB32" i="22"/>
  <c r="F17" i="22"/>
  <c r="AB50" i="22"/>
  <c r="AB57" i="22"/>
  <c r="F34" i="22"/>
  <c r="AB41" i="22"/>
  <c r="F42" i="22"/>
  <c r="AB59" i="22"/>
  <c r="F32" i="22"/>
  <c r="AB15" i="22"/>
  <c r="AB54" i="22"/>
  <c r="F18" i="22"/>
  <c r="F56" i="22"/>
  <c r="AB36" i="22"/>
  <c r="AB38" i="22"/>
  <c r="F26" i="22"/>
  <c r="F62" i="22"/>
  <c r="F38" i="22"/>
  <c r="F25" i="22"/>
  <c r="AB18" i="22"/>
  <c r="F35" i="22"/>
  <c r="AB51" i="22"/>
  <c r="F15" i="22"/>
  <c r="F19" i="22"/>
  <c r="F57" i="22"/>
  <c r="F39" i="22"/>
  <c r="F58" i="22"/>
  <c r="AB44" i="22"/>
  <c r="AB20" i="22"/>
  <c r="F48" i="22"/>
  <c r="F65" i="22"/>
  <c r="F50" i="22"/>
  <c r="AB63" i="22"/>
  <c r="AB49" i="22"/>
  <c r="F31" i="22"/>
  <c r="AB56" i="22"/>
  <c r="F33" i="22"/>
  <c r="F22" i="22"/>
  <c r="AD56" i="22"/>
  <c r="H33" i="22"/>
  <c r="H37" i="22"/>
  <c r="AD40" i="22"/>
  <c r="H57" i="22"/>
  <c r="AD37" i="22"/>
  <c r="AD58" i="22"/>
  <c r="AD57" i="22"/>
  <c r="H65" i="22"/>
  <c r="H25" i="22"/>
  <c r="AD27" i="22"/>
  <c r="H42" i="22"/>
  <c r="H55" i="22"/>
  <c r="AD15" i="22"/>
  <c r="AD21" i="22"/>
  <c r="I67" i="22"/>
  <c r="J67" i="22" s="1"/>
  <c r="H24" i="22"/>
  <c r="AD47" i="22"/>
  <c r="H15" i="22"/>
  <c r="AD16" i="22"/>
  <c r="AD51" i="22"/>
  <c r="AD54" i="22"/>
  <c r="AD45" i="22"/>
  <c r="AD22" i="22"/>
  <c r="H16" i="22"/>
  <c r="H26" i="22"/>
  <c r="H43" i="22"/>
  <c r="H45" i="22"/>
  <c r="AD52" i="22"/>
  <c r="H53" i="22"/>
  <c r="AD19" i="22"/>
  <c r="AD43" i="22"/>
  <c r="AD24" i="22"/>
  <c r="H35" i="22"/>
  <c r="AD65" i="22"/>
  <c r="H20" i="22"/>
  <c r="AD49" i="22"/>
  <c r="AD34" i="22"/>
  <c r="AD33" i="22"/>
  <c r="H51" i="22"/>
  <c r="H18" i="22"/>
  <c r="H28" i="22"/>
  <c r="H48" i="22"/>
  <c r="AD48" i="22"/>
  <c r="H30" i="22"/>
  <c r="H52" i="22"/>
  <c r="AD39" i="22"/>
  <c r="H34" i="22"/>
  <c r="H47" i="22"/>
  <c r="AD55" i="22"/>
  <c r="H23" i="22"/>
  <c r="H64" i="22"/>
  <c r="AD20" i="22"/>
  <c r="AD32" i="22"/>
  <c r="H63" i="22"/>
  <c r="AD17" i="22"/>
  <c r="AD50" i="22"/>
  <c r="H32" i="22"/>
  <c r="H40" i="22"/>
  <c r="H29" i="22"/>
  <c r="AD53" i="22"/>
  <c r="H21" i="22"/>
  <c r="AD30" i="22"/>
  <c r="AD29" i="22"/>
  <c r="H31" i="22"/>
  <c r="AD18" i="22"/>
  <c r="AD59" i="22"/>
  <c r="AD28" i="22"/>
  <c r="AD31" i="22"/>
  <c r="AD38" i="22"/>
  <c r="H54" i="22"/>
  <c r="H61" i="22"/>
  <c r="AD25" i="22"/>
  <c r="AD63" i="22"/>
  <c r="H17" i="22"/>
  <c r="AD62" i="22"/>
  <c r="AD66" i="22"/>
  <c r="AD35" i="22"/>
  <c r="H38" i="22"/>
  <c r="AD41" i="22"/>
  <c r="H41" i="22"/>
  <c r="AD36" i="22"/>
  <c r="H50" i="22"/>
  <c r="H56" i="22"/>
  <c r="H58" i="22"/>
  <c r="H19" i="22"/>
  <c r="H46" i="22"/>
  <c r="AD44" i="22"/>
  <c r="H39" i="22"/>
  <c r="H59" i="22"/>
  <c r="H60" i="22"/>
  <c r="AD46" i="22"/>
  <c r="H62" i="22"/>
  <c r="AD23" i="22"/>
  <c r="H44" i="22"/>
  <c r="H36" i="22"/>
  <c r="AD61" i="22"/>
  <c r="H27" i="22"/>
  <c r="AD42" i="22"/>
  <c r="H49" i="22"/>
  <c r="H22" i="22"/>
  <c r="H67" i="22" l="1"/>
  <c r="T56" i="1"/>
  <c r="F67" i="22"/>
  <c r="R56" i="1"/>
</calcChain>
</file>

<file path=xl/sharedStrings.xml><?xml version="1.0" encoding="utf-8"?>
<sst xmlns="http://schemas.openxmlformats.org/spreadsheetml/2006/main" count="2064" uniqueCount="1385">
  <si>
    <t>OBS</t>
  </si>
  <si>
    <t>ABM</t>
  </si>
  <si>
    <t>Count</t>
  </si>
  <si>
    <t>Percentage</t>
  </si>
  <si>
    <t>Total</t>
  </si>
  <si>
    <t>-</t>
  </si>
  <si>
    <t>BRT</t>
  </si>
  <si>
    <t>Linked trips by route</t>
  </si>
  <si>
    <t>ROUTE_STATION_NUM</t>
  </si>
  <si>
    <t>18X</t>
  </si>
  <si>
    <t>24X</t>
  </si>
  <si>
    <t>33X</t>
  </si>
  <si>
    <t>35X</t>
  </si>
  <si>
    <t>37X</t>
  </si>
  <si>
    <t>38X</t>
  </si>
  <si>
    <t>39X</t>
  </si>
  <si>
    <t>89X</t>
  </si>
  <si>
    <t>91X</t>
  </si>
  <si>
    <t>92X</t>
  </si>
  <si>
    <t>95X</t>
  </si>
  <si>
    <t>96X</t>
  </si>
  <si>
    <t>DON</t>
  </si>
  <si>
    <t>HER</t>
  </si>
  <si>
    <t>JUL</t>
  </si>
  <si>
    <t>LEB</t>
  </si>
  <si>
    <t>MAR</t>
  </si>
  <si>
    <t>RIV</t>
  </si>
  <si>
    <t>Boardings by transit sub-mode</t>
  </si>
  <si>
    <t>Transit sub-mode</t>
  </si>
  <si>
    <t>Local Bus</t>
  </si>
  <si>
    <t>Express Bus</t>
  </si>
  <si>
    <t>Commuter Rail</t>
  </si>
  <si>
    <t>0,000</t>
  </si>
  <si>
    <t>00,000</t>
  </si>
  <si>
    <t>Boarding</t>
  </si>
  <si>
    <t>Route</t>
  </si>
  <si>
    <t>Mode</t>
  </si>
  <si>
    <t>text</t>
  </si>
  <si>
    <t>Boardings</t>
  </si>
  <si>
    <t>Route Name</t>
  </si>
  <si>
    <t>Route Id</t>
  </si>
  <si>
    <t xml:space="preserve">	1 100 Oaks</t>
  </si>
  <si>
    <t xml:space="preserve">	10 Charlotte</t>
  </si>
  <si>
    <t xml:space="preserve">	12 Nolensville Road</t>
  </si>
  <si>
    <t xml:space="preserve">	14 Whites Creek</t>
  </si>
  <si>
    <t xml:space="preserve">	15 Murfreesboro Road</t>
  </si>
  <si>
    <t xml:space="preserve">	17 12th Avenue South</t>
  </si>
  <si>
    <t xml:space="preserve">	18 Airport - Elm Hill Pike</t>
  </si>
  <si>
    <t xml:space="preserve">	18xAirport - Elm Hill Pike (Express)</t>
  </si>
  <si>
    <t xml:space="preserve">	19 Herman</t>
  </si>
  <si>
    <t xml:space="preserve">	2 Belmont</t>
  </si>
  <si>
    <t xml:space="preserve">	20 Scott</t>
  </si>
  <si>
    <t xml:space="preserve">	22 Bordeaux</t>
  </si>
  <si>
    <t xml:space="preserve">	23 Dickerson Road</t>
  </si>
  <si>
    <t xml:space="preserve">	24X Bellevue Express</t>
  </si>
  <si>
    <t xml:space="preserve">	25 Midtown</t>
  </si>
  <si>
    <t xml:space="preserve">	26 Gallatin Road</t>
  </si>
  <si>
    <t xml:space="preserve">	28 Meridian</t>
  </si>
  <si>
    <t xml:space="preserve">	29 Jefferson</t>
  </si>
  <si>
    <t xml:space="preserve">	3 West End</t>
  </si>
  <si>
    <t xml:space="preserve">	30 McFerrin</t>
  </si>
  <si>
    <t xml:space="preserve">	33X Hickory Hollow Mall - Old Hickory Express</t>
  </si>
  <si>
    <t xml:space="preserve">	34 Opry Mills</t>
  </si>
  <si>
    <t xml:space="preserve">	35X Rivergate Express</t>
  </si>
  <si>
    <t xml:space="preserve">	37X Tusculum - McMurray Express</t>
  </si>
  <si>
    <t xml:space="preserve">	38X Antioch Express</t>
  </si>
  <si>
    <t xml:space="preserve">	39X Cane Ridge Express</t>
  </si>
  <si>
    <t xml:space="preserve">	4 Shelby</t>
  </si>
  <si>
    <t xml:space="preserve">	41 Golden Valley</t>
  </si>
  <si>
    <t xml:space="preserve">	42 St. Cecilia - Cumberland</t>
  </si>
  <si>
    <t xml:space="preserve">	56 Gallatin Road BRT</t>
  </si>
  <si>
    <t xml:space="preserve">	6 Lebanon Road</t>
  </si>
  <si>
    <t xml:space="preserve">	60 Blue Circuit</t>
  </si>
  <si>
    <t xml:space="preserve">	61 Green Circuit</t>
  </si>
  <si>
    <t xml:space="preserve">	62 Purple Circuit</t>
  </si>
  <si>
    <t xml:space="preserve">	7 Hillsboro</t>
  </si>
  <si>
    <t xml:space="preserve">	72 Edmondson Pike Connector</t>
  </si>
  <si>
    <t xml:space="preserve">	76 Madison Connector</t>
  </si>
  <si>
    <t xml:space="preserve">	8 8th Avenue South</t>
  </si>
  <si>
    <t xml:space="preserve">	89X Springfield - Joelton Express</t>
  </si>
  <si>
    <t xml:space="preserve">	9 MetroCenter</t>
  </si>
  <si>
    <t xml:space="preserve">	91X Franklin - Brentwood Express</t>
  </si>
  <si>
    <t xml:space="preserve">	92X Gallatin - Hendersonville Express</t>
  </si>
  <si>
    <t xml:space="preserve">	93 Music City Star West End Shuttle</t>
  </si>
  <si>
    <t xml:space="preserve">	95X Spring Hill Express</t>
  </si>
  <si>
    <t xml:space="preserve">	96X Nashville - Murfreesboro Relax &amp; Ride</t>
  </si>
  <si>
    <t xml:space="preserve">	Donelson</t>
  </si>
  <si>
    <t xml:space="preserve">	Hermitage</t>
  </si>
  <si>
    <t xml:space="preserve">	Mt. Juliet</t>
  </si>
  <si>
    <t xml:space="preserve">	Lebanon</t>
  </si>
  <si>
    <t xml:space="preserve">	Martha</t>
  </si>
  <si>
    <t xml:space="preserve">	Riverfront</t>
  </si>
  <si>
    <t>Rte ID</t>
  </si>
  <si>
    <t>Rte Name</t>
  </si>
  <si>
    <t>Rte Id (ABM)</t>
  </si>
  <si>
    <t>Rte Id (OBS)</t>
  </si>
  <si>
    <t>TOTAL</t>
  </si>
  <si>
    <t>|</t>
  </si>
  <si>
    <t>Rover</t>
  </si>
  <si>
    <t>AM</t>
  </si>
  <si>
    <t>MD</t>
  </si>
  <si>
    <t>PM</t>
  </si>
  <si>
    <t>OP   |</t>
  </si>
  <si>
    <t>T</t>
  </si>
  <si>
    <t>otal</t>
  </si>
  <si>
    <t>Utils</t>
  </si>
  <si>
    <t>Mins</t>
  </si>
  <si>
    <t>Sub-mode Constant (DaySim)</t>
  </si>
  <si>
    <t>Following stations are replaced with '301'</t>
  </si>
  <si>
    <t>ABM_12132015</t>
  </si>
  <si>
    <t>Reference</t>
  </si>
  <si>
    <t>===========================================================================|=========</t>
  </si>
  <si>
    <t>===================================================================================================================|=========</t>
  </si>
  <si>
    <t>Transfer Rate</t>
  </si>
  <si>
    <t>==================================================================================================================================================================================================================|============</t>
  </si>
  <si>
    <t>=======================================================================================|=========</t>
  </si>
  <si>
    <t>=====================================================================================================================================================================|=========</t>
  </si>
  <si>
    <t>=======================================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</si>
  <si>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</si>
  <si>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Created</t>
  </si>
  <si>
    <t>On:</t>
  </si>
  <si>
    <t>Nashville</t>
  </si>
  <si>
    <t>Transit</t>
  </si>
  <si>
    <t>Assignment</t>
  </si>
  <si>
    <t>Summary</t>
  </si>
  <si>
    <t>Alternative:</t>
  </si>
  <si>
    <t>TRIPS</t>
  </si>
  <si>
    <t>BY</t>
  </si>
  <si>
    <t>TOD</t>
  </si>
  <si>
    <t>AND</t>
  </si>
  <si>
    <t>MODE</t>
  </si>
  <si>
    <t>(MODE</t>
  </si>
  <si>
    <t>CHOICE</t>
  </si>
  <si>
    <t>MODEL</t>
  </si>
  <si>
    <t>RESULTS)</t>
  </si>
  <si>
    <t>Per</t>
  </si>
  <si>
    <t>DriveAlo</t>
  </si>
  <si>
    <t>ShrRide</t>
  </si>
  <si>
    <t>3+</t>
  </si>
  <si>
    <t>WalkLocal</t>
  </si>
  <si>
    <t>WalkBrt</t>
  </si>
  <si>
    <t>WalkExpBus</t>
  </si>
  <si>
    <t>WalkUrbRail</t>
  </si>
  <si>
    <t>WalkComRail</t>
  </si>
  <si>
    <t>PnRLocal</t>
  </si>
  <si>
    <t>PnRBrt</t>
  </si>
  <si>
    <t>PnRExpBus</t>
  </si>
  <si>
    <t>PnRUrbRail</t>
  </si>
  <si>
    <t>PnRComRail</t>
  </si>
  <si>
    <t>KnRLocal</t>
  </si>
  <si>
    <t>KnRBrt</t>
  </si>
  <si>
    <t>KnRExpBus</t>
  </si>
  <si>
    <t>KnRUrbRail</t>
  </si>
  <si>
    <t>KnrComRail</t>
  </si>
  <si>
    <t>Trips</t>
  </si>
  <si>
    <t>--</t>
  </si>
  <si>
    <t>OP</t>
  </si>
  <si>
    <t>TRANSIT</t>
  </si>
  <si>
    <t>BOARDINGS</t>
  </si>
  <si>
    <t>(TRANSIT</t>
  </si>
  <si>
    <t>ASSIGNMENT</t>
  </si>
  <si>
    <t>Name</t>
  </si>
  <si>
    <t>Local</t>
  </si>
  <si>
    <t>Express</t>
  </si>
  <si>
    <t>Bus</t>
  </si>
  <si>
    <t>Commuter</t>
  </si>
  <si>
    <t>Existing</t>
  </si>
  <si>
    <t>Shuttle</t>
  </si>
  <si>
    <t>ComRail</t>
  </si>
  <si>
    <t>TRANSFER</t>
  </si>
  <si>
    <t>RATES</t>
  </si>
  <si>
    <t>Period</t>
  </si>
  <si>
    <t>Transfers</t>
  </si>
  <si>
    <t>(Rate)</t>
  </si>
  <si>
    <t>ROUTE</t>
  </si>
  <si>
    <t>Rte</t>
  </si>
  <si>
    <t>INDIVIDUAL</t>
  </si>
  <si>
    <t>ROUTES</t>
  </si>
  <si>
    <t>(DISAGGREGATE</t>
  </si>
  <si>
    <t>RTE_ID</t>
  </si>
  <si>
    <t>RTE_NAME</t>
  </si>
  <si>
    <t>HDAM</t>
  </si>
  <si>
    <t>HDMD</t>
  </si>
  <si>
    <t>HDPM</t>
  </si>
  <si>
    <t>HDOP</t>
  </si>
  <si>
    <t>RTE</t>
  </si>
  <si>
    <t>AM_MILES</t>
  </si>
  <si>
    <t>AM_TIME</t>
  </si>
  <si>
    <t>MD_MILES</t>
  </si>
  <si>
    <t>MD_TIME</t>
  </si>
  <si>
    <t>PM_MILES</t>
  </si>
  <si>
    <t>PM_TIME</t>
  </si>
  <si>
    <t>OP_MILES</t>
  </si>
  <si>
    <t>OP_TIME</t>
  </si>
  <si>
    <t>TOT_ON</t>
  </si>
  <si>
    <t>1_WL</t>
  </si>
  <si>
    <t>1_WB</t>
  </si>
  <si>
    <t>1_WE</t>
  </si>
  <si>
    <t>1_WU</t>
  </si>
  <si>
    <t>1_WC</t>
  </si>
  <si>
    <t>1_PL</t>
  </si>
  <si>
    <t>1_PB</t>
  </si>
  <si>
    <t>1_PE</t>
  </si>
  <si>
    <t>1_PU</t>
  </si>
  <si>
    <t>1_PC</t>
  </si>
  <si>
    <t>1_KL</t>
  </si>
  <si>
    <t>1_KB</t>
  </si>
  <si>
    <t>1_KE</t>
  </si>
  <si>
    <t>1_KU</t>
  </si>
  <si>
    <t>1_KC</t>
  </si>
  <si>
    <t>2_WL</t>
  </si>
  <si>
    <t>2_WB</t>
  </si>
  <si>
    <t>2_WE</t>
  </si>
  <si>
    <t>2_WU</t>
  </si>
  <si>
    <t>2_WC</t>
  </si>
  <si>
    <t>2_PL</t>
  </si>
  <si>
    <t>2_PB</t>
  </si>
  <si>
    <t>2_PE</t>
  </si>
  <si>
    <t>2_PU</t>
  </si>
  <si>
    <t>2_PC</t>
  </si>
  <si>
    <t>2_KL</t>
  </si>
  <si>
    <t>2_KB</t>
  </si>
  <si>
    <t>2_KE</t>
  </si>
  <si>
    <t>2_KU</t>
  </si>
  <si>
    <t>2_KC</t>
  </si>
  <si>
    <t>3_WL</t>
  </si>
  <si>
    <t>3_WB</t>
  </si>
  <si>
    <t>3_WE</t>
  </si>
  <si>
    <t>3_WU</t>
  </si>
  <si>
    <t>3_WC</t>
  </si>
  <si>
    <t>3_PL</t>
  </si>
  <si>
    <t>3_PB</t>
  </si>
  <si>
    <t>3_PE</t>
  </si>
  <si>
    <t>3_PU</t>
  </si>
  <si>
    <t>3_PC</t>
  </si>
  <si>
    <t>3_KL</t>
  </si>
  <si>
    <t>3_KB</t>
  </si>
  <si>
    <t>3_KE</t>
  </si>
  <si>
    <t>3_KU</t>
  </si>
  <si>
    <t>3_KC</t>
  </si>
  <si>
    <t>4_WL</t>
  </si>
  <si>
    <t>4_WB</t>
  </si>
  <si>
    <t>4_WE</t>
  </si>
  <si>
    <t>4_WU</t>
  </si>
  <si>
    <t>4_WC</t>
  </si>
  <si>
    <t>4_PL</t>
  </si>
  <si>
    <t>4_PB</t>
  </si>
  <si>
    <t>4_PE</t>
  </si>
  <si>
    <t>4_PU</t>
  </si>
  <si>
    <t>4_PC</t>
  </si>
  <si>
    <t>4_KL</t>
  </si>
  <si>
    <t>4_KB</t>
  </si>
  <si>
    <t>4_KE</t>
  </si>
  <si>
    <t>4_KU</t>
  </si>
  <si>
    <t>4_KC</t>
  </si>
  <si>
    <t>5_WL</t>
  </si>
  <si>
    <t>5_WB</t>
  </si>
  <si>
    <t>5_WE</t>
  </si>
  <si>
    <t>5_WU</t>
  </si>
  <si>
    <t>5_WC</t>
  </si>
  <si>
    <t>5_PL</t>
  </si>
  <si>
    <t>5_PB</t>
  </si>
  <si>
    <t>5_PE</t>
  </si>
  <si>
    <t>5_PU</t>
  </si>
  <si>
    <t>5_PC</t>
  </si>
  <si>
    <t>5_KL</t>
  </si>
  <si>
    <t>5_KB</t>
  </si>
  <si>
    <t>5_KE</t>
  </si>
  <si>
    <t>5_KU</t>
  </si>
  <si>
    <t>5_KC</t>
  </si>
  <si>
    <t>6_WL</t>
  </si>
  <si>
    <t>6_WB</t>
  </si>
  <si>
    <t>6_WE</t>
  </si>
  <si>
    <t>6_WU</t>
  </si>
  <si>
    <t>6_WC</t>
  </si>
  <si>
    <t>6_PL</t>
  </si>
  <si>
    <t>6_PB</t>
  </si>
  <si>
    <t>6_PE</t>
  </si>
  <si>
    <t>6_PU</t>
  </si>
  <si>
    <t>6_PC</t>
  </si>
  <si>
    <t>6_KL</t>
  </si>
  <si>
    <t>6_KB</t>
  </si>
  <si>
    <t>6_KE</t>
  </si>
  <si>
    <t>6_KU</t>
  </si>
  <si>
    <t>6_KC</t>
  </si>
  <si>
    <t>7_WL</t>
  </si>
  <si>
    <t>7_WB</t>
  </si>
  <si>
    <t>7_WE</t>
  </si>
  <si>
    <t>7_WU</t>
  </si>
  <si>
    <t>7_WC</t>
  </si>
  <si>
    <t>7_PL</t>
  </si>
  <si>
    <t>7_PB</t>
  </si>
  <si>
    <t>7_PE</t>
  </si>
  <si>
    <t>7_PU</t>
  </si>
  <si>
    <t>7_PC</t>
  </si>
  <si>
    <t>7_KL</t>
  </si>
  <si>
    <t>7_KB</t>
  </si>
  <si>
    <t>7_KE</t>
  </si>
  <si>
    <t>7_KU</t>
  </si>
  <si>
    <t>7_KC</t>
  </si>
  <si>
    <t>TOT_PH</t>
  </si>
  <si>
    <t>TOT_PM</t>
  </si>
  <si>
    <t>3Rte</t>
  </si>
  <si>
    <t>Nolensville</t>
  </si>
  <si>
    <t>Rd</t>
  </si>
  <si>
    <t>(Hi</t>
  </si>
  <si>
    <t>4Rte</t>
  </si>
  <si>
    <t>(Ha</t>
  </si>
  <si>
    <t>5Rte</t>
  </si>
  <si>
    <t>12th</t>
  </si>
  <si>
    <t>Ave</t>
  </si>
  <si>
    <t>South</t>
  </si>
  <si>
    <t>Loo</t>
  </si>
  <si>
    <t>6Rte</t>
  </si>
  <si>
    <t>Airport</t>
  </si>
  <si>
    <t>Exp</t>
  </si>
  <si>
    <t>OB</t>
  </si>
  <si>
    <t>7Rte</t>
  </si>
  <si>
    <t>Dickerson</t>
  </si>
  <si>
    <t>Loop1</t>
  </si>
  <si>
    <t>8Rte</t>
  </si>
  <si>
    <t>9Rte</t>
  </si>
  <si>
    <t>MTA</t>
  </si>
  <si>
    <t>IB</t>
  </si>
  <si>
    <t>10Rte</t>
  </si>
  <si>
    <t>Murfreesboro</t>
  </si>
  <si>
    <t>14Rte</t>
  </si>
  <si>
    <t>Bordeaux</t>
  </si>
  <si>
    <t>(Kings</t>
  </si>
  <si>
    <t>Ln</t>
  </si>
  <si>
    <t>17Rte</t>
  </si>
  <si>
    <t>(Panaroma</t>
  </si>
  <si>
    <t>18Rte</t>
  </si>
  <si>
    <t>Gallatin</t>
  </si>
  <si>
    <t>19Rte</t>
  </si>
  <si>
    <t>Meridian</t>
  </si>
  <si>
    <t>Tusculum</t>
  </si>
  <si>
    <t>McMurray</t>
  </si>
  <si>
    <t>21Rte</t>
  </si>
  <si>
    <t>23Rte</t>
  </si>
  <si>
    <t>FTA</t>
  </si>
  <si>
    <t>Green</t>
  </si>
  <si>
    <t>24Rte</t>
  </si>
  <si>
    <t>Red</t>
  </si>
  <si>
    <t>27Rte</t>
  </si>
  <si>
    <t>Gateway</t>
  </si>
  <si>
    <t>28Rte</t>
  </si>
  <si>
    <t>HighLand</t>
  </si>
  <si>
    <t>29Rte</t>
  </si>
  <si>
    <t>Medical</t>
  </si>
  <si>
    <t>Cen</t>
  </si>
  <si>
    <t>Memorial</t>
  </si>
  <si>
    <t>31Rte</t>
  </si>
  <si>
    <t>Mercury</t>
  </si>
  <si>
    <t>32Rte</t>
  </si>
  <si>
    <t>N.W.</t>
  </si>
  <si>
    <t>Broad</t>
  </si>
  <si>
    <t>33Rte</t>
  </si>
  <si>
    <t>Old</t>
  </si>
  <si>
    <t>Fort</t>
  </si>
  <si>
    <t>34Rte</t>
  </si>
  <si>
    <t>Churc</t>
  </si>
  <si>
    <t>36Rte</t>
  </si>
  <si>
    <t>Loop2</t>
  </si>
  <si>
    <t>37Rte</t>
  </si>
  <si>
    <t>39Rte</t>
  </si>
  <si>
    <t>(Wa</t>
  </si>
  <si>
    <t>40Rte</t>
  </si>
  <si>
    <t>43Rte</t>
  </si>
  <si>
    <t>Shelby</t>
  </si>
  <si>
    <t>44Rte</t>
  </si>
  <si>
    <t>46Rte</t>
  </si>
  <si>
    <t>52Rte</t>
  </si>
  <si>
    <t>53Rte</t>
  </si>
  <si>
    <t>54Rte</t>
  </si>
  <si>
    <t>Midtown</t>
  </si>
  <si>
    <t>CW</t>
  </si>
  <si>
    <t>Loop</t>
  </si>
  <si>
    <t>55Rte</t>
  </si>
  <si>
    <t>Midtwon</t>
  </si>
  <si>
    <t>CCW</t>
  </si>
  <si>
    <t>59Rte</t>
  </si>
  <si>
    <t>Cecilia/Cumberland</t>
  </si>
  <si>
    <t>60Rte</t>
  </si>
  <si>
    <t>62Rte</t>
  </si>
  <si>
    <t>64Rte</t>
  </si>
  <si>
    <t>Antioch</t>
  </si>
  <si>
    <t>Blue</t>
  </si>
  <si>
    <t>70Rte</t>
  </si>
  <si>
    <t>73Rte</t>
  </si>
  <si>
    <t>8th</t>
  </si>
  <si>
    <t>Avenue</t>
  </si>
  <si>
    <t>75Rte</t>
  </si>
  <si>
    <t>76Rte</t>
  </si>
  <si>
    <t>Whites</t>
  </si>
  <si>
    <t>Creek</t>
  </si>
  <si>
    <t>77Rte</t>
  </si>
  <si>
    <t>78Rte</t>
  </si>
  <si>
    <t>McFerrin</t>
  </si>
  <si>
    <t>Lebanon</t>
  </si>
  <si>
    <t>84Rte</t>
  </si>
  <si>
    <t>MetroCenter</t>
  </si>
  <si>
    <t>Belmont</t>
  </si>
  <si>
    <t>87Rte</t>
  </si>
  <si>
    <t>Hickory</t>
  </si>
  <si>
    <t>88Rte</t>
  </si>
  <si>
    <t>89Rte</t>
  </si>
  <si>
    <t>Cane</t>
  </si>
  <si>
    <t>Ridge</t>
  </si>
  <si>
    <t>90Rte</t>
  </si>
  <si>
    <t>91Rte</t>
  </si>
  <si>
    <t>Music</t>
  </si>
  <si>
    <t>City</t>
  </si>
  <si>
    <t>Ci</t>
  </si>
  <si>
    <t>92Rte</t>
  </si>
  <si>
    <t>C</t>
  </si>
  <si>
    <t>93Rte</t>
  </si>
  <si>
    <t>Purple</t>
  </si>
  <si>
    <t>94Rte</t>
  </si>
  <si>
    <t>Oaks</t>
  </si>
  <si>
    <t>95Rte</t>
  </si>
  <si>
    <t>96Rte</t>
  </si>
  <si>
    <t>Scott</t>
  </si>
  <si>
    <t>97Rte</t>
  </si>
  <si>
    <t>98Rte</t>
  </si>
  <si>
    <t>Opry</t>
  </si>
  <si>
    <t>Mills</t>
  </si>
  <si>
    <t>99Rte</t>
  </si>
  <si>
    <t>100Rte</t>
  </si>
  <si>
    <t>Madison</t>
  </si>
  <si>
    <t>Conn</t>
  </si>
  <si>
    <t>Spgfield/Joelton</t>
  </si>
  <si>
    <t>E</t>
  </si>
  <si>
    <t>104Rte</t>
  </si>
  <si>
    <t>West</t>
  </si>
  <si>
    <t>End</t>
  </si>
  <si>
    <t>(White</t>
  </si>
  <si>
    <t>Bri</t>
  </si>
  <si>
    <t>105Rte</t>
  </si>
  <si>
    <t>(Bellevue)</t>
  </si>
  <si>
    <t>106Rte</t>
  </si>
  <si>
    <t>MCS</t>
  </si>
  <si>
    <t>Shut</t>
  </si>
  <si>
    <t>107Rte</t>
  </si>
  <si>
    <t>Hillsboro</t>
  </si>
  <si>
    <t>108Rte</t>
  </si>
  <si>
    <t>110Rte</t>
  </si>
  <si>
    <t>112Rte</t>
  </si>
  <si>
    <t>Sprgfield/Joelton</t>
  </si>
  <si>
    <t>Franklin/Brentwood</t>
  </si>
  <si>
    <t>114Rte</t>
  </si>
  <si>
    <t>Charlotte</t>
  </si>
  <si>
    <t>115Rte</t>
  </si>
  <si>
    <t>116Rte</t>
  </si>
  <si>
    <t>Bellevue</t>
  </si>
  <si>
    <t>Rivergate</t>
  </si>
  <si>
    <t>119Rte</t>
  </si>
  <si>
    <t>Edmondson</t>
  </si>
  <si>
    <t>Pike</t>
  </si>
  <si>
    <t>Con</t>
  </si>
  <si>
    <t>Spring</t>
  </si>
  <si>
    <t>Hill</t>
  </si>
  <si>
    <t>122Rte</t>
  </si>
  <si>
    <t>Tusculum/McMurray</t>
  </si>
  <si>
    <t>Comm</t>
  </si>
  <si>
    <t>R&amp;R</t>
  </si>
  <si>
    <t>129Rte</t>
  </si>
  <si>
    <t>131Rte</t>
  </si>
  <si>
    <t>Star</t>
  </si>
  <si>
    <t>I</t>
  </si>
  <si>
    <t>132Rte</t>
  </si>
  <si>
    <t>O</t>
  </si>
  <si>
    <t>135Rte</t>
  </si>
  <si>
    <t>136Rte</t>
  </si>
  <si>
    <t>139Rte</t>
  </si>
  <si>
    <t>Golden</t>
  </si>
  <si>
    <t>Valley</t>
  </si>
  <si>
    <t>P</t>
  </si>
  <si>
    <t>140Rte</t>
  </si>
  <si>
    <t>A</t>
  </si>
  <si>
    <t>141Rte</t>
  </si>
  <si>
    <t>142Rte</t>
  </si>
  <si>
    <t>145Rte</t>
  </si>
  <si>
    <t>Jefferson</t>
  </si>
  <si>
    <t>146Rte</t>
  </si>
  <si>
    <t>147Rte</t>
  </si>
  <si>
    <t>Herman</t>
  </si>
  <si>
    <t>148Rte</t>
  </si>
  <si>
    <t>END</t>
  </si>
  <si>
    <t>REPORTING</t>
  </si>
  <si>
    <t>BOARDINGS BY ROUTE</t>
  </si>
  <si>
    <t>BOARDINGS BY SUB-MODE</t>
  </si>
  <si>
    <t>BOARDINGS BY ROUTE (SORTED BY OBS BOARDINGS)</t>
  </si>
  <si>
    <t>R-Squared</t>
  </si>
  <si>
    <t>149Rte</t>
  </si>
  <si>
    <t>150Rte</t>
  </si>
  <si>
    <t>Night</t>
  </si>
  <si>
    <t>152Rte</t>
  </si>
  <si>
    <t>153Rte</t>
  </si>
  <si>
    <t>Ander</t>
  </si>
  <si>
    <t>154Rte</t>
  </si>
  <si>
    <t>Neely</t>
  </si>
  <si>
    <t>Factor</t>
  </si>
  <si>
    <t>Dwell</t>
  </si>
  <si>
    <t>155Rte</t>
  </si>
  <si>
    <t>156Rte</t>
  </si>
  <si>
    <t>163Rte</t>
  </si>
  <si>
    <t>165Rte</t>
  </si>
  <si>
    <t>172Rte</t>
  </si>
  <si>
    <t>173Rte</t>
  </si>
  <si>
    <t>174Rte</t>
  </si>
  <si>
    <t>179Rte</t>
  </si>
  <si>
    <t>180Rte</t>
  </si>
  <si>
    <t>181Rte</t>
  </si>
  <si>
    <t>182Rte</t>
  </si>
  <si>
    <t>183Rte</t>
  </si>
  <si>
    <t>184Rte</t>
  </si>
  <si>
    <t>185Rte</t>
  </si>
  <si>
    <t>186Rte</t>
  </si>
  <si>
    <t>190MuleGreenWest</t>
  </si>
  <si>
    <t>192MulePurpleEast</t>
  </si>
  <si>
    <t>193MuleRedSouth</t>
  </si>
  <si>
    <t>194CrossTownTrinityEB</t>
  </si>
  <si>
    <t>195CrossTownBell</t>
  </si>
  <si>
    <t>198Rte</t>
  </si>
  <si>
    <t>Smyrna</t>
  </si>
  <si>
    <t>Lavergne</t>
  </si>
  <si>
    <t>Ex</t>
  </si>
  <si>
    <t>199Rte</t>
  </si>
  <si>
    <t>Thompson</t>
  </si>
  <si>
    <t>Connector</t>
  </si>
  <si>
    <t>200Rte</t>
  </si>
  <si>
    <t>201Rte</t>
  </si>
  <si>
    <t>202Rte</t>
  </si>
  <si>
    <t>203Rte</t>
  </si>
  <si>
    <t>University</t>
  </si>
  <si>
    <t>Connect</t>
  </si>
  <si>
    <t>204Rte</t>
  </si>
  <si>
    <t>205Rte</t>
  </si>
  <si>
    <t>Hills</t>
  </si>
  <si>
    <t>206Rte</t>
  </si>
  <si>
    <t>209MuleBlueSB</t>
  </si>
  <si>
    <t>210Rte</t>
  </si>
  <si>
    <t>211Rte</t>
  </si>
  <si>
    <t>212Rte</t>
  </si>
  <si>
    <t>215Rte</t>
  </si>
  <si>
    <t>225Rte</t>
  </si>
  <si>
    <t>226Rte</t>
  </si>
  <si>
    <t>227Rte</t>
  </si>
  <si>
    <t>228Rte</t>
  </si>
  <si>
    <t>231Rte</t>
  </si>
  <si>
    <t>232Rte</t>
  </si>
  <si>
    <t>233Rte</t>
  </si>
  <si>
    <t>236Rte</t>
  </si>
  <si>
    <t>237Rte</t>
  </si>
  <si>
    <t>BRD15+55</t>
  </si>
  <si>
    <t>BRD10+50</t>
  </si>
  <si>
    <t>BRD7</t>
  </si>
  <si>
    <t>BRD52</t>
  </si>
  <si>
    <t>BRD56</t>
  </si>
  <si>
    <t>BRD3</t>
  </si>
  <si>
    <t>BRD5</t>
  </si>
  <si>
    <t>BRD19</t>
  </si>
  <si>
    <t>BRD25</t>
  </si>
  <si>
    <t>BRD23</t>
  </si>
  <si>
    <t>BRD22</t>
  </si>
  <si>
    <t>BRD60</t>
  </si>
  <si>
    <t>BRD17</t>
  </si>
  <si>
    <t>BRD6</t>
  </si>
  <si>
    <t>BRD4</t>
  </si>
  <si>
    <t>BRD26</t>
  </si>
  <si>
    <t>BRD29</t>
  </si>
  <si>
    <t>BRD8</t>
  </si>
  <si>
    <t>RTA90</t>
  </si>
  <si>
    <t>BRD28</t>
  </si>
  <si>
    <t>BRD61</t>
  </si>
  <si>
    <t>BRD42</t>
  </si>
  <si>
    <t>BRD20</t>
  </si>
  <si>
    <t>BRD2</t>
  </si>
  <si>
    <t>BRD9</t>
  </si>
  <si>
    <t>BRD18</t>
  </si>
  <si>
    <t>BRD14</t>
  </si>
  <si>
    <t>BRD84</t>
  </si>
  <si>
    <t>RTA96</t>
  </si>
  <si>
    <t>BRD1</t>
  </si>
  <si>
    <t>BRD34</t>
  </si>
  <si>
    <t>BRD30</t>
  </si>
  <si>
    <t>BRD33</t>
  </si>
  <si>
    <t>BRD37</t>
  </si>
  <si>
    <t>RTA92</t>
  </si>
  <si>
    <t>BRD24</t>
  </si>
  <si>
    <t>BRD36</t>
  </si>
  <si>
    <t>RTA87</t>
  </si>
  <si>
    <t>BRD27</t>
  </si>
  <si>
    <t>BRD21</t>
  </si>
  <si>
    <t>BRD35</t>
  </si>
  <si>
    <t>BRD38</t>
  </si>
  <si>
    <t>RTA89</t>
  </si>
  <si>
    <t>BRD43</t>
  </si>
  <si>
    <t>BRD86</t>
  </si>
  <si>
    <t>BRD93</t>
  </si>
  <si>
    <t>RTA91</t>
  </si>
  <si>
    <t>BRD77</t>
  </si>
  <si>
    <t>BRD76</t>
  </si>
  <si>
    <t>BRD72</t>
  </si>
  <si>
    <t>RTA95</t>
  </si>
  <si>
    <t>BRD41</t>
  </si>
  <si>
    <t>ObsOff</t>
  </si>
  <si>
    <t>ObsOn</t>
  </si>
  <si>
    <t>ObsName</t>
  </si>
  <si>
    <t>ON</t>
  </si>
  <si>
    <t>RouteObs</t>
  </si>
  <si>
    <t>RouteNumNum</t>
  </si>
  <si>
    <t>RouteNumChar</t>
  </si>
  <si>
    <t>boarding</t>
  </si>
  <si>
    <t>Track</t>
  </si>
  <si>
    <t>Route_Name</t>
  </si>
  <si>
    <t>Rte 1 100 Oaks IB</t>
  </si>
  <si>
    <t>Rte 1 100 Oaks OB</t>
  </si>
  <si>
    <t>Rte 2 Belmont OB</t>
  </si>
  <si>
    <t>Rte 2 Belmont IB</t>
  </si>
  <si>
    <t>Rte 3 West End (White Bridge) IB</t>
  </si>
  <si>
    <t>Rte 5 West End (Bellevue) IB</t>
  </si>
  <si>
    <t>Rte 5 West End (Bellevue) OB</t>
  </si>
  <si>
    <t>Rte 3 West End (White Bridge) OB</t>
  </si>
  <si>
    <t>Rte 4 Shelby IB</t>
  </si>
  <si>
    <t>Rte 4 Shelby OB</t>
  </si>
  <si>
    <t>Rte 6 Lebanon Rd OB</t>
  </si>
  <si>
    <t>Rte 6 Lebanon Rd IB</t>
  </si>
  <si>
    <t>Rte 7 Hillsboro IB</t>
  </si>
  <si>
    <t>Rte 7 Hillsboro OB</t>
  </si>
  <si>
    <t>Rte 8 8th Avenue South OB</t>
  </si>
  <si>
    <t>Rte 8 8th Avenue South IB</t>
  </si>
  <si>
    <t>Rte 9 MetroCenter OB</t>
  </si>
  <si>
    <t>Rte 9 MetroCenter IB</t>
  </si>
  <si>
    <t>Rte 10 Charlotte OB</t>
  </si>
  <si>
    <t>Rte 10 Charlotte IB</t>
  </si>
  <si>
    <t>Rte 12 Nolensville Rd (Hick) OB</t>
  </si>
  <si>
    <t>Rte 12 Nolensville Rd (Hard) OB</t>
  </si>
  <si>
    <t>Rte 12 Nolensville Rd (Hard) IB</t>
  </si>
  <si>
    <t>Rte 12 Nolensville Rd (Hick) IB</t>
  </si>
  <si>
    <t>Rte 12 Nolensville Rd (Wall) IB</t>
  </si>
  <si>
    <t>Rte 12 Nolensville Rd (Wall) OB</t>
  </si>
  <si>
    <t>Rte 14 Whites Creek OB</t>
  </si>
  <si>
    <t>Rte 14 Whites Creek IB</t>
  </si>
  <si>
    <t>Rte 15 Murfreesboro Rd OB</t>
  </si>
  <si>
    <t>Rte 15 Murfreesboro Rd IB</t>
  </si>
  <si>
    <t>Rte 17 12th Ave South Loop1 IB</t>
  </si>
  <si>
    <t>Rte 17 12th Ave South Loop2 OB</t>
  </si>
  <si>
    <t>Rte 17 12th Ave South Loop2 IB</t>
  </si>
  <si>
    <t>Rte 17 12th Ave South Loop1 OB</t>
  </si>
  <si>
    <t>Rte 18 Airport Exp OB</t>
  </si>
  <si>
    <t>Rte 18 Airport Exp IB</t>
  </si>
  <si>
    <t>Rte 18 Airport Local OB</t>
  </si>
  <si>
    <t>Rte 18 Airport Local IB</t>
  </si>
  <si>
    <t>Rte 19 Herman IB</t>
  </si>
  <si>
    <t>Rte 19 Herman OB</t>
  </si>
  <si>
    <t>Rte 20 Scott OB</t>
  </si>
  <si>
    <t>Rte 20 Scott IB</t>
  </si>
  <si>
    <t>Rte 21 University Connector SB</t>
  </si>
  <si>
    <t>Rte 21 University Connector NB</t>
  </si>
  <si>
    <t>Rte 22 Bordeaux (Panaroma) IB</t>
  </si>
  <si>
    <t>Rte 22 Bordeaux (Panaroma) OB</t>
  </si>
  <si>
    <t>Rte 22 Bordeaux (Kings Ln) OB</t>
  </si>
  <si>
    <t>Rte 22 Bordeaux (Kings Ln) IB</t>
  </si>
  <si>
    <t>Rte 23 Dickerson Rd Loop1 OB</t>
  </si>
  <si>
    <t>Rte 23 Dickerson Rd Loop1 IB</t>
  </si>
  <si>
    <t>Rte 23 Dickerson Rd Loop2 OB</t>
  </si>
  <si>
    <t>Rte 23 Dickerson Rd Loop2 IB</t>
  </si>
  <si>
    <t>Rte 24 Bellevue Exp AM</t>
  </si>
  <si>
    <t>Rte 24 Bellevue Exp PM</t>
  </si>
  <si>
    <t>Rte 25 Midtown CW Loop</t>
  </si>
  <si>
    <t>Rte 25 Midtwon CCW Loop</t>
  </si>
  <si>
    <t>Rte 26 Gallatin Rd IB</t>
  </si>
  <si>
    <t>Rte 26 Gallatin Rd OB</t>
  </si>
  <si>
    <t>Rte 27 Old Hickory OB</t>
  </si>
  <si>
    <t>Rte 27 Old Hickory IB</t>
  </si>
  <si>
    <t>Rte 28 Meridian OB</t>
  </si>
  <si>
    <t>Rte 28 Meridian IB</t>
  </si>
  <si>
    <t>Rte 28 Meridian Night</t>
  </si>
  <si>
    <t>Rte 29 Jefferson IB</t>
  </si>
  <si>
    <t>Rte 29 Jefferson OB</t>
  </si>
  <si>
    <t>Rte 30 McFerrin OB Night</t>
  </si>
  <si>
    <t>Rte 30 McFerrin OB</t>
  </si>
  <si>
    <t>Rte 30 McFerrin IB</t>
  </si>
  <si>
    <t>Rte 33 Old Hickory Exp IB</t>
  </si>
  <si>
    <t>Rte 33 Old Hickory Exp OB</t>
  </si>
  <si>
    <t>Rte 34 Opry Mills Loop</t>
  </si>
  <si>
    <t>Rte 35 Rivergate Exp IB</t>
  </si>
  <si>
    <t>Rte 35 Rivergate Exp OB</t>
  </si>
  <si>
    <t>Rte 36 Madison Express IB</t>
  </si>
  <si>
    <t>Rte 36 Madison Express OB</t>
  </si>
  <si>
    <t>Rte 37X Tusculum/McMurray EXP IB</t>
  </si>
  <si>
    <t>Rte 37X Tusculum McMurray Exp OB</t>
  </si>
  <si>
    <t>Rte 37X Tusculum McMurray Exp IB</t>
  </si>
  <si>
    <t>Rte 38 Antioch Exp IB</t>
  </si>
  <si>
    <t>Rte 38 Antioch Exp OB</t>
  </si>
  <si>
    <t>Rte 39 Cane Ridge Exp IB</t>
  </si>
  <si>
    <t>Rte 39 Cane Ridge Exp OB</t>
  </si>
  <si>
    <t>Rte 41 Golden Valley OB PM</t>
  </si>
  <si>
    <t>Rte 41 Golden Valley IB PM</t>
  </si>
  <si>
    <t>Rte 41 Golden Valley IB AM</t>
  </si>
  <si>
    <t>Rte 41 Golden Valley OB AM</t>
  </si>
  <si>
    <t>Rte 42 Cecilia/Cumberland IB</t>
  </si>
  <si>
    <t>Rte 42 Cecilia/Cumberland OB</t>
  </si>
  <si>
    <t>Rte 43 Hickory Hills IB</t>
  </si>
  <si>
    <t>Rte 43 Hickory Hills OB</t>
  </si>
  <si>
    <t>Rte 44 MTA Shuttle IB</t>
  </si>
  <si>
    <t>Rte 44 MTA Shuttle OB</t>
  </si>
  <si>
    <t>Rte 56 Gallatin Rd BRT OB</t>
  </si>
  <si>
    <t>Rte 56 Gallatin Rd BRT IB</t>
  </si>
  <si>
    <t>Rte 60 Music City Blue Circuit</t>
  </si>
  <si>
    <t>Rte 61 Music City Green Circuit</t>
  </si>
  <si>
    <t>Rte 62 Music City Purple Circuit</t>
  </si>
  <si>
    <t>Rte 72 Edmondson Pike Conn Loop</t>
  </si>
  <si>
    <t>Rte 76 Madison Conn Anderson</t>
  </si>
  <si>
    <t>Rte 76 Madison Conn Neelys</t>
  </si>
  <si>
    <t>Rte 77 Thompson Connector EB</t>
  </si>
  <si>
    <t>Rte 77 Thompson Connector WB</t>
  </si>
  <si>
    <t>Rte 86 Smyrna Lavergne Exp OB</t>
  </si>
  <si>
    <t>Rte 86 Smyrna Lavergne Exp IB</t>
  </si>
  <si>
    <t>Rte 89 Sprgfield/Joelton Exp IB</t>
  </si>
  <si>
    <t>Rte 89 Spgfield/Joelton Exp OB</t>
  </si>
  <si>
    <t>Rte 91 Franklin/Brentwood Exp IB</t>
  </si>
  <si>
    <t>Rte 91 Franklin/Brentwood Exp OB</t>
  </si>
  <si>
    <t>Rte 87 Gallatin Comm Bus OB</t>
  </si>
  <si>
    <t>Rte 87 Gallatin Comm Bus IB</t>
  </si>
  <si>
    <t>Rte 92 Bus IB</t>
  </si>
  <si>
    <t>Rte 92 Bus OB</t>
  </si>
  <si>
    <t>Rte 95 Spring Hill Exp OB</t>
  </si>
  <si>
    <t>Rte 95 Spring Hill Exp IB</t>
  </si>
  <si>
    <t>Rte 96 Murfreesboro Comm Bus OB</t>
  </si>
  <si>
    <t>Rte 96 Murfreesboro Comm Bus IB</t>
  </si>
  <si>
    <t>Rte 96 Murfreesboro R&amp;R EXP OB</t>
  </si>
  <si>
    <t>Rte 96 Murfreesboro R&amp;R Exp IB</t>
  </si>
  <si>
    <t>Rte 107 Rover Gateway</t>
  </si>
  <si>
    <t>Rte 105 Rover HighLand</t>
  </si>
  <si>
    <t>Rte 106 Rover Medical Center</t>
  </si>
  <si>
    <t>Rte 104 Rover Mercury</t>
  </si>
  <si>
    <t>Rte 101 Rover N.W. Broad</t>
  </si>
  <si>
    <t>Rte 108 Rover Old Fort</t>
  </si>
  <si>
    <t>Rte 102 Rover South Church</t>
  </si>
  <si>
    <t>Rte 103 Rover Memorial</t>
  </si>
  <si>
    <t>Rte 113 FTA Green Route</t>
  </si>
  <si>
    <t>Rte 112 FTA Red Route</t>
  </si>
  <si>
    <t>Rte 201 MCS West End Shuttle</t>
  </si>
  <si>
    <t>Rte 301 Music City Star IB</t>
  </si>
  <si>
    <t>Rte 301 Music City Star OB</t>
  </si>
  <si>
    <t>MuleGreenWest</t>
  </si>
  <si>
    <t>MuleBlueSB</t>
  </si>
  <si>
    <t>MulePurpleEast</t>
  </si>
  <si>
    <t>MuleRedSouth</t>
  </si>
  <si>
    <t>CrossTownTrinityEB</t>
  </si>
  <si>
    <t>CrossTownBell</t>
  </si>
  <si>
    <t>CrossTownAirportNB</t>
  </si>
  <si>
    <t>Rte 84 OB</t>
  </si>
  <si>
    <t>Rte 84 IB</t>
  </si>
  <si>
    <t>modes</t>
  </si>
  <si>
    <t>RouteNum</t>
  </si>
  <si>
    <t>Route Name (Temp)</t>
  </si>
  <si>
    <t>6,7</t>
  </si>
  <si>
    <t>11,12</t>
  </si>
  <si>
    <t>238Rte</t>
  </si>
  <si>
    <t>239Rte</t>
  </si>
  <si>
    <t>240Rte</t>
  </si>
  <si>
    <t>241Rte</t>
  </si>
  <si>
    <t>Diff</t>
  </si>
  <si>
    <t>"RouteNumNum" isn't correct, used "RouteNumChar"</t>
  </si>
  <si>
    <t>% Diff</t>
  </si>
  <si>
    <t>DIFF</t>
  </si>
  <si>
    <t>May</t>
  </si>
  <si>
    <t>Boarding rate</t>
  </si>
  <si>
    <t>Transit trips</t>
  </si>
  <si>
    <t>1</t>
  </si>
  <si>
    <t>0,005</t>
  </si>
  <si>
    <t>0,022</t>
  </si>
  <si>
    <t>Sat,</t>
  </si>
  <si>
    <t>(01:49:48)</t>
  </si>
  <si>
    <t xml:space="preserve">PathImpedance_TransitLocalBusPathConstant = 0.05 </t>
  </si>
  <si>
    <t>PathImpedance_TransitPremiumBusPathConstant = 0.12</t>
  </si>
  <si>
    <t xml:space="preserve">PathImpedance_TransitLightRailPathConstant = 0.0 </t>
  </si>
  <si>
    <t xml:space="preserve">PathImpedance_TransitCommuterRailPathConstant = 1.15 </t>
  </si>
  <si>
    <t>PathImpedance_TransitFerryPathConstant = 0.07</t>
  </si>
  <si>
    <t xml:space="preserve">PathImpedance_TransitUsePathTypeSpecificTime = true </t>
  </si>
  <si>
    <t xml:space="preserve">PathImpedance_TransitPremiumBusTimeAdditiveWeight = -0.204 </t>
  </si>
  <si>
    <t>PathImpedance_TransitLightRailTimeAdditiveWeight = 0.0</t>
  </si>
  <si>
    <t>PathImpedance_TransitCommuterRailTimeAdditiveWeight = -0.273</t>
  </si>
  <si>
    <t>PathImpedance_TransitFerryTimeAdditiveWeight = -0.318</t>
  </si>
  <si>
    <t>PathImpedance_TransitPremiumBusInVehicleTimeWeight = 0.95</t>
  </si>
  <si>
    <t>PathImpedance_TransitLightRailInVehicleTimeWeight = 1.0</t>
  </si>
  <si>
    <t>PathImpedance_TransitCommuterRailInVehicleTimeWeight = 0.65</t>
  </si>
  <si>
    <t>PathImpedance_TransitFerryInVehicleTimeWeight = 0.80</t>
  </si>
  <si>
    <t>Path Impedance</t>
  </si>
  <si>
    <t>NOTE:</t>
  </si>
  <si>
    <t>diff in by sub-mode in TrnStat.asc and this table is because of Rte 18 Airport Exp. There are two servies, one is Exp and one local. TrnStat.asc considers both as local.</t>
  </si>
  <si>
    <t>242Rte</t>
  </si>
  <si>
    <t>243Rte</t>
  </si>
  <si>
    <t>244Rte</t>
  </si>
  <si>
    <t>245Rte</t>
  </si>
  <si>
    <t>246CrossTownAirportNB</t>
  </si>
  <si>
    <t>00,033</t>
  </si>
  <si>
    <t>00,094</t>
  </si>
  <si>
    <t>0,006</t>
  </si>
  <si>
    <t>0,009</t>
  </si>
  <si>
    <t>0,018</t>
  </si>
  <si>
    <t>0,081</t>
  </si>
  <si>
    <t>00,011</t>
  </si>
  <si>
    <t>00,003</t>
  </si>
  <si>
    <t>00,014</t>
  </si>
  <si>
    <t>0,108</t>
  </si>
  <si>
    <t>0,123</t>
  </si>
  <si>
    <t>0,384</t>
  </si>
  <si>
    <t>00,007</t>
  </si>
  <si>
    <t>00,052</t>
  </si>
  <si>
    <t>00,155</t>
  </si>
  <si>
    <t>00,634</t>
  </si>
  <si>
    <t>0,102</t>
  </si>
  <si>
    <t>0,125</t>
  </si>
  <si>
    <t>0,021</t>
  </si>
  <si>
    <t>00,131</t>
  </si>
  <si>
    <t>0,020</t>
  </si>
  <si>
    <t>0,058</t>
  </si>
  <si>
    <t>0,015</t>
  </si>
  <si>
    <t>0,036</t>
  </si>
  <si>
    <t>0,010</t>
  </si>
  <si>
    <t>00,005</t>
  </si>
  <si>
    <t>0,003</t>
  </si>
  <si>
    <t>0,011</t>
  </si>
  <si>
    <t>00,063</t>
  </si>
  <si>
    <t>00,630</t>
  </si>
  <si>
    <t>00,092</t>
  </si>
  <si>
    <t>00,196</t>
  </si>
  <si>
    <t>00,508</t>
  </si>
  <si>
    <t>00,238</t>
  </si>
  <si>
    <t>0,621</t>
  </si>
  <si>
    <t>0,179</t>
  </si>
  <si>
    <t>00,040</t>
  </si>
  <si>
    <t>00,300</t>
  </si>
  <si>
    <t>0,253</t>
  </si>
  <si>
    <t>0,078</t>
  </si>
  <si>
    <t>0,029</t>
  </si>
  <si>
    <t>00,218</t>
  </si>
  <si>
    <t>00,128</t>
  </si>
  <si>
    <t>0,227</t>
  </si>
  <si>
    <t>0,008</t>
  </si>
  <si>
    <t>Mon,</t>
  </si>
  <si>
    <t>Jun</t>
  </si>
  <si>
    <t>(10:44:29)</t>
  </si>
  <si>
    <t>00,490</t>
  </si>
  <si>
    <t>00,381</t>
  </si>
  <si>
    <t>00,235</t>
  </si>
  <si>
    <t>00,478</t>
  </si>
  <si>
    <t>00,345</t>
  </si>
  <si>
    <t>00,583</t>
  </si>
  <si>
    <t>00,173</t>
  </si>
  <si>
    <t>00,383</t>
  </si>
  <si>
    <t>00,112</t>
  </si>
  <si>
    <t>00,213</t>
  </si>
  <si>
    <t>00,595</t>
  </si>
  <si>
    <t>00,473</t>
  </si>
  <si>
    <t>00,530</t>
  </si>
  <si>
    <t>00,738</t>
  </si>
  <si>
    <t>00,207</t>
  </si>
  <si>
    <t>00,500</t>
  </si>
  <si>
    <t>00,297</t>
  </si>
  <si>
    <t>00,041</t>
  </si>
  <si>
    <t>00,123</t>
  </si>
  <si>
    <t>00,025</t>
  </si>
  <si>
    <t>00,055</t>
  </si>
  <si>
    <t>00,765</t>
  </si>
  <si>
    <t>00,540</t>
  </si>
  <si>
    <t>00,642</t>
  </si>
  <si>
    <t>00,440</t>
  </si>
  <si>
    <t>00,190</t>
  </si>
  <si>
    <t>00,692</t>
  </si>
  <si>
    <t>00,042</t>
  </si>
  <si>
    <t>00,028</t>
  </si>
  <si>
    <t>00,162</t>
  </si>
  <si>
    <t>00,852</t>
  </si>
  <si>
    <t>00,687</t>
  </si>
  <si>
    <t>00,911</t>
  </si>
  <si>
    <t>00,266</t>
  </si>
  <si>
    <t>00,242</t>
  </si>
  <si>
    <t>00,518</t>
  </si>
  <si>
    <t>00,759</t>
  </si>
  <si>
    <t>00,203</t>
  </si>
  <si>
    <t>00,513</t>
  </si>
  <si>
    <t>00,101</t>
  </si>
  <si>
    <t>00,144</t>
  </si>
  <si>
    <t>0,112</t>
  </si>
  <si>
    <t>00,379</t>
  </si>
  <si>
    <t>00,673</t>
  </si>
  <si>
    <t>0,657</t>
  </si>
  <si>
    <t>0,791</t>
  </si>
  <si>
    <t>0,107</t>
  </si>
  <si>
    <t>0,356</t>
  </si>
  <si>
    <t>0,072</t>
  </si>
  <si>
    <t>00,836</t>
  </si>
  <si>
    <t>0,553</t>
  </si>
  <si>
    <t>0,966</t>
  </si>
  <si>
    <t>00,326</t>
  </si>
  <si>
    <t>0,087</t>
  </si>
  <si>
    <t>0,501</t>
  </si>
  <si>
    <t>00,914</t>
  </si>
  <si>
    <t>00,331</t>
  </si>
  <si>
    <t>0,648</t>
  </si>
  <si>
    <t>0,487</t>
  </si>
  <si>
    <t>0,234</t>
  </si>
  <si>
    <t>0,167</t>
  </si>
  <si>
    <t>0,109</t>
  </si>
  <si>
    <t>00,728</t>
  </si>
  <si>
    <t>0,169</t>
  </si>
  <si>
    <t>00,476</t>
  </si>
  <si>
    <t>00,617</t>
  </si>
  <si>
    <t>0,714</t>
  </si>
  <si>
    <t>0,116</t>
  </si>
  <si>
    <t>0,187</t>
  </si>
  <si>
    <t>0,049</t>
  </si>
  <si>
    <t>00,924</t>
  </si>
  <si>
    <t>0,124</t>
  </si>
  <si>
    <t>00,243</t>
  </si>
  <si>
    <t>0,389</t>
  </si>
  <si>
    <t>0,287</t>
  </si>
  <si>
    <t>0,132</t>
  </si>
  <si>
    <t>00,084</t>
  </si>
  <si>
    <t>0,136</t>
  </si>
  <si>
    <t>00,451</t>
  </si>
  <si>
    <t>00,255</t>
  </si>
  <si>
    <t>0,176</t>
  </si>
  <si>
    <t>0,370</t>
  </si>
  <si>
    <t>00,812</t>
  </si>
  <si>
    <t>00,157</t>
  </si>
  <si>
    <t>0,097</t>
  </si>
  <si>
    <t>0,275</t>
  </si>
  <si>
    <t>00,529</t>
  </si>
  <si>
    <t>00,027</t>
  </si>
  <si>
    <t>0,033</t>
  </si>
  <si>
    <t>0,034</t>
  </si>
  <si>
    <t>00,117</t>
  </si>
  <si>
    <t>0,410</t>
  </si>
  <si>
    <t>0,085</t>
  </si>
  <si>
    <t>00,298</t>
  </si>
  <si>
    <t>0,394</t>
  </si>
  <si>
    <t>0,436</t>
  </si>
  <si>
    <t>00,280</t>
  </si>
  <si>
    <t>0,148</t>
  </si>
  <si>
    <t>0,292</t>
  </si>
  <si>
    <t>0,082</t>
  </si>
  <si>
    <t>00,801</t>
  </si>
  <si>
    <t>00,143</t>
  </si>
  <si>
    <t>0,220</t>
  </si>
  <si>
    <t>0,318</t>
  </si>
  <si>
    <t>0,086</t>
  </si>
  <si>
    <t>00,768</t>
  </si>
  <si>
    <t>0,024</t>
  </si>
  <si>
    <t>0,019</t>
  </si>
  <si>
    <t>00,077</t>
  </si>
  <si>
    <t>0,048</t>
  </si>
  <si>
    <t>0,077</t>
  </si>
  <si>
    <t>00,355</t>
  </si>
  <si>
    <t>0,171</t>
  </si>
  <si>
    <t>0,047</t>
  </si>
  <si>
    <t>00,594</t>
  </si>
  <si>
    <t>00,201</t>
  </si>
  <si>
    <t>00,062</t>
  </si>
  <si>
    <t>00,251</t>
  </si>
  <si>
    <t>0,057</t>
  </si>
  <si>
    <t>0,063</t>
  </si>
  <si>
    <t>00,174</t>
  </si>
  <si>
    <t>00,022</t>
  </si>
  <si>
    <t>0,070</t>
  </si>
  <si>
    <t>00,064</t>
  </si>
  <si>
    <t>0,046</t>
  </si>
  <si>
    <t>0,065</t>
  </si>
  <si>
    <t>0,027</t>
  </si>
  <si>
    <t>00,100</t>
  </si>
  <si>
    <t>00,226</t>
  </si>
  <si>
    <t>0,060</t>
  </si>
  <si>
    <t>00,013</t>
  </si>
  <si>
    <t>00,069</t>
  </si>
  <si>
    <t>0,224</t>
  </si>
  <si>
    <t>00,448</t>
  </si>
  <si>
    <t>0,012</t>
  </si>
  <si>
    <t>00,082</t>
  </si>
  <si>
    <t>0,784</t>
  </si>
  <si>
    <t>0,337</t>
  </si>
  <si>
    <t>0,687</t>
  </si>
  <si>
    <t>0,911</t>
  </si>
  <si>
    <t>0,266</t>
  </si>
  <si>
    <t>0,803</t>
  </si>
  <si>
    <t>0,554</t>
  </si>
  <si>
    <t>0,252</t>
  </si>
  <si>
    <t>0,126</t>
  </si>
  <si>
    <t>0,110</t>
  </si>
  <si>
    <t>00,493</t>
  </si>
  <si>
    <t>0,007</t>
  </si>
  <si>
    <t>00,046</t>
  </si>
  <si>
    <t>0,014</t>
  </si>
  <si>
    <t>00,034</t>
  </si>
  <si>
    <t>00,061</t>
  </si>
  <si>
    <t>0,062</t>
  </si>
  <si>
    <t>00,249</t>
  </si>
  <si>
    <t>0,004</t>
  </si>
  <si>
    <t>00,024</t>
  </si>
  <si>
    <t>00,010</t>
  </si>
  <si>
    <t>0,035</t>
  </si>
  <si>
    <t>00,045</t>
  </si>
  <si>
    <t>0,025</t>
  </si>
  <si>
    <t>0,518</t>
  </si>
  <si>
    <t>0,028</t>
  </si>
  <si>
    <t>0,079</t>
  </si>
  <si>
    <t>00,159</t>
  </si>
  <si>
    <t>0,203</t>
  </si>
  <si>
    <t>590105.214.517.580</t>
  </si>
  <si>
    <t>02.7185.9985.21712.10</t>
  </si>
  <si>
    <t>0116.18.4990.546</t>
  </si>
  <si>
    <t>01.1981.2091.452</t>
  </si>
  <si>
    <t>0168.56.1993.131</t>
  </si>
  <si>
    <t>03.0745.833</t>
  </si>
  <si>
    <t>073.603.8500.858</t>
  </si>
  <si>
    <t>37736.763.6022.354</t>
  </si>
  <si>
    <t>01.6312.1251.6130.807</t>
  </si>
  <si>
    <t>087.833.3410.142</t>
  </si>
  <si>
    <t>01.0000.3330.433</t>
  </si>
  <si>
    <t>0113.42.2580.500</t>
  </si>
  <si>
    <t>04.0747.304</t>
  </si>
  <si>
    <t>063.753.2660.658</t>
  </si>
  <si>
    <t>21261.561.4430.500</t>
  </si>
  <si>
    <t>094.971.935</t>
  </si>
  <si>
    <t>033.131.9860.307</t>
  </si>
  <si>
    <t>01.1201.9971.2291.839</t>
  </si>
  <si>
    <t>42341.636.1191.866</t>
  </si>
  <si>
    <t>00.5001.5380.2301.175</t>
  </si>
  <si>
    <t>0122.45.347</t>
  </si>
  <si>
    <t>0189.33.5200.595</t>
  </si>
  <si>
    <t>042.811.2500.125</t>
  </si>
  <si>
    <t>374149.41.266</t>
  </si>
  <si>
    <t>0120.04.048</t>
  </si>
  <si>
    <t>076.925.1660.375</t>
  </si>
  <si>
    <t>01.3760.1660.916</t>
  </si>
  <si>
    <t>011.551.375</t>
  </si>
  <si>
    <t>328117.90.7690.769</t>
  </si>
  <si>
    <t>086.391.0070.250</t>
  </si>
  <si>
    <t>059.673.3391.241</t>
  </si>
  <si>
    <t>02.8341.4730.773</t>
  </si>
  <si>
    <t>031.901.625</t>
  </si>
  <si>
    <t>433168.30.6140.402</t>
  </si>
  <si>
    <t>0109.02.092</t>
  </si>
  <si>
    <t>086.133.1091.525</t>
  </si>
  <si>
    <t>00.5960.4400.209</t>
  </si>
  <si>
    <t>31774.5813.50</t>
  </si>
  <si>
    <t>087.2512.37</t>
  </si>
  <si>
    <t>088.538.800</t>
  </si>
  <si>
    <t>01.5000.5000.975</t>
  </si>
  <si>
    <t>015.162.2500.250</t>
  </si>
  <si>
    <t>24132.361.0710.666</t>
  </si>
  <si>
    <t>00.1690.285</t>
  </si>
  <si>
    <t>043.230.957</t>
  </si>
  <si>
    <t>097.682.0520.387</t>
  </si>
  <si>
    <t>00.8679.9700.406</t>
  </si>
  <si>
    <t>047.011.125</t>
  </si>
  <si>
    <t>01.6660.416</t>
  </si>
  <si>
    <t>37294.720.6151.059</t>
  </si>
  <si>
    <t>089.391.0070.250</t>
  </si>
  <si>
    <t>0120.45.7252.128</t>
  </si>
  <si>
    <t>27.1062.5262.326</t>
  </si>
  <si>
    <t>034.901.625</t>
  </si>
  <si>
    <t>19721.453.0590.933</t>
  </si>
  <si>
    <t>00.2501.0190.1151.087</t>
  </si>
  <si>
    <t>063.152.458</t>
  </si>
  <si>
    <t>082.621.3740.347</t>
  </si>
  <si>
    <t>01.2495.4646.0913.632</t>
  </si>
  <si>
    <t>19264.210.633</t>
  </si>
  <si>
    <t>071.311.829</t>
  </si>
  <si>
    <t>048.143.4440.250</t>
  </si>
  <si>
    <t>00.9170.1110.611</t>
  </si>
  <si>
    <t>235106.70.6150.615</t>
  </si>
  <si>
    <t>085.891.0070.250</t>
  </si>
  <si>
    <t>033.901.625</t>
  </si>
  <si>
    <t>20031.942.2521.959</t>
  </si>
  <si>
    <t>00.5001.8291.4972.226</t>
  </si>
  <si>
    <t>080.822.7860.119</t>
  </si>
  <si>
    <t>03.1400.4700.631</t>
  </si>
  <si>
    <t>054.002.4190.490</t>
  </si>
  <si>
    <t>08.7583.228</t>
  </si>
  <si>
    <t>577236.53.416</t>
  </si>
  <si>
    <t>0171.32.521</t>
  </si>
  <si>
    <t>0143.93.460</t>
  </si>
  <si>
    <t>01.0350.7222.565</t>
  </si>
  <si>
    <t>05.9710.875</t>
  </si>
  <si>
    <t>53551.111.0021.797</t>
  </si>
  <si>
    <t>00.7970.7360.2651.027</t>
  </si>
  <si>
    <t>0178.91.480</t>
  </si>
  <si>
    <t>0226.52.481</t>
  </si>
  <si>
    <t>063.260.9500.125</t>
  </si>
  <si>
    <t>47462.618.1084.036</t>
  </si>
  <si>
    <t>01.6313.5983.1304.860</t>
  </si>
  <si>
    <t>0119.58.1660.296</t>
  </si>
  <si>
    <t>0167.26.1990.906</t>
  </si>
  <si>
    <t>04.0740.333</t>
  </si>
  <si>
    <t>070.103.8500.858</t>
  </si>
  <si>
    <t>36228.654.0090.924</t>
  </si>
  <si>
    <t>00.3750.544</t>
  </si>
  <si>
    <t>074.355.9410.599</t>
  </si>
  <si>
    <t>0145.113.540.200</t>
  </si>
  <si>
    <t>05.5265.02312.79</t>
  </si>
  <si>
    <t>054.730.991</t>
  </si>
  <si>
    <t>8757.501.500</t>
  </si>
  <si>
    <t>023.750.500</t>
  </si>
  <si>
    <t>41671.606.8021.837</t>
  </si>
  <si>
    <t>02.96936.673.5544.372</t>
  </si>
  <si>
    <t>071.295.422</t>
  </si>
  <si>
    <t>04.9230.7610.141</t>
  </si>
  <si>
    <t>090.565.9924.375</t>
  </si>
  <si>
    <t>02.3027.9040.7503.884</t>
  </si>
  <si>
    <t>061.0710.351.125</t>
  </si>
  <si>
    <t>05.0502.4002.400</t>
  </si>
  <si>
    <t>38576.7612.697.235</t>
  </si>
  <si>
    <t>03.28712.105.0199.762</t>
  </si>
  <si>
    <t>053.533.8170.445</t>
  </si>
  <si>
    <t>03.4991.5392.290</t>
  </si>
  <si>
    <t>0107.212.866.306</t>
  </si>
  <si>
    <t>011.6213.654.4649.264</t>
  </si>
  <si>
    <t>030.620.444</t>
  </si>
  <si>
    <t>054.232.7630.700</t>
  </si>
  <si>
    <t>02.1671.0790.679</t>
  </si>
  <si>
    <t>30225.615.0261.292</t>
  </si>
  <si>
    <t>00.1810.5440.719</t>
  </si>
  <si>
    <t>042.344.2550.074</t>
  </si>
  <si>
    <t>0121.616.091.213</t>
  </si>
  <si>
    <t>04.1900.55212.186.065</t>
  </si>
  <si>
    <t>057.520.991</t>
  </si>
  <si>
    <t>45135.9014.940.381</t>
  </si>
  <si>
    <t>00.1701.8000.7261.200</t>
  </si>
  <si>
    <t>087.9419.73</t>
  </si>
  <si>
    <t>01.6000.600</t>
  </si>
  <si>
    <t>0162.125.770.600</t>
  </si>
  <si>
    <t>00.85011.579.9935.524</t>
  </si>
  <si>
    <t>061.883.9080.250</t>
  </si>
  <si>
    <t>31646.424.7536.300</t>
  </si>
  <si>
    <t>04.1222.9784.315</t>
  </si>
  <si>
    <t>092.742.5510.984</t>
  </si>
  <si>
    <t>01.7620.3510.431</t>
  </si>
  <si>
    <t>056.520.5060.259</t>
  </si>
  <si>
    <t>048.960.9720.700</t>
  </si>
  <si>
    <t>012.800.6660.666</t>
  </si>
  <si>
    <t>41280.771.412</t>
  </si>
  <si>
    <t>00.12264.70</t>
  </si>
  <si>
    <t>0122.89.740</t>
  </si>
  <si>
    <t>062.578.276</t>
  </si>
  <si>
    <t>00.2266.9733.5903.480</t>
  </si>
  <si>
    <t>038.532.933</t>
  </si>
  <si>
    <t>02.3420.200</t>
  </si>
  <si>
    <t>24629.433.2862.200</t>
  </si>
  <si>
    <t>03.0380.2301.175</t>
  </si>
  <si>
    <t>054.102.833</t>
  </si>
  <si>
    <t>0109.41.9750.182</t>
  </si>
  <si>
    <t>033.390.7910.125</t>
  </si>
  <si>
    <t>262114.21.933</t>
  </si>
  <si>
    <t>056.382.079</t>
  </si>
  <si>
    <t>066.124.1660.375</t>
  </si>
  <si>
    <t>01.7760.1660.316</t>
  </si>
  <si>
    <t>012.551.375</t>
  </si>
  <si>
    <t>35072.091.4430.500</t>
  </si>
  <si>
    <t>0116.92.022</t>
  </si>
  <si>
    <t>066.592.5790.384</t>
  </si>
  <si>
    <t>02.1379.1491.5363.101</t>
  </si>
  <si>
    <t>054.471.200</t>
  </si>
  <si>
    <t>02.9710.7330.400</t>
  </si>
  <si>
    <t>31962.036.545</t>
  </si>
  <si>
    <t>02.0005.411</t>
  </si>
  <si>
    <t>0103.911.180.128</t>
  </si>
  <si>
    <t>05.3330.352</t>
  </si>
  <si>
    <t>078.867.5502.333</t>
  </si>
  <si>
    <t>01.9334.5283.1001.966</t>
  </si>
  <si>
    <t>148871.6110.653.134</t>
  </si>
  <si>
    <t>03.5865.6994.94410.78</t>
  </si>
  <si>
    <t>0700.277.532.063</t>
  </si>
  <si>
    <t>02.2368.73712.40</t>
  </si>
  <si>
    <t>0379.847.491.301</t>
  </si>
  <si>
    <t>030.9628.6311.7451.51</t>
  </si>
  <si>
    <t>4933.0550.818</t>
  </si>
  <si>
    <t>0243.71.6901.190</t>
  </si>
  <si>
    <t>0104.10.612</t>
  </si>
  <si>
    <t>04.48010.292.8232.823</t>
  </si>
  <si>
    <t>098.572.600</t>
  </si>
  <si>
    <t>04.5142.1332.171</t>
  </si>
  <si>
    <t>11120.330.750</t>
  </si>
  <si>
    <t>028.860.4030.307</t>
  </si>
  <si>
    <t>05.3051.3211.431</t>
  </si>
  <si>
    <t>9216.572.0702.434</t>
  </si>
  <si>
    <t>03.2971.0251.520</t>
  </si>
  <si>
    <t>038.830.5100.332</t>
  </si>
  <si>
    <t>33550.094.1121.901</t>
  </si>
  <si>
    <t>00.6910.6380.3990.890</t>
  </si>
  <si>
    <t>065.441.430</t>
  </si>
  <si>
    <t>0201.15.936</t>
  </si>
  <si>
    <t>00.1660.316</t>
  </si>
  <si>
    <t>19493.902.857</t>
  </si>
  <si>
    <t>029.440.660</t>
  </si>
  <si>
    <t>062.101.595</t>
  </si>
  <si>
    <t>00.7760.1661.173</t>
  </si>
  <si>
    <t>25.998001106.702356</t>
  </si>
  <si>
    <t>25.998001101.363881</t>
  </si>
  <si>
    <t>25.998001109.009861</t>
  </si>
  <si>
    <t>17423.902.7631.588</t>
  </si>
  <si>
    <t>01.0232.6411.0110.123</t>
  </si>
  <si>
    <t>050.504.7800.166</t>
  </si>
  <si>
    <t>00.6070.659</t>
  </si>
  <si>
    <t>041.994.3081.234</t>
  </si>
  <si>
    <t>02.5814.811</t>
  </si>
  <si>
    <t>016.372.150</t>
  </si>
  <si>
    <t>064.632.919</t>
  </si>
  <si>
    <t>0165.1153.3</t>
  </si>
  <si>
    <t>0130.90.750</t>
  </si>
  <si>
    <t>015.0016.00</t>
  </si>
  <si>
    <t>1100153.80.454</t>
  </si>
  <si>
    <t>0320.212.543.684</t>
  </si>
  <si>
    <t>0335.426.569.919</t>
  </si>
  <si>
    <t>08.18187.2035.3354.00</t>
  </si>
  <si>
    <t>1115167.60.545</t>
  </si>
  <si>
    <t>0243.312.293.315</t>
  </si>
  <si>
    <t>0394.231.2711.35</t>
  </si>
  <si>
    <t>012.81104.642.4064.80</t>
  </si>
  <si>
    <t>0288.15.831</t>
  </si>
  <si>
    <t>0194.07.890</t>
  </si>
  <si>
    <t>00.65715.395.8777.343</t>
  </si>
  <si>
    <t>1241303.173.0537.97</t>
  </si>
  <si>
    <t>024.3469.6148.8275.27</t>
  </si>
  <si>
    <t>0226.320.744.790</t>
  </si>
  <si>
    <t>020.248.28312.52</t>
  </si>
  <si>
    <t>0222.38.1533.512</t>
  </si>
  <si>
    <t>010.7639.72</t>
  </si>
  <si>
    <t>884123.920.4016.73</t>
  </si>
  <si>
    <t>03.95614.226.60616.60</t>
  </si>
  <si>
    <t>0323.410.484.699</t>
  </si>
  <si>
    <t>06.3604.0594.121</t>
  </si>
  <si>
    <t>0232.310.392.697</t>
  </si>
  <si>
    <t>03.2620.500</t>
  </si>
  <si>
    <t>064.096.2300.985</t>
  </si>
  <si>
    <t>36.966309112.828730</t>
  </si>
  <si>
    <t>1173131.821.5712.72</t>
  </si>
  <si>
    <t>00.34011.325.08413.80</t>
  </si>
  <si>
    <t>0316.417.414.489</t>
  </si>
  <si>
    <t>019.856.0457.664</t>
  </si>
  <si>
    <t>0282.67.1252.133</t>
  </si>
  <si>
    <t>00.877162.1</t>
  </si>
  <si>
    <t>0105.415.890.428</t>
  </si>
  <si>
    <t>0272.15.444</t>
  </si>
  <si>
    <t>0157.39.3754.750</t>
  </si>
  <si>
    <t>114.073.2502.500</t>
  </si>
  <si>
    <t>074.6912.401.200</t>
  </si>
  <si>
    <t>010.623.6003.600</t>
  </si>
  <si>
    <t>06.6660.333</t>
  </si>
  <si>
    <t>28835.332.1182.854</t>
  </si>
  <si>
    <t>00.5002.7522.0943.590</t>
  </si>
  <si>
    <t>071.272.0390.519</t>
  </si>
  <si>
    <t>03.0740.1350.631</t>
  </si>
  <si>
    <t>072.142.6460.612</t>
  </si>
  <si>
    <t>010.942.369</t>
  </si>
  <si>
    <t>068.691.9800.200</t>
  </si>
  <si>
    <t>1127230.256.4929.73</t>
  </si>
  <si>
    <t>020.2855.6738.3858.16</t>
  </si>
  <si>
    <t>0248.621.775.410</t>
  </si>
  <si>
    <t>022.759.33512.30</t>
  </si>
  <si>
    <t>0167.98.2010.594</t>
  </si>
  <si>
    <t>010.5329.77</t>
  </si>
  <si>
    <t>066.068.4220.285</t>
  </si>
  <si>
    <t>01.3980.200</t>
  </si>
  <si>
    <t>76.0000.666</t>
  </si>
  <si>
    <t>076.800.244</t>
  </si>
  <si>
    <t>049.630.8330.666</t>
  </si>
  <si>
    <t>00.7051.205</t>
  </si>
  <si>
    <t>38127.477.2110.423</t>
  </si>
  <si>
    <t>00.7810.520</t>
  </si>
  <si>
    <t>067.933.1930.149</t>
  </si>
  <si>
    <t>03.5000.4110.500</t>
  </si>
  <si>
    <t>0104.810.981.545</t>
  </si>
  <si>
    <t>05.66880.1115.611.307</t>
  </si>
  <si>
    <t>037.250.991</t>
  </si>
  <si>
    <t>07.5550.3330.666</t>
  </si>
  <si>
    <t>35796.470.636</t>
  </si>
  <si>
    <t>064.430.636</t>
  </si>
  <si>
    <t>077.950.586</t>
  </si>
  <si>
    <t>086.313.1170.668</t>
  </si>
  <si>
    <t>01.6420.3350.951</t>
  </si>
  <si>
    <t>45568.0611.632.439</t>
  </si>
  <si>
    <t>01.5531.7721.2301.469</t>
  </si>
  <si>
    <t>077.917.5940.333</t>
  </si>
  <si>
    <t>0144.818.291.671</t>
  </si>
  <si>
    <t>05.74680.3015.618.586</t>
  </si>
  <si>
    <t>054.622.542</t>
  </si>
  <si>
    <t>048.886.1001.666</t>
  </si>
  <si>
    <t>05.1003.1002.633</t>
  </si>
  <si>
    <t>02.2000.4000.800</t>
  </si>
  <si>
    <t>02.4001.497</t>
  </si>
  <si>
    <t>00.4000.400</t>
  </si>
  <si>
    <t>01.4003.8320.400</t>
  </si>
  <si>
    <t>25065.649.5579.021</t>
  </si>
  <si>
    <t>03.5745.2592.9786.423</t>
  </si>
  <si>
    <t>080.002.3830.950</t>
  </si>
  <si>
    <t>00.9090.4290.304</t>
  </si>
  <si>
    <t>046.850.9770.567</t>
  </si>
  <si>
    <t>12932.861.443</t>
  </si>
  <si>
    <t>025.791.185</t>
  </si>
  <si>
    <t>049.892.5790.555</t>
  </si>
  <si>
    <t>01.3943.7161.5362.683</t>
  </si>
  <si>
    <t>1618186.729.7113.09</t>
  </si>
  <si>
    <t>011.866.9118.27311.14</t>
  </si>
  <si>
    <t>0397.431.774.227</t>
  </si>
  <si>
    <t>06.1463.3767.837</t>
  </si>
  <si>
    <t>0498.817.187.348</t>
  </si>
  <si>
    <t>017.63166.2</t>
  </si>
  <si>
    <t>053.702.1331.325</t>
  </si>
  <si>
    <t>013.730.7506.800</t>
  </si>
  <si>
    <t>1849338.95.2648.623</t>
  </si>
  <si>
    <t>03.214118.5</t>
  </si>
  <si>
    <t>0490.726.13</t>
  </si>
  <si>
    <t>098.506.75047.42</t>
  </si>
  <si>
    <t>0380.330.539.250</t>
  </si>
  <si>
    <t>07.35123.8410.8411.22</t>
  </si>
  <si>
    <t>037.782.933</t>
  </si>
  <si>
    <t>03.3420.200</t>
  </si>
  <si>
    <t>39.237846118.416697</t>
  </si>
  <si>
    <t>23920.213.7510.339</t>
  </si>
  <si>
    <t>00.5580.3620.172</t>
  </si>
  <si>
    <t>079.987.6730.599</t>
  </si>
  <si>
    <t>098.9910.900.474</t>
  </si>
  <si>
    <t>02.4670.8458.1913.790</t>
  </si>
  <si>
    <t>330114.80.3850.252</t>
  </si>
  <si>
    <t>0123.62.092</t>
  </si>
  <si>
    <t>082.332.5910.437</t>
  </si>
  <si>
    <t>00.9970.3670.174</t>
  </si>
  <si>
    <t>033.481.470</t>
  </si>
  <si>
    <t>062.313.279</t>
  </si>
  <si>
    <t>00.1660.9680.2370.650</t>
  </si>
  <si>
    <t>023.330.2500.333</t>
  </si>
  <si>
    <t>025.660.2500.666</t>
  </si>
  <si>
    <t>08.4500.666</t>
  </si>
  <si>
    <t>01.8420.426</t>
  </si>
  <si>
    <t>02.5710.882</t>
  </si>
  <si>
    <t>00.8880.738</t>
  </si>
  <si>
    <t>552.3330.250</t>
  </si>
  <si>
    <t>00.2500.500</t>
  </si>
  <si>
    <t>014.710.368</t>
  </si>
  <si>
    <t>00.2695.6976.0913.532</t>
  </si>
  <si>
    <t>02.6660.416</t>
  </si>
  <si>
    <t>39.791592123.587528</t>
  </si>
  <si>
    <t>39.791592130.343909</t>
  </si>
  <si>
    <t>38.812660125.134348</t>
  </si>
  <si>
    <t>38.812660124.014836</t>
  </si>
  <si>
    <t>44.311081150.131165</t>
  </si>
  <si>
    <t>44.311081121.543016</t>
  </si>
  <si>
    <t>44.311081156.687459</t>
  </si>
  <si>
    <t>43.088974151.429130</t>
  </si>
  <si>
    <t>43.088974148.544540</t>
  </si>
  <si>
    <t>38.061977135.736762</t>
  </si>
  <si>
    <t>37.146374131.990072</t>
  </si>
  <si>
    <t>17751.838.4076.908</t>
  </si>
  <si>
    <t>02.8902.4712.1555.530</t>
  </si>
  <si>
    <t>085.457.7890.963</t>
  </si>
  <si>
    <t>00.5311.0341.439</t>
  </si>
  <si>
    <t>093.687.771</t>
  </si>
  <si>
    <t>232.2501.642</t>
  </si>
  <si>
    <t>098.8010.510.750</t>
  </si>
  <si>
    <t>02.0216.0173.0665.262</t>
  </si>
  <si>
    <t>40.306675128.837880</t>
  </si>
  <si>
    <t>41.620670138.096303</t>
  </si>
  <si>
    <t>47799.7614.514.294</t>
  </si>
  <si>
    <t>02.4559.2345.5098.844</t>
  </si>
  <si>
    <t>043.843.9810.320</t>
  </si>
  <si>
    <t>01.5410.2630.884</t>
  </si>
  <si>
    <t>0170.913.462.287</t>
  </si>
  <si>
    <t>013.1915.54</t>
  </si>
  <si>
    <t>437124.12.560</t>
  </si>
  <si>
    <t>04.76218.41</t>
  </si>
  <si>
    <t>033.680.715</t>
  </si>
  <si>
    <t>0149.120.320.852</t>
  </si>
  <si>
    <t>017.0815.817.0466.963</t>
  </si>
  <si>
    <t>24.898283100.943934</t>
  </si>
  <si>
    <t>25.979723106.288142</t>
  </si>
  <si>
    <t>25.979723101.164867</t>
  </si>
  <si>
    <t>08.4151.6400.147</t>
  </si>
  <si>
    <t>012.703.4330.500</t>
  </si>
  <si>
    <t>(10:44:35)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</si>
</sst>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34" borderId="0" xfId="0" applyNumberFormat="1" applyFill="1"/>
    <xf numFmtId="0" fontId="16" fillId="0" borderId="0" xfId="0" applyFont="1"/>
    <xf numFmtId="0" fontId="0" fillId="0" borderId="0" xfId="0" applyBorder="1"/>
    <xf numFmtId="0" fontId="16" fillId="0" borderId="10" xfId="0" applyFont="1" applyBorder="1"/>
    <xf numFmtId="0" fontId="0" fillId="0" borderId="12" xfId="0" applyBorder="1"/>
    <xf numFmtId="0" fontId="16" fillId="0" borderId="0" xfId="0" applyFont="1" applyBorder="1"/>
    <xf numFmtId="3" fontId="0" fillId="33" borderId="0" xfId="0" applyNumberFormat="1" applyFill="1" applyBorder="1"/>
    <xf numFmtId="10" fontId="0" fillId="33" borderId="0" xfId="0" applyNumberFormat="1" applyFill="1" applyBorder="1"/>
    <xf numFmtId="3" fontId="0" fillId="34" borderId="0" xfId="0" applyNumberFormat="1" applyFill="1" applyBorder="1"/>
    <xf numFmtId="10" fontId="0" fillId="34" borderId="0" xfId="0" applyNumberFormat="1" applyFill="1" applyBorder="1"/>
    <xf numFmtId="0" fontId="0" fillId="0" borderId="10" xfId="0" applyBorder="1"/>
    <xf numFmtId="3" fontId="0" fillId="33" borderId="10" xfId="0" applyNumberFormat="1" applyFill="1" applyBorder="1"/>
    <xf numFmtId="10" fontId="0" fillId="34" borderId="10" xfId="0" applyNumberFormat="1" applyFill="1" applyBorder="1"/>
    <xf numFmtId="3" fontId="16" fillId="33" borderId="10" xfId="0" applyNumberFormat="1" applyFont="1" applyFill="1" applyBorder="1"/>
    <xf numFmtId="3" fontId="16" fillId="34" borderId="10" xfId="0" applyNumberFormat="1" applyFont="1" applyFill="1" applyBorder="1"/>
    <xf numFmtId="10" fontId="16" fillId="34" borderId="10" xfId="0" applyNumberFormat="1" applyFont="1" applyFill="1" applyBorder="1"/>
    <xf numFmtId="0" fontId="16" fillId="0" borderId="12" xfId="0" applyFont="1" applyBorder="1"/>
    <xf numFmtId="10" fontId="0" fillId="0" borderId="0" xfId="1" applyNumberFormat="1" applyFont="1"/>
    <xf numFmtId="3" fontId="16" fillId="34" borderId="11" xfId="0" applyNumberFormat="1" applyFont="1" applyFill="1" applyBorder="1"/>
    <xf numFmtId="10" fontId="16" fillId="34" borderId="11" xfId="0" applyNumberFormat="1" applyFont="1" applyFill="1" applyBorder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6" fillId="34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10" fontId="0" fillId="34" borderId="0" xfId="1" applyNumberFormat="1" applyFont="1" applyFill="1" applyBorder="1"/>
    <xf numFmtId="10" fontId="0" fillId="33" borderId="0" xfId="1" applyNumberFormat="1" applyFont="1" applyFill="1" applyBorder="1"/>
    <xf numFmtId="10" fontId="16" fillId="34" borderId="11" xfId="1" applyNumberFormat="1" applyFont="1" applyFill="1" applyBorder="1"/>
    <xf numFmtId="164" fontId="0" fillId="34" borderId="0" xfId="43" applyNumberFormat="1" applyFont="1" applyFill="1"/>
    <xf numFmtId="0" fontId="16" fillId="34" borderId="11" xfId="0" applyFont="1" applyFill="1" applyBorder="1"/>
    <xf numFmtId="0" fontId="16" fillId="0" borderId="0" xfId="0" applyFont="1" applyFill="1" applyBorder="1" applyAlignment="1">
      <alignment horizontal="right"/>
    </xf>
    <xf numFmtId="3" fontId="0" fillId="0" borderId="0" xfId="0" applyNumberFormat="1" applyFill="1" applyBorder="1"/>
    <xf numFmtId="0" fontId="0" fillId="0" borderId="0" xfId="0" applyFill="1" applyBorder="1"/>
    <xf numFmtId="3" fontId="16" fillId="0" borderId="0" xfId="0" applyNumberFormat="1" applyFont="1" applyFill="1" applyBorder="1"/>
    <xf numFmtId="0" fontId="0" fillId="34" borderId="0" xfId="43" applyNumberFormat="1" applyFont="1" applyFill="1" applyBorder="1"/>
    <xf numFmtId="164" fontId="16" fillId="34" borderId="11" xfId="43" applyNumberFormat="1" applyFont="1" applyFill="1" applyBorder="1"/>
    <xf numFmtId="165" fontId="0" fillId="34" borderId="0" xfId="0" applyNumberFormat="1" applyFont="1" applyFill="1" applyBorder="1"/>
    <xf numFmtId="10" fontId="0" fillId="34" borderId="0" xfId="1" applyNumberFormat="1" applyFont="1" applyFill="1"/>
    <xf numFmtId="164" fontId="0" fillId="33" borderId="0" xfId="43" applyNumberFormat="1" applyFont="1" applyFill="1"/>
    <xf numFmtId="10" fontId="0" fillId="33" borderId="0" xfId="1" applyNumberFormat="1" applyFont="1" applyFill="1"/>
    <xf numFmtId="0" fontId="16" fillId="33" borderId="11" xfId="0" applyFont="1" applyFill="1" applyBorder="1"/>
    <xf numFmtId="0" fontId="0" fillId="0" borderId="11" xfId="0" applyBorder="1"/>
    <xf numFmtId="10" fontId="16" fillId="33" borderId="11" xfId="1" applyNumberFormat="1" applyFont="1" applyFill="1" applyBorder="1"/>
    <xf numFmtId="164" fontId="16" fillId="33" borderId="11" xfId="43" applyNumberFormat="1" applyFont="1" applyFill="1" applyBorder="1"/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164" fontId="0" fillId="35" borderId="0" xfId="1" applyNumberFormat="1" applyFont="1" applyFill="1"/>
    <xf numFmtId="164" fontId="16" fillId="35" borderId="11" xfId="1" applyNumberFormat="1" applyFont="1" applyFill="1" applyBorder="1"/>
    <xf numFmtId="10" fontId="0" fillId="34" borderId="0" xfId="0" applyNumberFormat="1" applyFill="1"/>
    <xf numFmtId="10" fontId="0" fillId="33" borderId="0" xfId="0" applyNumberFormat="1" applyFill="1"/>
    <xf numFmtId="10" fontId="0" fillId="0" borderId="0" xfId="0" applyNumberFormat="1" applyFill="1"/>
    <xf numFmtId="0" fontId="0" fillId="0" borderId="0" xfId="0" applyFill="1"/>
    <xf numFmtId="166" fontId="0" fillId="33" borderId="0" xfId="1" applyNumberFormat="1" applyFont="1" applyFill="1" applyBorder="1"/>
    <xf numFmtId="0" fontId="16" fillId="36" borderId="10" xfId="0" applyFont="1" applyFill="1" applyBorder="1" applyAlignment="1">
      <alignment horizontal="right"/>
    </xf>
    <xf numFmtId="3" fontId="0" fillId="36" borderId="0" xfId="0" applyNumberFormat="1" applyFill="1" applyBorder="1"/>
    <xf numFmtId="166" fontId="0" fillId="36" borderId="0" xfId="1" applyNumberFormat="1" applyFont="1" applyFill="1" applyBorder="1"/>
    <xf numFmtId="3" fontId="16" fillId="36" borderId="10" xfId="0" applyNumberFormat="1" applyFont="1" applyFill="1" applyBorder="1"/>
    <xf numFmtId="10" fontId="16" fillId="36" borderId="10" xfId="0" applyNumberFormat="1" applyFont="1" applyFill="1" applyBorder="1"/>
    <xf numFmtId="166" fontId="0" fillId="33" borderId="10" xfId="1" applyNumberFormat="1" applyFont="1" applyFill="1" applyBorder="1"/>
    <xf numFmtId="3" fontId="0" fillId="36" borderId="10" xfId="0" applyNumberFormat="1" applyFill="1" applyBorder="1"/>
    <xf numFmtId="166" fontId="0" fillId="36" borderId="10" xfId="1" applyNumberFormat="1" applyFont="1" applyFill="1" applyBorder="1"/>
    <xf numFmtId="0" fontId="18" fillId="0" borderId="0" xfId="0" applyFont="1"/>
    <xf numFmtId="164" fontId="16" fillId="0" borderId="0" xfId="1" applyNumberFormat="1" applyFont="1" applyFill="1" applyAlignment="1">
      <alignment horizontal="right"/>
    </xf>
    <xf numFmtId="0" fontId="16" fillId="0" borderId="11" xfId="0" applyFont="1" applyBorder="1"/>
    <xf numFmtId="1" fontId="0" fillId="0" borderId="0" xfId="0" applyNumberFormat="1"/>
    <xf numFmtId="0" fontId="16" fillId="0" borderId="0" xfId="0" applyFont="1" applyFill="1"/>
    <xf numFmtId="0" fontId="16" fillId="0" borderId="0" xfId="0" applyFont="1" applyFill="1" applyBorder="1" applyAlignment="1">
      <alignment horizontal="left"/>
    </xf>
    <xf numFmtId="166" fontId="0" fillId="33" borderId="0" xfId="1" applyNumberFormat="1" applyFont="1" applyFill="1"/>
    <xf numFmtId="166" fontId="16" fillId="33" borderId="11" xfId="1" applyNumberFormat="1" applyFont="1" applyFill="1" applyBorder="1"/>
    <xf numFmtId="166" fontId="0" fillId="34" borderId="0" xfId="1" applyNumberFormat="1" applyFont="1" applyFill="1"/>
    <xf numFmtId="166" fontId="16" fillId="34" borderId="11" xfId="1" applyNumberFormat="1" applyFont="1" applyFill="1" applyBorder="1"/>
    <xf numFmtId="0" fontId="16" fillId="0" borderId="10" xfId="0" applyFont="1" applyBorder="1" applyAlignment="1">
      <alignment horizontal="right"/>
    </xf>
    <xf numFmtId="0" fontId="16" fillId="0" borderId="11" xfId="0" applyFont="1" applyBorder="1" applyAlignment="1">
      <alignment horizontal="left"/>
    </xf>
    <xf numFmtId="10" fontId="16" fillId="33" borderId="11" xfId="0" applyNumberFormat="1" applyFont="1" applyFill="1" applyBorder="1"/>
    <xf numFmtId="0" fontId="0" fillId="0" borderId="0" xfId="0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43" applyNumberFormat="1" applyFont="1" applyFill="1" applyBorder="1"/>
    <xf numFmtId="164" fontId="0" fillId="0" borderId="0" xfId="0" applyNumberFormat="1" applyFill="1" applyBorder="1"/>
    <xf numFmtId="164" fontId="16" fillId="0" borderId="0" xfId="43" applyNumberFormat="1" applyFont="1" applyFill="1" applyBorder="1"/>
    <xf numFmtId="164" fontId="0" fillId="0" borderId="0" xfId="43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3" fontId="14" fillId="0" borderId="0" xfId="0" applyNumberFormat="1" applyFont="1" applyFill="1" applyBorder="1"/>
    <xf numFmtId="10" fontId="14" fillId="0" borderId="0" xfId="1" applyNumberFormat="1" applyFont="1" applyFill="1" applyBorder="1"/>
    <xf numFmtId="3" fontId="16" fillId="33" borderId="11" xfId="0" applyNumberFormat="1" applyFont="1" applyFill="1" applyBorder="1"/>
    <xf numFmtId="9" fontId="16" fillId="33" borderId="11" xfId="1" applyFont="1" applyFill="1" applyBorder="1"/>
    <xf numFmtId="9" fontId="16" fillId="34" borderId="11" xfId="1" applyFont="1" applyFill="1" applyBorder="1"/>
    <xf numFmtId="164" fontId="0" fillId="0" borderId="0" xfId="0" applyNumberFormat="1" applyBorder="1"/>
    <xf numFmtId="164" fontId="16" fillId="0" borderId="0" xfId="0" applyNumberFormat="1" applyFont="1" applyBorder="1"/>
    <xf numFmtId="9" fontId="0" fillId="35" borderId="0" xfId="1" applyFont="1" applyFill="1"/>
    <xf numFmtId="9" fontId="16" fillId="35" borderId="11" xfId="1" applyFont="1" applyFill="1" applyBorder="1"/>
    <xf numFmtId="0" fontId="16" fillId="35" borderId="10" xfId="0" applyFont="1" applyFill="1" applyBorder="1" applyAlignment="1">
      <alignment horizontal="right"/>
    </xf>
    <xf numFmtId="3" fontId="0" fillId="35" borderId="0" xfId="0" applyNumberFormat="1" applyFill="1" applyBorder="1"/>
    <xf numFmtId="9" fontId="0" fillId="35" borderId="0" xfId="1" applyNumberFormat="1" applyFont="1" applyFill="1" applyBorder="1"/>
    <xf numFmtId="3" fontId="0" fillId="35" borderId="10" xfId="0" applyNumberFormat="1" applyFill="1" applyBorder="1"/>
    <xf numFmtId="9" fontId="0" fillId="35" borderId="10" xfId="1" applyNumberFormat="1" applyFont="1" applyFill="1" applyBorder="1"/>
    <xf numFmtId="3" fontId="16" fillId="35" borderId="10" xfId="0" applyNumberFormat="1" applyFont="1" applyFill="1" applyBorder="1"/>
    <xf numFmtId="9" fontId="16" fillId="35" borderId="10" xfId="0" applyNumberFormat="1" applyFont="1" applyFill="1" applyBorder="1"/>
    <xf numFmtId="0" fontId="16" fillId="37" borderId="11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right"/>
    </xf>
    <xf numFmtId="4" fontId="0" fillId="37" borderId="0" xfId="0" applyNumberFormat="1" applyFill="1" applyBorder="1"/>
    <xf numFmtId="3" fontId="0" fillId="37" borderId="0" xfId="0" applyNumberFormat="1" applyFill="1" applyBorder="1"/>
    <xf numFmtId="164" fontId="16" fillId="37" borderId="12" xfId="43" applyNumberFormat="1" applyFont="1" applyFill="1" applyBorder="1"/>
    <xf numFmtId="10" fontId="16" fillId="37" borderId="12" xfId="0" applyNumberFormat="1" applyFont="1" applyFill="1" applyBorder="1"/>
    <xf numFmtId="0" fontId="16" fillId="35" borderId="11" xfId="0" applyFont="1" applyFill="1" applyBorder="1" applyAlignment="1">
      <alignment horizontal="right"/>
    </xf>
    <xf numFmtId="0" fontId="16" fillId="38" borderId="0" xfId="0" applyFont="1" applyFill="1"/>
    <xf numFmtId="0" fontId="16" fillId="38" borderId="12" xfId="0" applyFont="1" applyFill="1" applyBorder="1"/>
    <xf numFmtId="0" fontId="16" fillId="38" borderId="10" xfId="0" applyFont="1" applyFill="1" applyBorder="1"/>
    <xf numFmtId="0" fontId="0" fillId="38" borderId="0" xfId="0" applyFill="1" applyBorder="1"/>
    <xf numFmtId="0" fontId="0" fillId="38" borderId="10" xfId="0" applyFill="1" applyBorder="1"/>
    <xf numFmtId="0" fontId="0" fillId="38" borderId="0" xfId="0" applyFill="1"/>
    <xf numFmtId="0" fontId="0" fillId="0" borderId="0" xfId="0" quotePrefix="1"/>
    <xf numFmtId="0" fontId="0" fillId="0" borderId="0" xfId="0" applyFont="1" applyFill="1" applyBorder="1" applyAlignment="1">
      <alignment horizontal="left"/>
    </xf>
    <xf numFmtId="164" fontId="0" fillId="38" borderId="0" xfId="43" applyNumberFormat="1" applyFont="1" applyFill="1"/>
    <xf numFmtId="9" fontId="0" fillId="38" borderId="0" xfId="0" applyNumberFormat="1" applyFill="1"/>
    <xf numFmtId="166" fontId="0" fillId="38" borderId="0" xfId="1" applyNumberFormat="1" applyFont="1" applyFill="1"/>
    <xf numFmtId="43" fontId="0" fillId="38" borderId="0" xfId="43" applyFont="1" applyFill="1"/>
    <xf numFmtId="0" fontId="0" fillId="38" borderId="0" xfId="0" applyFill="1" applyAlignment="1">
      <alignment horizontal="left"/>
    </xf>
    <xf numFmtId="166" fontId="0" fillId="0" borderId="0" xfId="1" applyNumberFormat="1" applyFont="1" applyFill="1"/>
    <xf numFmtId="0" fontId="16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</a:t>
            </a:r>
            <a:r>
              <a:rPr lang="en-US" baseline="0"/>
              <a:t> Plot (OBS vs ABM)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981760187998872E-2"/>
                  <c:y val="1.3523317668347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BoardingByRoute_All!$E$15:$E$66</c:f>
              <c:numCache>
                <c:formatCode>_(* #,##0_);_(* \(#,##0\);_(* "-"??_);_(@_)</c:formatCode>
                <c:ptCount val="52"/>
                <c:pt idx="0">
                  <c:v>118.9</c:v>
                </c:pt>
                <c:pt idx="1">
                  <c:v>197.60000000000002</c:v>
                </c:pt>
                <c:pt idx="2">
                  <c:v>1215.9499999999998</c:v>
                </c:pt>
                <c:pt idx="3">
                  <c:v>1248.0999999999999</c:v>
                </c:pt>
                <c:pt idx="4">
                  <c:v>1189.05</c:v>
                </c:pt>
                <c:pt idx="5">
                  <c:v>870.15</c:v>
                </c:pt>
                <c:pt idx="6">
                  <c:v>1508.6</c:v>
                </c:pt>
                <c:pt idx="7">
                  <c:v>569.40000000000009</c:v>
                </c:pt>
                <c:pt idx="8">
                  <c:v>572.09999999999991</c:v>
                </c:pt>
                <c:pt idx="9">
                  <c:v>2144.85</c:v>
                </c:pt>
                <c:pt idx="10">
                  <c:v>599.6</c:v>
                </c:pt>
                <c:pt idx="11">
                  <c:v>3429.7</c:v>
                </c:pt>
                <c:pt idx="12">
                  <c:v>798.65000000000009</c:v>
                </c:pt>
                <c:pt idx="13">
                  <c:v>377.1</c:v>
                </c:pt>
                <c:pt idx="14">
                  <c:v>1106.3</c:v>
                </c:pt>
                <c:pt idx="15">
                  <c:v>314.64999999999998</c:v>
                </c:pt>
                <c:pt idx="16">
                  <c:v>332.4</c:v>
                </c:pt>
                <c:pt idx="17">
                  <c:v>1605.4</c:v>
                </c:pt>
                <c:pt idx="18">
                  <c:v>1756.7</c:v>
                </c:pt>
                <c:pt idx="19">
                  <c:v>298.89999999999998</c:v>
                </c:pt>
                <c:pt idx="20">
                  <c:v>529.15000000000009</c:v>
                </c:pt>
                <c:pt idx="21">
                  <c:v>1203.3000000000002</c:v>
                </c:pt>
                <c:pt idx="22">
                  <c:v>108.2</c:v>
                </c:pt>
                <c:pt idx="23">
                  <c:v>484.79999999999995</c:v>
                </c:pt>
                <c:pt idx="24">
                  <c:v>729.25</c:v>
                </c:pt>
                <c:pt idx="25">
                  <c:v>288.25</c:v>
                </c:pt>
                <c:pt idx="26">
                  <c:v>212.4</c:v>
                </c:pt>
                <c:pt idx="27">
                  <c:v>340.6</c:v>
                </c:pt>
                <c:pt idx="28">
                  <c:v>217.5</c:v>
                </c:pt>
                <c:pt idx="29">
                  <c:v>129.14999999999998</c:v>
                </c:pt>
                <c:pt idx="30">
                  <c:v>71.199999999999989</c:v>
                </c:pt>
                <c:pt idx="31">
                  <c:v>221.5</c:v>
                </c:pt>
                <c:pt idx="32">
                  <c:v>128.80000000000001</c:v>
                </c:pt>
                <c:pt idx="33">
                  <c:v>566.84999999999991</c:v>
                </c:pt>
                <c:pt idx="34">
                  <c:v>262.39999999999998</c:v>
                </c:pt>
                <c:pt idx="35">
                  <c:v>2496.4</c:v>
                </c:pt>
                <c:pt idx="36">
                  <c:v>2559.3000000000002</c:v>
                </c:pt>
                <c:pt idx="37">
                  <c:v>699.15</c:v>
                </c:pt>
                <c:pt idx="38">
                  <c:v>605.75</c:v>
                </c:pt>
                <c:pt idx="39">
                  <c:v>104.3</c:v>
                </c:pt>
                <c:pt idx="40">
                  <c:v>419.15</c:v>
                </c:pt>
                <c:pt idx="41">
                  <c:v>86.3</c:v>
                </c:pt>
                <c:pt idx="42">
                  <c:v>147.10000000000002</c:v>
                </c:pt>
                <c:pt idx="43">
                  <c:v>104.85</c:v>
                </c:pt>
                <c:pt idx="44">
                  <c:v>86.271653999999998</c:v>
                </c:pt>
                <c:pt idx="45">
                  <c:v>65.456693000000001</c:v>
                </c:pt>
                <c:pt idx="46">
                  <c:v>93.129920999999996</c:v>
                </c:pt>
                <c:pt idx="47">
                  <c:v>89.318898000000004</c:v>
                </c:pt>
                <c:pt idx="48">
                  <c:v>287.35000000000002</c:v>
                </c:pt>
                <c:pt idx="49">
                  <c:v>71.452755999999994</c:v>
                </c:pt>
                <c:pt idx="50">
                  <c:v>150.57874000000001</c:v>
                </c:pt>
                <c:pt idx="51">
                  <c:v>1130.8858270000001</c:v>
                </c:pt>
              </c:numCache>
            </c:numRef>
          </c:xVal>
          <c:yVal>
            <c:numRef>
              <c:f>BoardingByRoute_All!$G$15:$G$66</c:f>
              <c:numCache>
                <c:formatCode>_(* #,##0_);_(* \(#,##0\);_(* "-"??_);_(@_)</c:formatCode>
                <c:ptCount val="52"/>
                <c:pt idx="0">
                  <c:v>203</c:v>
                </c:pt>
                <c:pt idx="1">
                  <c:v>379</c:v>
                </c:pt>
                <c:pt idx="2">
                  <c:v>2227</c:v>
                </c:pt>
                <c:pt idx="3">
                  <c:v>1112</c:v>
                </c:pt>
                <c:pt idx="4">
                  <c:v>2356</c:v>
                </c:pt>
                <c:pt idx="5">
                  <c:v>914</c:v>
                </c:pt>
                <c:pt idx="6">
                  <c:v>1574</c:v>
                </c:pt>
                <c:pt idx="7">
                  <c:v>728</c:v>
                </c:pt>
                <c:pt idx="8">
                  <c:v>476</c:v>
                </c:pt>
                <c:pt idx="9">
                  <c:v>2233</c:v>
                </c:pt>
                <c:pt idx="10">
                  <c:v>508</c:v>
                </c:pt>
                <c:pt idx="11">
                  <c:v>3467</c:v>
                </c:pt>
                <c:pt idx="12">
                  <c:v>1050</c:v>
                </c:pt>
                <c:pt idx="13">
                  <c:v>451</c:v>
                </c:pt>
                <c:pt idx="14">
                  <c:v>812</c:v>
                </c:pt>
                <c:pt idx="15">
                  <c:v>529</c:v>
                </c:pt>
                <c:pt idx="16">
                  <c:v>117</c:v>
                </c:pt>
                <c:pt idx="17">
                  <c:v>1364</c:v>
                </c:pt>
                <c:pt idx="18">
                  <c:v>1186</c:v>
                </c:pt>
                <c:pt idx="19">
                  <c:v>112</c:v>
                </c:pt>
                <c:pt idx="20">
                  <c:v>801</c:v>
                </c:pt>
                <c:pt idx="21">
                  <c:v>768</c:v>
                </c:pt>
                <c:pt idx="22">
                  <c:v>77</c:v>
                </c:pt>
                <c:pt idx="23">
                  <c:v>355</c:v>
                </c:pt>
                <c:pt idx="24">
                  <c:v>594</c:v>
                </c:pt>
                <c:pt idx="25">
                  <c:v>201</c:v>
                </c:pt>
                <c:pt idx="26">
                  <c:v>251</c:v>
                </c:pt>
                <c:pt idx="27">
                  <c:v>174</c:v>
                </c:pt>
                <c:pt idx="28">
                  <c:v>92</c:v>
                </c:pt>
                <c:pt idx="29">
                  <c:v>201</c:v>
                </c:pt>
                <c:pt idx="30">
                  <c:v>226</c:v>
                </c:pt>
                <c:pt idx="31">
                  <c:v>123</c:v>
                </c:pt>
                <c:pt idx="32">
                  <c:v>13</c:v>
                </c:pt>
                <c:pt idx="33">
                  <c:v>448</c:v>
                </c:pt>
                <c:pt idx="34">
                  <c:v>82</c:v>
                </c:pt>
                <c:pt idx="35">
                  <c:v>2376</c:v>
                </c:pt>
                <c:pt idx="36">
                  <c:v>2716</c:v>
                </c:pt>
                <c:pt idx="37">
                  <c:v>1488</c:v>
                </c:pt>
                <c:pt idx="38">
                  <c:v>493</c:v>
                </c:pt>
                <c:pt idx="39">
                  <c:v>28</c:v>
                </c:pt>
                <c:pt idx="40">
                  <c:v>46</c:v>
                </c:pt>
                <c:pt idx="41">
                  <c:v>34</c:v>
                </c:pt>
                <c:pt idx="42">
                  <c:v>249</c:v>
                </c:pt>
                <c:pt idx="43">
                  <c:v>14</c:v>
                </c:pt>
                <c:pt idx="44">
                  <c:v>24</c:v>
                </c:pt>
                <c:pt idx="45">
                  <c:v>45</c:v>
                </c:pt>
                <c:pt idx="46">
                  <c:v>0</c:v>
                </c:pt>
                <c:pt idx="47">
                  <c:v>28</c:v>
                </c:pt>
                <c:pt idx="48">
                  <c:v>759</c:v>
                </c:pt>
                <c:pt idx="49">
                  <c:v>0</c:v>
                </c:pt>
                <c:pt idx="50">
                  <c:v>159</c:v>
                </c:pt>
                <c:pt idx="5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2-420A-AFE0-7822ABCFB0D3}"/>
            </c:ext>
          </c:extLst>
        </c:ser>
        <c:ser>
          <c:idx val="1"/>
          <c:order val="1"/>
          <c:tx>
            <c:strRef>
              <c:f>BoardingByRoute_All!$AG$14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xVal>
            <c:numRef>
              <c:f>BoardingByRoute_All!$AG$15:$AG$59</c:f>
              <c:numCache>
                <c:formatCode>General</c:formatCode>
                <c:ptCount val="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</c:numCache>
            </c:numRef>
          </c:xVal>
          <c:yVal>
            <c:numRef>
              <c:f>BoardingByRoute_All!$AG$15:$AG$59</c:f>
              <c:numCache>
                <c:formatCode>General</c:formatCode>
                <c:ptCount val="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2-420A-AFE0-7822ABCF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30112"/>
        <c:axId val="360132352"/>
        <c:extLst/>
      </c:scatterChart>
      <c:valAx>
        <c:axId val="3601301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352"/>
        <c:crosses val="autoZero"/>
        <c:crossBetween val="midCat"/>
        <c:majorUnit val="500"/>
      </c:valAx>
      <c:valAx>
        <c:axId val="3601323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01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BoardingByRoute_All!$E$13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BoardingByRoute_All!$D$15:$D$66</c:f>
              <c:strCache>
                <c:ptCount val="52"/>
                <c:pt idx="0">
                  <c:v>Rte 1 100 Oaks</c:v>
                </c:pt>
                <c:pt idx="1">
                  <c:v>Rte 2 Belmont</c:v>
                </c:pt>
                <c:pt idx="2">
                  <c:v>Rte 3 West End (White Bridge)</c:v>
                </c:pt>
                <c:pt idx="3">
                  <c:v>Rte 4 Shelby</c:v>
                </c:pt>
                <c:pt idx="4">
                  <c:v>Rte 5 West End (Bellevue)</c:v>
                </c:pt>
                <c:pt idx="5">
                  <c:v>Rte 6 Lebanon Rd</c:v>
                </c:pt>
                <c:pt idx="6">
                  <c:v>Rte 7 Hillsboro</c:v>
                </c:pt>
                <c:pt idx="7">
                  <c:v>Rte 8 8th Avenue South</c:v>
                </c:pt>
                <c:pt idx="8">
                  <c:v>Rte 9 MetroCenter</c:v>
                </c:pt>
                <c:pt idx="9">
                  <c:v>Rte 10 Charlotte</c:v>
                </c:pt>
                <c:pt idx="10">
                  <c:v>Rte 14 Whites Creek</c:v>
                </c:pt>
                <c:pt idx="11">
                  <c:v>Rte 15 Murfreesboro Rd</c:v>
                </c:pt>
                <c:pt idx="12">
                  <c:v>Rte 17 12th Ave South Loop1</c:v>
                </c:pt>
                <c:pt idx="13">
                  <c:v>Rte 18 Airport Exp</c:v>
                </c:pt>
                <c:pt idx="14">
                  <c:v>Rte 19 Herman</c:v>
                </c:pt>
                <c:pt idx="15">
                  <c:v>Rte 20 Scott</c:v>
                </c:pt>
                <c:pt idx="16">
                  <c:v>Rte 21 University Connector SB</c:v>
                </c:pt>
                <c:pt idx="17">
                  <c:v>Rte 22 Bordeaux (Panaroma)</c:v>
                </c:pt>
                <c:pt idx="18">
                  <c:v>Rte 23 Dickerson Rd Loop1</c:v>
                </c:pt>
                <c:pt idx="19">
                  <c:v>Rte 24 Bellevue Exp AM</c:v>
                </c:pt>
                <c:pt idx="20">
                  <c:v>Rte 25 Midtown CW Loop</c:v>
                </c:pt>
                <c:pt idx="21">
                  <c:v>Rte 26 Gallatin Rd</c:v>
                </c:pt>
                <c:pt idx="22">
                  <c:v>Rte 27 Old Hickory</c:v>
                </c:pt>
                <c:pt idx="23">
                  <c:v>Rte 28 Meridian</c:v>
                </c:pt>
                <c:pt idx="24">
                  <c:v>Rte 29 Jefferson</c:v>
                </c:pt>
                <c:pt idx="25">
                  <c:v>Rte 30 McFerrin OB Ni</c:v>
                </c:pt>
                <c:pt idx="26">
                  <c:v>Rte 33 Old Hickory Exp</c:v>
                </c:pt>
                <c:pt idx="27">
                  <c:v>Rte 34 Opry Mills Loop</c:v>
                </c:pt>
                <c:pt idx="28">
                  <c:v>Rte 35 Rivergate Exp</c:v>
                </c:pt>
                <c:pt idx="29">
                  <c:v>Rte 36 Madison Express</c:v>
                </c:pt>
                <c:pt idx="30">
                  <c:v>Rte 37X Tusculum/McMurray EXP</c:v>
                </c:pt>
                <c:pt idx="31">
                  <c:v>Rte 38 Antioch Exp</c:v>
                </c:pt>
                <c:pt idx="32">
                  <c:v>Rte 41 Golden Valley OB</c:v>
                </c:pt>
                <c:pt idx="33">
                  <c:v>Rte 42 Cecilia/Cumberland</c:v>
                </c:pt>
                <c:pt idx="34">
                  <c:v>Rte 43 Hickory Hills</c:v>
                </c:pt>
                <c:pt idx="35">
                  <c:v>Rte 12 Nolensville Rd (Hick)</c:v>
                </c:pt>
                <c:pt idx="36">
                  <c:v>Rte 56 Gallatin Rd BRT</c:v>
                </c:pt>
                <c:pt idx="37">
                  <c:v>Rte 60 Music City Blue Circuit</c:v>
                </c:pt>
                <c:pt idx="38">
                  <c:v>Rte 61 Music City Green Circuit</c:v>
                </c:pt>
                <c:pt idx="39">
                  <c:v>Rte 72 Edmondson Pike Conn Loop</c:v>
                </c:pt>
                <c:pt idx="40">
                  <c:v>Rte 76 Madison Conn Anderson</c:v>
                </c:pt>
                <c:pt idx="41">
                  <c:v>Rte 77 Thompson Connector EB</c:v>
                </c:pt>
                <c:pt idx="42">
                  <c:v>Rte 84</c:v>
                </c:pt>
                <c:pt idx="43">
                  <c:v>Rte 86 Smyrna Lavergne Exp</c:v>
                </c:pt>
                <c:pt idx="44">
                  <c:v>Rte 87 Gallatin Comm Bus</c:v>
                </c:pt>
                <c:pt idx="45">
                  <c:v>Rte 89 Sprgfield/Joelton Exp</c:v>
                </c:pt>
                <c:pt idx="46">
                  <c:v>Rte 91 Franklin/Brentwood Exp</c:v>
                </c:pt>
                <c:pt idx="47">
                  <c:v>Rte 92 Bus</c:v>
                </c:pt>
                <c:pt idx="48">
                  <c:v>Rte 201 MCS West End Shuttle</c:v>
                </c:pt>
                <c:pt idx="49">
                  <c:v>Rte 95 Spring Hill Exp</c:v>
                </c:pt>
                <c:pt idx="50">
                  <c:v>Rte 96 Murfreesboro Comm Bus</c:v>
                </c:pt>
                <c:pt idx="51">
                  <c:v>Rte 301 Music City Star</c:v>
                </c:pt>
              </c:strCache>
            </c:strRef>
          </c:cat>
          <c:val>
            <c:numRef>
              <c:f>BoardingByRoute_All!$E$15:$E$66</c:f>
              <c:numCache>
                <c:formatCode>_(* #,##0_);_(* \(#,##0\);_(* "-"??_);_(@_)</c:formatCode>
                <c:ptCount val="52"/>
                <c:pt idx="0">
                  <c:v>118.9</c:v>
                </c:pt>
                <c:pt idx="1">
                  <c:v>197.60000000000002</c:v>
                </c:pt>
                <c:pt idx="2">
                  <c:v>1215.9499999999998</c:v>
                </c:pt>
                <c:pt idx="3">
                  <c:v>1248.0999999999999</c:v>
                </c:pt>
                <c:pt idx="4">
                  <c:v>1189.05</c:v>
                </c:pt>
                <c:pt idx="5">
                  <c:v>870.15</c:v>
                </c:pt>
                <c:pt idx="6">
                  <c:v>1508.6</c:v>
                </c:pt>
                <c:pt idx="7">
                  <c:v>569.40000000000009</c:v>
                </c:pt>
                <c:pt idx="8">
                  <c:v>572.09999999999991</c:v>
                </c:pt>
                <c:pt idx="9">
                  <c:v>2144.85</c:v>
                </c:pt>
                <c:pt idx="10">
                  <c:v>599.6</c:v>
                </c:pt>
                <c:pt idx="11">
                  <c:v>3429.7</c:v>
                </c:pt>
                <c:pt idx="12">
                  <c:v>798.65000000000009</c:v>
                </c:pt>
                <c:pt idx="13">
                  <c:v>377.1</c:v>
                </c:pt>
                <c:pt idx="14">
                  <c:v>1106.3</c:v>
                </c:pt>
                <c:pt idx="15">
                  <c:v>314.64999999999998</c:v>
                </c:pt>
                <c:pt idx="16">
                  <c:v>332.4</c:v>
                </c:pt>
                <c:pt idx="17">
                  <c:v>1605.4</c:v>
                </c:pt>
                <c:pt idx="18">
                  <c:v>1756.7</c:v>
                </c:pt>
                <c:pt idx="19">
                  <c:v>298.89999999999998</c:v>
                </c:pt>
                <c:pt idx="20">
                  <c:v>529.15000000000009</c:v>
                </c:pt>
                <c:pt idx="21">
                  <c:v>1203.3000000000002</c:v>
                </c:pt>
                <c:pt idx="22">
                  <c:v>108.2</c:v>
                </c:pt>
                <c:pt idx="23">
                  <c:v>484.79999999999995</c:v>
                </c:pt>
                <c:pt idx="24">
                  <c:v>729.25</c:v>
                </c:pt>
                <c:pt idx="25">
                  <c:v>288.25</c:v>
                </c:pt>
                <c:pt idx="26">
                  <c:v>212.4</c:v>
                </c:pt>
                <c:pt idx="27">
                  <c:v>340.6</c:v>
                </c:pt>
                <c:pt idx="28">
                  <c:v>217.5</c:v>
                </c:pt>
                <c:pt idx="29">
                  <c:v>129.14999999999998</c:v>
                </c:pt>
                <c:pt idx="30">
                  <c:v>71.199999999999989</c:v>
                </c:pt>
                <c:pt idx="31">
                  <c:v>221.5</c:v>
                </c:pt>
                <c:pt idx="32">
                  <c:v>128.80000000000001</c:v>
                </c:pt>
                <c:pt idx="33">
                  <c:v>566.84999999999991</c:v>
                </c:pt>
                <c:pt idx="34">
                  <c:v>262.39999999999998</c:v>
                </c:pt>
                <c:pt idx="35">
                  <c:v>2496.4</c:v>
                </c:pt>
                <c:pt idx="36">
                  <c:v>2559.3000000000002</c:v>
                </c:pt>
                <c:pt idx="37">
                  <c:v>699.15</c:v>
                </c:pt>
                <c:pt idx="38">
                  <c:v>605.75</c:v>
                </c:pt>
                <c:pt idx="39">
                  <c:v>104.3</c:v>
                </c:pt>
                <c:pt idx="40">
                  <c:v>419.15</c:v>
                </c:pt>
                <c:pt idx="41">
                  <c:v>86.3</c:v>
                </c:pt>
                <c:pt idx="42">
                  <c:v>147.10000000000002</c:v>
                </c:pt>
                <c:pt idx="43">
                  <c:v>104.85</c:v>
                </c:pt>
                <c:pt idx="44">
                  <c:v>86.271653999999998</c:v>
                </c:pt>
                <c:pt idx="45">
                  <c:v>65.456693000000001</c:v>
                </c:pt>
                <c:pt idx="46">
                  <c:v>93.129920999999996</c:v>
                </c:pt>
                <c:pt idx="47">
                  <c:v>89.318898000000004</c:v>
                </c:pt>
                <c:pt idx="48">
                  <c:v>287.35000000000002</c:v>
                </c:pt>
                <c:pt idx="49">
                  <c:v>71.452755999999994</c:v>
                </c:pt>
                <c:pt idx="50">
                  <c:v>150.57874000000001</c:v>
                </c:pt>
                <c:pt idx="51">
                  <c:v>1130.8858270000001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955-9D72-39EFC3E5185F}"/>
            </c:ext>
          </c:extLst>
        </c:ser>
        <c:ser>
          <c:idx val="1"/>
          <c:order val="1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BoardingByRoute_All!$D$15:$D$66</c:f>
              <c:strCache>
                <c:ptCount val="52"/>
                <c:pt idx="0">
                  <c:v>Rte 1 100 Oaks</c:v>
                </c:pt>
                <c:pt idx="1">
                  <c:v>Rte 2 Belmont</c:v>
                </c:pt>
                <c:pt idx="2">
                  <c:v>Rte 3 West End (White Bridge)</c:v>
                </c:pt>
                <c:pt idx="3">
                  <c:v>Rte 4 Shelby</c:v>
                </c:pt>
                <c:pt idx="4">
                  <c:v>Rte 5 West End (Bellevue)</c:v>
                </c:pt>
                <c:pt idx="5">
                  <c:v>Rte 6 Lebanon Rd</c:v>
                </c:pt>
                <c:pt idx="6">
                  <c:v>Rte 7 Hillsboro</c:v>
                </c:pt>
                <c:pt idx="7">
                  <c:v>Rte 8 8th Avenue South</c:v>
                </c:pt>
                <c:pt idx="8">
                  <c:v>Rte 9 MetroCenter</c:v>
                </c:pt>
                <c:pt idx="9">
                  <c:v>Rte 10 Charlotte</c:v>
                </c:pt>
                <c:pt idx="10">
                  <c:v>Rte 14 Whites Creek</c:v>
                </c:pt>
                <c:pt idx="11">
                  <c:v>Rte 15 Murfreesboro Rd</c:v>
                </c:pt>
                <c:pt idx="12">
                  <c:v>Rte 17 12th Ave South Loop1</c:v>
                </c:pt>
                <c:pt idx="13">
                  <c:v>Rte 18 Airport Exp</c:v>
                </c:pt>
                <c:pt idx="14">
                  <c:v>Rte 19 Herman</c:v>
                </c:pt>
                <c:pt idx="15">
                  <c:v>Rte 20 Scott</c:v>
                </c:pt>
                <c:pt idx="16">
                  <c:v>Rte 21 University Connector SB</c:v>
                </c:pt>
                <c:pt idx="17">
                  <c:v>Rte 22 Bordeaux (Panaroma)</c:v>
                </c:pt>
                <c:pt idx="18">
                  <c:v>Rte 23 Dickerson Rd Loop1</c:v>
                </c:pt>
                <c:pt idx="19">
                  <c:v>Rte 24 Bellevue Exp AM</c:v>
                </c:pt>
                <c:pt idx="20">
                  <c:v>Rte 25 Midtown CW Loop</c:v>
                </c:pt>
                <c:pt idx="21">
                  <c:v>Rte 26 Gallatin Rd</c:v>
                </c:pt>
                <c:pt idx="22">
                  <c:v>Rte 27 Old Hickory</c:v>
                </c:pt>
                <c:pt idx="23">
                  <c:v>Rte 28 Meridian</c:v>
                </c:pt>
                <c:pt idx="24">
                  <c:v>Rte 29 Jefferson</c:v>
                </c:pt>
                <c:pt idx="25">
                  <c:v>Rte 30 McFerrin OB Ni</c:v>
                </c:pt>
                <c:pt idx="26">
                  <c:v>Rte 33 Old Hickory Exp</c:v>
                </c:pt>
                <c:pt idx="27">
                  <c:v>Rte 34 Opry Mills Loop</c:v>
                </c:pt>
                <c:pt idx="28">
                  <c:v>Rte 35 Rivergate Exp</c:v>
                </c:pt>
                <c:pt idx="29">
                  <c:v>Rte 36 Madison Express</c:v>
                </c:pt>
                <c:pt idx="30">
                  <c:v>Rte 37X Tusculum/McMurray EXP</c:v>
                </c:pt>
                <c:pt idx="31">
                  <c:v>Rte 38 Antioch Exp</c:v>
                </c:pt>
                <c:pt idx="32">
                  <c:v>Rte 41 Golden Valley OB</c:v>
                </c:pt>
                <c:pt idx="33">
                  <c:v>Rte 42 Cecilia/Cumberland</c:v>
                </c:pt>
                <c:pt idx="34">
                  <c:v>Rte 43 Hickory Hills</c:v>
                </c:pt>
                <c:pt idx="35">
                  <c:v>Rte 12 Nolensville Rd (Hick)</c:v>
                </c:pt>
                <c:pt idx="36">
                  <c:v>Rte 56 Gallatin Rd BRT</c:v>
                </c:pt>
                <c:pt idx="37">
                  <c:v>Rte 60 Music City Blue Circuit</c:v>
                </c:pt>
                <c:pt idx="38">
                  <c:v>Rte 61 Music City Green Circuit</c:v>
                </c:pt>
                <c:pt idx="39">
                  <c:v>Rte 72 Edmondson Pike Conn Loop</c:v>
                </c:pt>
                <c:pt idx="40">
                  <c:v>Rte 76 Madison Conn Anderson</c:v>
                </c:pt>
                <c:pt idx="41">
                  <c:v>Rte 77 Thompson Connector EB</c:v>
                </c:pt>
                <c:pt idx="42">
                  <c:v>Rte 84</c:v>
                </c:pt>
                <c:pt idx="43">
                  <c:v>Rte 86 Smyrna Lavergne Exp</c:v>
                </c:pt>
                <c:pt idx="44">
                  <c:v>Rte 87 Gallatin Comm Bus</c:v>
                </c:pt>
                <c:pt idx="45">
                  <c:v>Rte 89 Sprgfield/Joelton Exp</c:v>
                </c:pt>
                <c:pt idx="46">
                  <c:v>Rte 91 Franklin/Brentwood Exp</c:v>
                </c:pt>
                <c:pt idx="47">
                  <c:v>Rte 92 Bus</c:v>
                </c:pt>
                <c:pt idx="48">
                  <c:v>Rte 201 MCS West End Shuttle</c:v>
                </c:pt>
                <c:pt idx="49">
                  <c:v>Rte 95 Spring Hill Exp</c:v>
                </c:pt>
                <c:pt idx="50">
                  <c:v>Rte 96 Murfreesboro Comm Bus</c:v>
                </c:pt>
                <c:pt idx="51">
                  <c:v>Rte 301 Music City Star</c:v>
                </c:pt>
              </c:strCache>
            </c:strRef>
          </c:cat>
          <c:val>
            <c:numRef>
              <c:f>BoardingByRoute_All!$G$15:$G$66</c:f>
              <c:numCache>
                <c:formatCode>_(* #,##0_);_(* \(#,##0\);_(* "-"??_);_(@_)</c:formatCode>
                <c:ptCount val="52"/>
                <c:pt idx="0">
                  <c:v>203</c:v>
                </c:pt>
                <c:pt idx="1">
                  <c:v>379</c:v>
                </c:pt>
                <c:pt idx="2">
                  <c:v>2227</c:v>
                </c:pt>
                <c:pt idx="3">
                  <c:v>1112</c:v>
                </c:pt>
                <c:pt idx="4">
                  <c:v>2356</c:v>
                </c:pt>
                <c:pt idx="5">
                  <c:v>914</c:v>
                </c:pt>
                <c:pt idx="6">
                  <c:v>1574</c:v>
                </c:pt>
                <c:pt idx="7">
                  <c:v>728</c:v>
                </c:pt>
                <c:pt idx="8">
                  <c:v>476</c:v>
                </c:pt>
                <c:pt idx="9">
                  <c:v>2233</c:v>
                </c:pt>
                <c:pt idx="10">
                  <c:v>508</c:v>
                </c:pt>
                <c:pt idx="11">
                  <c:v>3467</c:v>
                </c:pt>
                <c:pt idx="12">
                  <c:v>1050</c:v>
                </c:pt>
                <c:pt idx="13">
                  <c:v>451</c:v>
                </c:pt>
                <c:pt idx="14">
                  <c:v>812</c:v>
                </c:pt>
                <c:pt idx="15">
                  <c:v>529</c:v>
                </c:pt>
                <c:pt idx="16">
                  <c:v>117</c:v>
                </c:pt>
                <c:pt idx="17">
                  <c:v>1364</c:v>
                </c:pt>
                <c:pt idx="18">
                  <c:v>1186</c:v>
                </c:pt>
                <c:pt idx="19">
                  <c:v>112</c:v>
                </c:pt>
                <c:pt idx="20">
                  <c:v>801</c:v>
                </c:pt>
                <c:pt idx="21">
                  <c:v>768</c:v>
                </c:pt>
                <c:pt idx="22">
                  <c:v>77</c:v>
                </c:pt>
                <c:pt idx="23">
                  <c:v>355</c:v>
                </c:pt>
                <c:pt idx="24">
                  <c:v>594</c:v>
                </c:pt>
                <c:pt idx="25">
                  <c:v>201</c:v>
                </c:pt>
                <c:pt idx="26">
                  <c:v>251</c:v>
                </c:pt>
                <c:pt idx="27">
                  <c:v>174</c:v>
                </c:pt>
                <c:pt idx="28">
                  <c:v>92</c:v>
                </c:pt>
                <c:pt idx="29">
                  <c:v>201</c:v>
                </c:pt>
                <c:pt idx="30">
                  <c:v>226</c:v>
                </c:pt>
                <c:pt idx="31">
                  <c:v>123</c:v>
                </c:pt>
                <c:pt idx="32">
                  <c:v>13</c:v>
                </c:pt>
                <c:pt idx="33">
                  <c:v>448</c:v>
                </c:pt>
                <c:pt idx="34">
                  <c:v>82</c:v>
                </c:pt>
                <c:pt idx="35">
                  <c:v>2376</c:v>
                </c:pt>
                <c:pt idx="36">
                  <c:v>2716</c:v>
                </c:pt>
                <c:pt idx="37">
                  <c:v>1488</c:v>
                </c:pt>
                <c:pt idx="38">
                  <c:v>493</c:v>
                </c:pt>
                <c:pt idx="39">
                  <c:v>28</c:v>
                </c:pt>
                <c:pt idx="40">
                  <c:v>46</c:v>
                </c:pt>
                <c:pt idx="41">
                  <c:v>34</c:v>
                </c:pt>
                <c:pt idx="42">
                  <c:v>249</c:v>
                </c:pt>
                <c:pt idx="43">
                  <c:v>14</c:v>
                </c:pt>
                <c:pt idx="44">
                  <c:v>24</c:v>
                </c:pt>
                <c:pt idx="45">
                  <c:v>45</c:v>
                </c:pt>
                <c:pt idx="46">
                  <c:v>0</c:v>
                </c:pt>
                <c:pt idx="47">
                  <c:v>28</c:v>
                </c:pt>
                <c:pt idx="48">
                  <c:v>759</c:v>
                </c:pt>
                <c:pt idx="49">
                  <c:v>0</c:v>
                </c:pt>
                <c:pt idx="50">
                  <c:v>159</c:v>
                </c:pt>
                <c:pt idx="5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955-9D72-39EFC3E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670800"/>
        <c:axId val="353676336"/>
        <c:extLst/>
      </c:barChart>
      <c:catAx>
        <c:axId val="534670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6336"/>
        <c:crosses val="autoZero"/>
        <c:auto val="1"/>
        <c:lblAlgn val="ctr"/>
        <c:lblOffset val="100"/>
        <c:noMultiLvlLbl val="0"/>
      </c:catAx>
      <c:valAx>
        <c:axId val="353676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08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BoardingByRoute_All!$AA$13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BoardingByRoute_All!$Z$15:$Z$66</c:f>
              <c:strCache>
                <c:ptCount val="52"/>
                <c:pt idx="0">
                  <c:v>Rte 15 Murfreesboro Rd</c:v>
                </c:pt>
                <c:pt idx="1">
                  <c:v>Rte 56 Gallatin Rd BRT</c:v>
                </c:pt>
                <c:pt idx="2">
                  <c:v>Rte 12 Nolensville Rd (Hick)</c:v>
                </c:pt>
                <c:pt idx="3">
                  <c:v>Rte 10 Charlotte</c:v>
                </c:pt>
                <c:pt idx="4">
                  <c:v>Rte 23 Dickerson Rd Loop1</c:v>
                </c:pt>
                <c:pt idx="5">
                  <c:v>Rte 22 Bordeaux (Panaroma)</c:v>
                </c:pt>
                <c:pt idx="6">
                  <c:v>Rte 7 Hillsboro</c:v>
                </c:pt>
                <c:pt idx="7">
                  <c:v>Rte 4 Shelby</c:v>
                </c:pt>
                <c:pt idx="8">
                  <c:v>Rte 3 West End (White Bridge)</c:v>
                </c:pt>
                <c:pt idx="9">
                  <c:v>Rte 26 Gallatin Rd</c:v>
                </c:pt>
                <c:pt idx="10">
                  <c:v>Rte 5 West End (Bellevue)</c:v>
                </c:pt>
                <c:pt idx="11">
                  <c:v>Rte 301 Music City Star</c:v>
                </c:pt>
                <c:pt idx="12">
                  <c:v>Rte 19 Herman</c:v>
                </c:pt>
                <c:pt idx="13">
                  <c:v>Rte 6 Lebanon Rd</c:v>
                </c:pt>
                <c:pt idx="14">
                  <c:v>Rte 17 12th Ave South Loop1</c:v>
                </c:pt>
                <c:pt idx="15">
                  <c:v>Rte 29 Jefferson</c:v>
                </c:pt>
                <c:pt idx="16">
                  <c:v>Rte 60 Music City Blue Circuit</c:v>
                </c:pt>
                <c:pt idx="17">
                  <c:v>Rte 61 Music City Green Circuit</c:v>
                </c:pt>
                <c:pt idx="18">
                  <c:v>Rte 14 Whites Creek</c:v>
                </c:pt>
                <c:pt idx="19">
                  <c:v>Rte 9 MetroCenter</c:v>
                </c:pt>
                <c:pt idx="20">
                  <c:v>Rte 8 8th Avenue South</c:v>
                </c:pt>
                <c:pt idx="21">
                  <c:v>Rte 42 Cecilia/Cumberland</c:v>
                </c:pt>
                <c:pt idx="22">
                  <c:v>Rte 25 Midtown CW Loop</c:v>
                </c:pt>
                <c:pt idx="23">
                  <c:v>Rte 28 Meridian</c:v>
                </c:pt>
                <c:pt idx="24">
                  <c:v>Rte 76 Madison Conn Anderson</c:v>
                </c:pt>
                <c:pt idx="25">
                  <c:v>Rte 18 Airport Exp</c:v>
                </c:pt>
                <c:pt idx="26">
                  <c:v>Rte 34 Opry Mills Loop</c:v>
                </c:pt>
                <c:pt idx="27">
                  <c:v>Rte 21 University Connector SB</c:v>
                </c:pt>
                <c:pt idx="28">
                  <c:v>Rte 20 Scott</c:v>
                </c:pt>
                <c:pt idx="29">
                  <c:v>Rte 24 Bellevue Exp AM</c:v>
                </c:pt>
                <c:pt idx="30">
                  <c:v>Rte 30 McFerrin OB Ni</c:v>
                </c:pt>
                <c:pt idx="31">
                  <c:v>Rte 201 MCS West End Shuttle</c:v>
                </c:pt>
                <c:pt idx="32">
                  <c:v>Rte 43 Hickory Hills</c:v>
                </c:pt>
                <c:pt idx="33">
                  <c:v>Rte 38 Antioch Exp</c:v>
                </c:pt>
                <c:pt idx="34">
                  <c:v>Rte 35 Rivergate Exp</c:v>
                </c:pt>
                <c:pt idx="35">
                  <c:v>Rte 33 Old Hickory Exp</c:v>
                </c:pt>
                <c:pt idx="36">
                  <c:v>Rte 2 Belmont</c:v>
                </c:pt>
                <c:pt idx="37">
                  <c:v>Rte 96 Murfreesboro Comm Bus</c:v>
                </c:pt>
                <c:pt idx="38">
                  <c:v>Rte 84</c:v>
                </c:pt>
                <c:pt idx="39">
                  <c:v>Rte 36 Madison Express</c:v>
                </c:pt>
                <c:pt idx="40">
                  <c:v>Rte 41 Golden Valley OB</c:v>
                </c:pt>
                <c:pt idx="41">
                  <c:v>Rte 1 100 Oaks</c:v>
                </c:pt>
                <c:pt idx="42">
                  <c:v>Rte 27 Old Hickory</c:v>
                </c:pt>
                <c:pt idx="43">
                  <c:v>Rte 86 Smyrna Lavergne Exp</c:v>
                </c:pt>
                <c:pt idx="44">
                  <c:v>Rte 72 Edmondson Pike Conn Loop</c:v>
                </c:pt>
                <c:pt idx="45">
                  <c:v>Rte 91 Franklin/Brentwood Exp</c:v>
                </c:pt>
                <c:pt idx="46">
                  <c:v>Rte 92 Bus</c:v>
                </c:pt>
                <c:pt idx="47">
                  <c:v>Rte 77 Thompson Connector EB</c:v>
                </c:pt>
                <c:pt idx="48">
                  <c:v>Rte 87 Gallatin Comm Bus</c:v>
                </c:pt>
                <c:pt idx="49">
                  <c:v>Rte 95 Spring Hill Exp</c:v>
                </c:pt>
                <c:pt idx="50">
                  <c:v>Rte 37X Tusculum/McMurray EXP</c:v>
                </c:pt>
                <c:pt idx="51">
                  <c:v>Rte 89 Sprgfield/Joelton Exp</c:v>
                </c:pt>
              </c:strCache>
            </c:strRef>
          </c:cat>
          <c:val>
            <c:numRef>
              <c:f>BoardingByRoute_All!$AA$15:$AA$66</c:f>
              <c:numCache>
                <c:formatCode>_(* #,##0_);_(* \(#,##0\);_(* "-"??_);_(@_)</c:formatCode>
                <c:ptCount val="52"/>
                <c:pt idx="0">
                  <c:v>3429.7</c:v>
                </c:pt>
                <c:pt idx="1">
                  <c:v>2559.3000000000002</c:v>
                </c:pt>
                <c:pt idx="2">
                  <c:v>2496.4</c:v>
                </c:pt>
                <c:pt idx="3">
                  <c:v>2144.85</c:v>
                </c:pt>
                <c:pt idx="4">
                  <c:v>1756.7</c:v>
                </c:pt>
                <c:pt idx="5">
                  <c:v>1605.4</c:v>
                </c:pt>
                <c:pt idx="6">
                  <c:v>1508.6</c:v>
                </c:pt>
                <c:pt idx="7">
                  <c:v>1248.0999999999999</c:v>
                </c:pt>
                <c:pt idx="8">
                  <c:v>1215.9499999999998</c:v>
                </c:pt>
                <c:pt idx="9">
                  <c:v>1203.3000000000002</c:v>
                </c:pt>
                <c:pt idx="10">
                  <c:v>1189.05</c:v>
                </c:pt>
                <c:pt idx="11">
                  <c:v>1130.8858270000001</c:v>
                </c:pt>
                <c:pt idx="12">
                  <c:v>1106.3</c:v>
                </c:pt>
                <c:pt idx="13">
                  <c:v>870.15</c:v>
                </c:pt>
                <c:pt idx="14">
                  <c:v>798.65000000000009</c:v>
                </c:pt>
                <c:pt idx="15">
                  <c:v>729.25</c:v>
                </c:pt>
                <c:pt idx="16">
                  <c:v>699.15</c:v>
                </c:pt>
                <c:pt idx="17">
                  <c:v>605.75</c:v>
                </c:pt>
                <c:pt idx="18">
                  <c:v>599.6</c:v>
                </c:pt>
                <c:pt idx="19">
                  <c:v>572.09999999999991</c:v>
                </c:pt>
                <c:pt idx="20">
                  <c:v>569.40000000000009</c:v>
                </c:pt>
                <c:pt idx="21">
                  <c:v>566.84999999999991</c:v>
                </c:pt>
                <c:pt idx="22">
                  <c:v>529.15000000000009</c:v>
                </c:pt>
                <c:pt idx="23">
                  <c:v>484.79999999999995</c:v>
                </c:pt>
                <c:pt idx="24">
                  <c:v>419.15</c:v>
                </c:pt>
                <c:pt idx="25">
                  <c:v>377.1</c:v>
                </c:pt>
                <c:pt idx="26">
                  <c:v>340.6</c:v>
                </c:pt>
                <c:pt idx="27">
                  <c:v>332.4</c:v>
                </c:pt>
                <c:pt idx="28">
                  <c:v>314.64999999999998</c:v>
                </c:pt>
                <c:pt idx="29">
                  <c:v>298.89999999999998</c:v>
                </c:pt>
                <c:pt idx="30">
                  <c:v>288.25</c:v>
                </c:pt>
                <c:pt idx="31">
                  <c:v>287.35000000000002</c:v>
                </c:pt>
                <c:pt idx="32">
                  <c:v>262.39999999999998</c:v>
                </c:pt>
                <c:pt idx="33">
                  <c:v>221.5</c:v>
                </c:pt>
                <c:pt idx="34">
                  <c:v>217.5</c:v>
                </c:pt>
                <c:pt idx="35">
                  <c:v>212.4</c:v>
                </c:pt>
                <c:pt idx="36">
                  <c:v>197.60000000000002</c:v>
                </c:pt>
                <c:pt idx="37">
                  <c:v>150.57874000000001</c:v>
                </c:pt>
                <c:pt idx="38">
                  <c:v>147.10000000000002</c:v>
                </c:pt>
                <c:pt idx="39">
                  <c:v>129.14999999999998</c:v>
                </c:pt>
                <c:pt idx="40">
                  <c:v>128.80000000000001</c:v>
                </c:pt>
                <c:pt idx="41">
                  <c:v>118.9</c:v>
                </c:pt>
                <c:pt idx="42">
                  <c:v>108.2</c:v>
                </c:pt>
                <c:pt idx="43">
                  <c:v>104.85</c:v>
                </c:pt>
                <c:pt idx="44">
                  <c:v>104.3</c:v>
                </c:pt>
                <c:pt idx="45">
                  <c:v>93.129920999999996</c:v>
                </c:pt>
                <c:pt idx="46">
                  <c:v>89.318898000000004</c:v>
                </c:pt>
                <c:pt idx="47">
                  <c:v>86.3</c:v>
                </c:pt>
                <c:pt idx="48">
                  <c:v>86.271653999999998</c:v>
                </c:pt>
                <c:pt idx="49">
                  <c:v>71.452755999999994</c:v>
                </c:pt>
                <c:pt idx="50">
                  <c:v>71.199999999999989</c:v>
                </c:pt>
                <c:pt idx="51">
                  <c:v>65.456693000000001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6-4114-92D7-47187162FC98}"/>
            </c:ext>
          </c:extLst>
        </c:ser>
        <c:ser>
          <c:idx val="1"/>
          <c:order val="1"/>
          <c:tx>
            <c:strRef>
              <c:f>BoardingByRoute_All!$AC$13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BoardingByRoute_All!$Z$15:$Z$66</c:f>
              <c:strCache>
                <c:ptCount val="52"/>
                <c:pt idx="0">
                  <c:v>Rte 15 Murfreesboro Rd</c:v>
                </c:pt>
                <c:pt idx="1">
                  <c:v>Rte 56 Gallatin Rd BRT</c:v>
                </c:pt>
                <c:pt idx="2">
                  <c:v>Rte 12 Nolensville Rd (Hick)</c:v>
                </c:pt>
                <c:pt idx="3">
                  <c:v>Rte 10 Charlotte</c:v>
                </c:pt>
                <c:pt idx="4">
                  <c:v>Rte 23 Dickerson Rd Loop1</c:v>
                </c:pt>
                <c:pt idx="5">
                  <c:v>Rte 22 Bordeaux (Panaroma)</c:v>
                </c:pt>
                <c:pt idx="6">
                  <c:v>Rte 7 Hillsboro</c:v>
                </c:pt>
                <c:pt idx="7">
                  <c:v>Rte 4 Shelby</c:v>
                </c:pt>
                <c:pt idx="8">
                  <c:v>Rte 3 West End (White Bridge)</c:v>
                </c:pt>
                <c:pt idx="9">
                  <c:v>Rte 26 Gallatin Rd</c:v>
                </c:pt>
                <c:pt idx="10">
                  <c:v>Rte 5 West End (Bellevue)</c:v>
                </c:pt>
                <c:pt idx="11">
                  <c:v>Rte 301 Music City Star</c:v>
                </c:pt>
                <c:pt idx="12">
                  <c:v>Rte 19 Herman</c:v>
                </c:pt>
                <c:pt idx="13">
                  <c:v>Rte 6 Lebanon Rd</c:v>
                </c:pt>
                <c:pt idx="14">
                  <c:v>Rte 17 12th Ave South Loop1</c:v>
                </c:pt>
                <c:pt idx="15">
                  <c:v>Rte 29 Jefferson</c:v>
                </c:pt>
                <c:pt idx="16">
                  <c:v>Rte 60 Music City Blue Circuit</c:v>
                </c:pt>
                <c:pt idx="17">
                  <c:v>Rte 61 Music City Green Circuit</c:v>
                </c:pt>
                <c:pt idx="18">
                  <c:v>Rte 14 Whites Creek</c:v>
                </c:pt>
                <c:pt idx="19">
                  <c:v>Rte 9 MetroCenter</c:v>
                </c:pt>
                <c:pt idx="20">
                  <c:v>Rte 8 8th Avenue South</c:v>
                </c:pt>
                <c:pt idx="21">
                  <c:v>Rte 42 Cecilia/Cumberland</c:v>
                </c:pt>
                <c:pt idx="22">
                  <c:v>Rte 25 Midtown CW Loop</c:v>
                </c:pt>
                <c:pt idx="23">
                  <c:v>Rte 28 Meridian</c:v>
                </c:pt>
                <c:pt idx="24">
                  <c:v>Rte 76 Madison Conn Anderson</c:v>
                </c:pt>
                <c:pt idx="25">
                  <c:v>Rte 18 Airport Exp</c:v>
                </c:pt>
                <c:pt idx="26">
                  <c:v>Rte 34 Opry Mills Loop</c:v>
                </c:pt>
                <c:pt idx="27">
                  <c:v>Rte 21 University Connector SB</c:v>
                </c:pt>
                <c:pt idx="28">
                  <c:v>Rte 20 Scott</c:v>
                </c:pt>
                <c:pt idx="29">
                  <c:v>Rte 24 Bellevue Exp AM</c:v>
                </c:pt>
                <c:pt idx="30">
                  <c:v>Rte 30 McFerrin OB Ni</c:v>
                </c:pt>
                <c:pt idx="31">
                  <c:v>Rte 201 MCS West End Shuttle</c:v>
                </c:pt>
                <c:pt idx="32">
                  <c:v>Rte 43 Hickory Hills</c:v>
                </c:pt>
                <c:pt idx="33">
                  <c:v>Rte 38 Antioch Exp</c:v>
                </c:pt>
                <c:pt idx="34">
                  <c:v>Rte 35 Rivergate Exp</c:v>
                </c:pt>
                <c:pt idx="35">
                  <c:v>Rte 33 Old Hickory Exp</c:v>
                </c:pt>
                <c:pt idx="36">
                  <c:v>Rte 2 Belmont</c:v>
                </c:pt>
                <c:pt idx="37">
                  <c:v>Rte 96 Murfreesboro Comm Bus</c:v>
                </c:pt>
                <c:pt idx="38">
                  <c:v>Rte 84</c:v>
                </c:pt>
                <c:pt idx="39">
                  <c:v>Rte 36 Madison Express</c:v>
                </c:pt>
                <c:pt idx="40">
                  <c:v>Rte 41 Golden Valley OB</c:v>
                </c:pt>
                <c:pt idx="41">
                  <c:v>Rte 1 100 Oaks</c:v>
                </c:pt>
                <c:pt idx="42">
                  <c:v>Rte 27 Old Hickory</c:v>
                </c:pt>
                <c:pt idx="43">
                  <c:v>Rte 86 Smyrna Lavergne Exp</c:v>
                </c:pt>
                <c:pt idx="44">
                  <c:v>Rte 72 Edmondson Pike Conn Loop</c:v>
                </c:pt>
                <c:pt idx="45">
                  <c:v>Rte 91 Franklin/Brentwood Exp</c:v>
                </c:pt>
                <c:pt idx="46">
                  <c:v>Rte 92 Bus</c:v>
                </c:pt>
                <c:pt idx="47">
                  <c:v>Rte 77 Thompson Connector EB</c:v>
                </c:pt>
                <c:pt idx="48">
                  <c:v>Rte 87 Gallatin Comm Bus</c:v>
                </c:pt>
                <c:pt idx="49">
                  <c:v>Rte 95 Spring Hill Exp</c:v>
                </c:pt>
                <c:pt idx="50">
                  <c:v>Rte 37X Tusculum/McMurray EXP</c:v>
                </c:pt>
                <c:pt idx="51">
                  <c:v>Rte 89 Sprgfield/Joelton Exp</c:v>
                </c:pt>
              </c:strCache>
            </c:strRef>
          </c:cat>
          <c:val>
            <c:numRef>
              <c:f>BoardingByRoute_All!$AC$15:$AC$66</c:f>
              <c:numCache>
                <c:formatCode>_(* #,##0_);_(* \(#,##0\);_(* "-"??_);_(@_)</c:formatCode>
                <c:ptCount val="52"/>
                <c:pt idx="0">
                  <c:v>3467</c:v>
                </c:pt>
                <c:pt idx="1">
                  <c:v>2716</c:v>
                </c:pt>
                <c:pt idx="2">
                  <c:v>2376</c:v>
                </c:pt>
                <c:pt idx="3">
                  <c:v>2233</c:v>
                </c:pt>
                <c:pt idx="4">
                  <c:v>1186</c:v>
                </c:pt>
                <c:pt idx="5">
                  <c:v>1364</c:v>
                </c:pt>
                <c:pt idx="6">
                  <c:v>1574</c:v>
                </c:pt>
                <c:pt idx="7">
                  <c:v>1112</c:v>
                </c:pt>
                <c:pt idx="8">
                  <c:v>2227</c:v>
                </c:pt>
                <c:pt idx="9">
                  <c:v>768</c:v>
                </c:pt>
                <c:pt idx="10">
                  <c:v>2356</c:v>
                </c:pt>
                <c:pt idx="11">
                  <c:v>500</c:v>
                </c:pt>
                <c:pt idx="12">
                  <c:v>812</c:v>
                </c:pt>
                <c:pt idx="13">
                  <c:v>914</c:v>
                </c:pt>
                <c:pt idx="14">
                  <c:v>1050</c:v>
                </c:pt>
                <c:pt idx="15">
                  <c:v>594</c:v>
                </c:pt>
                <c:pt idx="16">
                  <c:v>1488</c:v>
                </c:pt>
                <c:pt idx="17">
                  <c:v>493</c:v>
                </c:pt>
                <c:pt idx="18">
                  <c:v>508</c:v>
                </c:pt>
                <c:pt idx="19">
                  <c:v>476</c:v>
                </c:pt>
                <c:pt idx="20">
                  <c:v>728</c:v>
                </c:pt>
                <c:pt idx="21">
                  <c:v>448</c:v>
                </c:pt>
                <c:pt idx="22">
                  <c:v>801</c:v>
                </c:pt>
                <c:pt idx="23">
                  <c:v>355</c:v>
                </c:pt>
                <c:pt idx="24">
                  <c:v>46</c:v>
                </c:pt>
                <c:pt idx="25">
                  <c:v>451</c:v>
                </c:pt>
                <c:pt idx="26">
                  <c:v>174</c:v>
                </c:pt>
                <c:pt idx="27">
                  <c:v>117</c:v>
                </c:pt>
                <c:pt idx="28">
                  <c:v>529</c:v>
                </c:pt>
                <c:pt idx="29">
                  <c:v>112</c:v>
                </c:pt>
                <c:pt idx="30">
                  <c:v>201</c:v>
                </c:pt>
                <c:pt idx="31">
                  <c:v>759</c:v>
                </c:pt>
                <c:pt idx="32">
                  <c:v>82</c:v>
                </c:pt>
                <c:pt idx="33">
                  <c:v>123</c:v>
                </c:pt>
                <c:pt idx="34">
                  <c:v>92</c:v>
                </c:pt>
                <c:pt idx="35">
                  <c:v>251</c:v>
                </c:pt>
                <c:pt idx="36">
                  <c:v>379</c:v>
                </c:pt>
                <c:pt idx="37">
                  <c:v>159</c:v>
                </c:pt>
                <c:pt idx="38">
                  <c:v>249</c:v>
                </c:pt>
                <c:pt idx="39">
                  <c:v>201</c:v>
                </c:pt>
                <c:pt idx="40">
                  <c:v>13</c:v>
                </c:pt>
                <c:pt idx="41">
                  <c:v>203</c:v>
                </c:pt>
                <c:pt idx="42">
                  <c:v>77</c:v>
                </c:pt>
                <c:pt idx="43">
                  <c:v>14</c:v>
                </c:pt>
                <c:pt idx="44">
                  <c:v>28</c:v>
                </c:pt>
                <c:pt idx="45">
                  <c:v>0</c:v>
                </c:pt>
                <c:pt idx="46">
                  <c:v>28</c:v>
                </c:pt>
                <c:pt idx="47">
                  <c:v>34</c:v>
                </c:pt>
                <c:pt idx="48">
                  <c:v>24</c:v>
                </c:pt>
                <c:pt idx="49">
                  <c:v>0</c:v>
                </c:pt>
                <c:pt idx="50">
                  <c:v>226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6-4114-92D7-47187162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47904"/>
        <c:axId val="540145104"/>
        <c:extLst/>
      </c:barChart>
      <c:catAx>
        <c:axId val="540147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104"/>
        <c:crosses val="autoZero"/>
        <c:auto val="1"/>
        <c:lblAlgn val="ctr"/>
        <c:lblOffset val="100"/>
        <c:noMultiLvlLbl val="0"/>
      </c:catAx>
      <c:valAx>
        <c:axId val="54014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79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226779</xdr:colOff>
      <xdr:row>1</xdr:row>
      <xdr:rowOff>124945</xdr:rowOff>
    </xdr:from>
    <xdr:to>
      <xdr:col>45</xdr:col>
      <xdr:colOff>381000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40901</xdr:colOff>
      <xdr:row>12</xdr:row>
      <xdr:rowOff>2940</xdr:rowOff>
    </xdr:from>
    <xdr:to>
      <xdr:col>22</xdr:col>
      <xdr:colOff>96199</xdr:colOff>
      <xdr:row>73</xdr:row>
      <xdr:rowOff>35751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300037</xdr:colOff>
      <xdr:row>37</xdr:row>
      <xdr:rowOff>102394</xdr:rowOff>
    </xdr:from>
    <xdr:to>
      <xdr:col>44</xdr:col>
      <xdr:colOff>533928</xdr:colOff>
      <xdr:row>98</xdr:row>
      <xdr:rowOff>135205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5"/>
  <sheetViews>
    <sheetView tabSelected="1" zoomScale="80" zoomScaleNormal="80" workbookViewId="0">
      <selection activeCell="N10" sqref="N10"/>
    </sheetView>
  </sheetViews>
  <sheetFormatPr defaultRowHeight="15" x14ac:dyDescent="0.25"/>
  <cols>
    <col min="2" max="2" width="12" customWidth="1"/>
    <col min="3" max="3" width="12.7109375" customWidth="1"/>
    <col min="4" max="4" width="31" customWidth="1"/>
    <col min="5" max="5" width="10.5703125" bestFit="1" customWidth="1"/>
    <col min="6" max="6" width="11" hidden="1" customWidth="1"/>
    <col min="7" max="7" width="14.28515625" bestFit="1" customWidth="1"/>
    <col min="8" max="8" width="12" hidden="1" customWidth="1"/>
    <col min="9" max="9" width="12" style="51" customWidth="1"/>
    <col min="11" max="11" width="12.5703125" hidden="1" customWidth="1"/>
    <col min="12" max="12" width="11.7109375" hidden="1" customWidth="1"/>
    <col min="24" max="24" width="11.5703125" bestFit="1" customWidth="1"/>
    <col min="25" max="25" width="12.28515625" bestFit="1" customWidth="1"/>
    <col min="26" max="26" width="29.42578125" bestFit="1" customWidth="1"/>
    <col min="29" max="29" width="12.140625" customWidth="1"/>
    <col min="30" max="30" width="11" bestFit="1" customWidth="1"/>
    <col min="31" max="32" width="11" style="51" customWidth="1"/>
  </cols>
  <sheetData>
    <row r="1" spans="1:50" s="51" customFormat="1" x14ac:dyDescent="0.25">
      <c r="D1" s="117" t="s">
        <v>491</v>
      </c>
      <c r="E1" s="122"/>
      <c r="F1" s="122"/>
      <c r="G1" s="122"/>
      <c r="H1" s="122"/>
      <c r="I1" s="122"/>
      <c r="J1" s="122"/>
      <c r="M1" s="70"/>
    </row>
    <row r="2" spans="1:50" s="51" customFormat="1" x14ac:dyDescent="0.25">
      <c r="D2" s="118"/>
      <c r="E2" s="132" t="s">
        <v>0</v>
      </c>
      <c r="F2" s="132"/>
      <c r="G2" s="131" t="s">
        <v>1</v>
      </c>
      <c r="H2" s="131"/>
      <c r="I2" s="133" t="s">
        <v>769</v>
      </c>
      <c r="J2" s="133"/>
      <c r="K2" s="109" t="s">
        <v>107</v>
      </c>
      <c r="L2" s="110"/>
      <c r="M2" s="60"/>
      <c r="N2" s="60" t="s">
        <v>793</v>
      </c>
      <c r="O2" s="74"/>
      <c r="P2" s="4"/>
    </row>
    <row r="3" spans="1:50" s="51" customFormat="1" x14ac:dyDescent="0.25">
      <c r="C3" s="51" t="s">
        <v>36</v>
      </c>
      <c r="D3" s="119" t="s">
        <v>28</v>
      </c>
      <c r="E3" s="24" t="s">
        <v>2</v>
      </c>
      <c r="F3" s="24" t="s">
        <v>3</v>
      </c>
      <c r="G3" s="62" t="s">
        <v>2</v>
      </c>
      <c r="H3" s="62" t="s">
        <v>3</v>
      </c>
      <c r="I3" s="102" t="s">
        <v>2</v>
      </c>
      <c r="J3" s="102" t="s">
        <v>3</v>
      </c>
      <c r="K3" s="111" t="s">
        <v>105</v>
      </c>
      <c r="L3" s="111" t="s">
        <v>106</v>
      </c>
      <c r="M3" s="75"/>
      <c r="N3" s="124" t="s">
        <v>794</v>
      </c>
      <c r="O3" s="60"/>
      <c r="AX3" s="70" t="s">
        <v>792</v>
      </c>
    </row>
    <row r="4" spans="1:50" s="51" customFormat="1" x14ac:dyDescent="0.25">
      <c r="C4" s="123" t="s">
        <v>773</v>
      </c>
      <c r="D4" s="120" t="s">
        <v>29</v>
      </c>
      <c r="E4" s="9">
        <f>SUMIF($A$15:$A$66,1,E$15:E$67)+SUMIF($A$15:$A$66,2,E$15:E$67)</f>
        <v>28630.75</v>
      </c>
      <c r="F4" s="61">
        <f>E4/E$8</f>
        <v>0.81932780018759921</v>
      </c>
      <c r="G4" s="63">
        <f>SUMIF($A$15:$A$66,1,G$15:G$66)+SUMIF($A$15:$A$66,2,G$15:G$66)</f>
        <v>29213</v>
      </c>
      <c r="H4" s="64">
        <f>PrilimTable!F75</f>
        <v>0.84310212439211674</v>
      </c>
      <c r="I4" s="103">
        <f>G4-E4</f>
        <v>582.25</v>
      </c>
      <c r="J4" s="104">
        <f>I4/E4</f>
        <v>2.0336526287296E-2</v>
      </c>
      <c r="K4" s="112">
        <f>PrilimTable!G75</f>
        <v>-0.1</v>
      </c>
      <c r="L4" s="113">
        <f>PrilimTable!H75</f>
        <v>-3.3333333333333335</v>
      </c>
      <c r="N4" s="130"/>
      <c r="O4" s="130"/>
      <c r="AX4" s="51" t="s">
        <v>778</v>
      </c>
    </row>
    <row r="5" spans="1:50" s="51" customFormat="1" x14ac:dyDescent="0.25">
      <c r="C5" s="51" t="s">
        <v>760</v>
      </c>
      <c r="D5" s="120" t="s">
        <v>30</v>
      </c>
      <c r="E5" s="9">
        <f>SUMIF($A$15:$A$66,6,E$15:E$67)+SUMIF($A$15:$A$66,7,E$15:E$67)</f>
        <v>2335.9086620000003</v>
      </c>
      <c r="F5" s="61">
        <f t="shared" ref="F5:F8" si="0">E5/E$8</f>
        <v>6.68468309588683E-2</v>
      </c>
      <c r="G5" s="63">
        <f>SUMIF($A$15:$A$66,6,G$15:G$66)+SUMIF($A$15:$A$66,7,G$15:G$66)</f>
        <v>1975</v>
      </c>
      <c r="H5" s="64">
        <f>PrilimTable!F76</f>
        <v>4.3852913573927142E-2</v>
      </c>
      <c r="I5" s="103">
        <f t="shared" ref="I5:I7" si="1">G5-E5</f>
        <v>-360.90866200000028</v>
      </c>
      <c r="J5" s="104">
        <f t="shared" ref="J5:J7" si="2">I5/E5</f>
        <v>-0.15450461221843795</v>
      </c>
      <c r="K5" s="112">
        <f>PrilimTable!G76</f>
        <v>0.45</v>
      </c>
      <c r="L5" s="113">
        <f>PrilimTable!H76</f>
        <v>15.000000000000002</v>
      </c>
      <c r="N5" s="130"/>
      <c r="O5" s="130"/>
      <c r="AX5" s="51" t="s">
        <v>779</v>
      </c>
    </row>
    <row r="6" spans="1:50" s="51" customFormat="1" x14ac:dyDescent="0.25">
      <c r="C6" s="29">
        <v>8</v>
      </c>
      <c r="D6" s="120" t="s">
        <v>6</v>
      </c>
      <c r="E6" s="9">
        <f>SUMIF($A$15:$A$66,8,E$15:E$67)</f>
        <v>2559.3000000000002</v>
      </c>
      <c r="F6" s="61">
        <f t="shared" si="0"/>
        <v>7.3239633576491117E-2</v>
      </c>
      <c r="G6" s="63">
        <f>SUMIF($A$15:$A$66,8,G$15:G$66)</f>
        <v>2716</v>
      </c>
      <c r="H6" s="64">
        <f>PrilimTable!F77</f>
        <v>7.7240280977163497E-2</v>
      </c>
      <c r="I6" s="103">
        <f t="shared" si="1"/>
        <v>156.69999999999982</v>
      </c>
      <c r="J6" s="104">
        <f t="shared" si="2"/>
        <v>6.1227679443597784E-2</v>
      </c>
      <c r="K6" s="112">
        <f>PrilimTable!G77</f>
        <v>-0.1</v>
      </c>
      <c r="L6" s="113">
        <f>PrilimTable!H77</f>
        <v>-3.3333333333333335</v>
      </c>
      <c r="N6" s="130"/>
      <c r="O6" s="130"/>
      <c r="S6" s="73"/>
      <c r="AX6" s="51" t="s">
        <v>780</v>
      </c>
    </row>
    <row r="7" spans="1:50" s="51" customFormat="1" x14ac:dyDescent="0.25">
      <c r="C7" s="51" t="s">
        <v>761</v>
      </c>
      <c r="D7" s="121" t="s">
        <v>31</v>
      </c>
      <c r="E7" s="14">
        <f>SUMIF($A$15:$A$66,11,E$15:E$67)+SUMIF($A$15:$A$66,12,E$15:E$67)</f>
        <v>1418.235827</v>
      </c>
      <c r="F7" s="67">
        <f t="shared" si="0"/>
        <v>4.0585735277041311E-2</v>
      </c>
      <c r="G7" s="68">
        <f>SUMIF($A$15:$A$66,11,G$15:G$66)+SUMIF($A$15:$A$66,12,G$15:G$66)</f>
        <v>1259</v>
      </c>
      <c r="H7" s="69">
        <f>PrilimTable!F78</f>
        <v>3.5804681056792652E-2</v>
      </c>
      <c r="I7" s="105">
        <f t="shared" si="1"/>
        <v>-159.23582699999997</v>
      </c>
      <c r="J7" s="106">
        <f t="shared" si="2"/>
        <v>-0.11227739700867109</v>
      </c>
      <c r="K7" s="112">
        <f>PrilimTable!G78</f>
        <v>1.3</v>
      </c>
      <c r="L7" s="113">
        <f>PrilimTable!H78</f>
        <v>43.333333333333336</v>
      </c>
      <c r="N7" s="130"/>
      <c r="O7" s="130"/>
      <c r="S7" s="73"/>
      <c r="AX7" s="51" t="s">
        <v>781</v>
      </c>
    </row>
    <row r="8" spans="1:50" s="51" customFormat="1" x14ac:dyDescent="0.25">
      <c r="D8" s="119" t="s">
        <v>4</v>
      </c>
      <c r="E8" s="16">
        <f>SUM(E4:E7)</f>
        <v>34944.194489000001</v>
      </c>
      <c r="F8" s="77">
        <f t="shared" si="0"/>
        <v>1</v>
      </c>
      <c r="G8" s="65">
        <f>SUM(G4:G7)</f>
        <v>35163</v>
      </c>
      <c r="H8" s="66">
        <v>1</v>
      </c>
      <c r="I8" s="107">
        <f>G8-E8</f>
        <v>218.80551099999866</v>
      </c>
      <c r="J8" s="108">
        <f>I8/E8</f>
        <v>6.2615697456948373E-3</v>
      </c>
      <c r="K8" s="114"/>
      <c r="L8" s="115"/>
      <c r="S8" s="73"/>
      <c r="AX8" s="51" t="s">
        <v>782</v>
      </c>
    </row>
    <row r="9" spans="1:50" s="51" customFormat="1" x14ac:dyDescent="0.25">
      <c r="D9" s="120" t="s">
        <v>772</v>
      </c>
      <c r="E9" s="125">
        <v>25693</v>
      </c>
      <c r="F9" s="122"/>
      <c r="G9" s="125">
        <v>23765</v>
      </c>
      <c r="H9" s="122"/>
      <c r="I9" s="122"/>
      <c r="J9" s="122"/>
      <c r="L9" s="20"/>
      <c r="S9" s="73"/>
      <c r="AX9" s="51" t="s">
        <v>783</v>
      </c>
    </row>
    <row r="10" spans="1:50" x14ac:dyDescent="0.25">
      <c r="D10" s="122" t="s">
        <v>771</v>
      </c>
      <c r="E10" s="128">
        <f>E8/E9</f>
        <v>1.3600667298096758</v>
      </c>
      <c r="F10" s="122"/>
      <c r="G10" s="128">
        <f>G8/G9</f>
        <v>1.4796128760782663</v>
      </c>
      <c r="H10" s="122"/>
      <c r="I10" s="122"/>
      <c r="J10" s="122"/>
      <c r="K10" s="122" t="s">
        <v>113</v>
      </c>
      <c r="L10" s="126">
        <f>PrilimTable!E81</f>
        <v>0.48110000000000003</v>
      </c>
      <c r="M10" s="51"/>
      <c r="N10" s="51"/>
      <c r="O10" s="51"/>
      <c r="P10" s="51"/>
      <c r="AX10" s="51"/>
    </row>
    <row r="11" spans="1:50" s="51" customFormat="1" x14ac:dyDescent="0.25">
      <c r="C11" s="59"/>
      <c r="D11" s="129" t="s">
        <v>493</v>
      </c>
      <c r="E11" s="127">
        <f>RSQ(G15:G66,E15:E66)</f>
        <v>0.84828723578261178</v>
      </c>
      <c r="F11" s="122"/>
      <c r="G11" s="122"/>
      <c r="H11" s="122"/>
      <c r="I11" s="122"/>
      <c r="J11" s="122"/>
      <c r="AX11" s="51" t="s">
        <v>784</v>
      </c>
    </row>
    <row r="12" spans="1:50" x14ac:dyDescent="0.25">
      <c r="B12" s="4" t="s">
        <v>490</v>
      </c>
      <c r="I12" s="13"/>
      <c r="J12" s="13"/>
      <c r="X12" s="4" t="s">
        <v>492</v>
      </c>
      <c r="AX12" s="51" t="s">
        <v>785</v>
      </c>
    </row>
    <row r="13" spans="1:50" x14ac:dyDescent="0.25">
      <c r="B13" s="7"/>
      <c r="C13" s="7"/>
      <c r="D13" s="7"/>
      <c r="E13" s="135" t="s">
        <v>0</v>
      </c>
      <c r="F13" s="135"/>
      <c r="G13" s="136" t="s">
        <v>1</v>
      </c>
      <c r="H13" s="136"/>
      <c r="I13" s="134" t="s">
        <v>769</v>
      </c>
      <c r="J13" s="134"/>
      <c r="L13" s="85"/>
      <c r="M13" s="39"/>
      <c r="X13" s="7"/>
      <c r="Y13" s="7"/>
      <c r="Z13" s="7"/>
      <c r="AA13" s="135" t="s">
        <v>0</v>
      </c>
      <c r="AB13" s="135"/>
      <c r="AC13" s="136" t="str">
        <f>G13</f>
        <v>ABM</v>
      </c>
      <c r="AD13" s="136"/>
      <c r="AE13" s="134" t="s">
        <v>769</v>
      </c>
      <c r="AF13" s="134"/>
      <c r="AX13" s="51" t="s">
        <v>786</v>
      </c>
    </row>
    <row r="14" spans="1:50" x14ac:dyDescent="0.25">
      <c r="A14" t="s">
        <v>36</v>
      </c>
      <c r="B14" s="80" t="s">
        <v>95</v>
      </c>
      <c r="C14" s="6" t="s">
        <v>94</v>
      </c>
      <c r="D14" s="6" t="s">
        <v>93</v>
      </c>
      <c r="E14" s="47" t="s">
        <v>38</v>
      </c>
      <c r="F14" s="47" t="s">
        <v>3</v>
      </c>
      <c r="G14" s="36" t="s">
        <v>38</v>
      </c>
      <c r="H14" s="36" t="s">
        <v>3</v>
      </c>
      <c r="I14" s="116" t="s">
        <v>766</v>
      </c>
      <c r="J14" s="116" t="s">
        <v>768</v>
      </c>
      <c r="L14" s="85"/>
      <c r="M14" s="86"/>
      <c r="X14" s="6" t="s">
        <v>95</v>
      </c>
      <c r="Y14" s="6" t="s">
        <v>94</v>
      </c>
      <c r="Z14" s="6" t="s">
        <v>93</v>
      </c>
      <c r="AA14" s="47" t="s">
        <v>38</v>
      </c>
      <c r="AB14" s="47" t="s">
        <v>3</v>
      </c>
      <c r="AC14" s="36" t="s">
        <v>38</v>
      </c>
      <c r="AD14" s="36" t="s">
        <v>3</v>
      </c>
      <c r="AE14" s="116" t="s">
        <v>766</v>
      </c>
      <c r="AF14" s="116" t="s">
        <v>768</v>
      </c>
      <c r="AG14" t="s">
        <v>110</v>
      </c>
      <c r="AX14" s="51" t="s">
        <v>787</v>
      </c>
    </row>
    <row r="15" spans="1:50" x14ac:dyDescent="0.25">
      <c r="A15">
        <f>VLOOKUP($C15,PrilimTable!$O:$U,7,FALSE)</f>
        <v>1</v>
      </c>
      <c r="B15">
        <v>1</v>
      </c>
      <c r="C15">
        <f>B15</f>
        <v>1</v>
      </c>
      <c r="D15" t="str">
        <f>VLOOKUP($C15,PrilimTable!$O:$T,2,FALSE)</f>
        <v>Rte 1 100 Oaks</v>
      </c>
      <c r="E15" s="45">
        <f>SUMIF(PrilimTable!$N$4:$N$100,B15,PrilimTable!$Q$4:$Q$100)</f>
        <v>118.9</v>
      </c>
      <c r="F15" s="76">
        <f t="shared" ref="F15:F46" si="3">E15/$E$67</f>
        <v>3.4025680585491325E-3</v>
      </c>
      <c r="G15" s="35">
        <f>SUMIF(PrilimTable!$O$4:$O$100,C15,PrilimTable!$S$4:$S$100)</f>
        <v>203</v>
      </c>
      <c r="H15" s="78">
        <f t="shared" ref="H15:H46" si="4">G15/$G$67</f>
        <v>5.7731137843756225E-3</v>
      </c>
      <c r="I15" s="55">
        <f>G15-E15</f>
        <v>84.1</v>
      </c>
      <c r="J15" s="100">
        <f>I15/E15</f>
        <v>0.70731707317073167</v>
      </c>
      <c r="L15" s="87"/>
      <c r="M15" s="88"/>
      <c r="N15" s="53"/>
      <c r="X15" s="51">
        <v>15</v>
      </c>
      <c r="Y15" s="51">
        <v>15</v>
      </c>
      <c r="Z15" t="str">
        <f t="shared" ref="Z15:Z46" si="5">VLOOKUP(Y15,$C$14:$D$67,2,FALSE)</f>
        <v>Rte 15 Murfreesboro Rd</v>
      </c>
      <c r="AA15" s="45">
        <f>SUMIF(PrilimTable!$N$4:$N$100,X15,PrilimTable!$Q$4:$Q$100)</f>
        <v>3429.7</v>
      </c>
      <c r="AB15" s="46">
        <f t="shared" ref="AB15:AB46" si="6">AA15/$E$67</f>
        <v>9.8147919852026561E-2</v>
      </c>
      <c r="AC15" s="35">
        <f>SUMIF(PrilimTable!$O$4:$O$100,Y15,PrilimTable!$S$4:$S$100)</f>
        <v>3467</v>
      </c>
      <c r="AD15" s="44">
        <f t="shared" ref="AD15:AD46" si="7">AC15/$G$67</f>
        <v>9.8597958080937353E-2</v>
      </c>
      <c r="AE15" s="55">
        <f>AC15-AA15</f>
        <v>37.300000000000182</v>
      </c>
      <c r="AF15" s="100">
        <f>AE15/AA15</f>
        <v>1.0875586786016323E-2</v>
      </c>
      <c r="AG15">
        <v>100</v>
      </c>
      <c r="AX15" s="51"/>
    </row>
    <row r="16" spans="1:50" x14ac:dyDescent="0.25">
      <c r="A16" s="51">
        <f>VLOOKUP($C16,PrilimTable!$O:$U,7,FALSE)</f>
        <v>1</v>
      </c>
      <c r="B16">
        <v>2</v>
      </c>
      <c r="C16" s="51">
        <f t="shared" ref="C16:C66" si="8">B16</f>
        <v>2</v>
      </c>
      <c r="D16" s="51" t="str">
        <f>VLOOKUP($C16,PrilimTable!$O:$T,2,FALSE)</f>
        <v>Rte 2 Belmont</v>
      </c>
      <c r="E16" s="45">
        <f>SUMIF(PrilimTable!$N$4:$N$100,B16,PrilimTable!$Q$4:$Q$100)</f>
        <v>197.60000000000002</v>
      </c>
      <c r="F16" s="76">
        <f t="shared" si="3"/>
        <v>5.6547304320379195E-3</v>
      </c>
      <c r="G16" s="35">
        <f>SUMIF(PrilimTable!$O$4:$O$100,C16,PrilimTable!$S$4:$S$100)</f>
        <v>379</v>
      </c>
      <c r="H16" s="78">
        <f t="shared" si="4"/>
        <v>1.0778374996445126E-2</v>
      </c>
      <c r="I16" s="55">
        <f t="shared" ref="I16:I59" si="9">G16-E16</f>
        <v>181.39999999999998</v>
      </c>
      <c r="J16" s="100">
        <f t="shared" ref="J16:J67" si="10">I16/E16</f>
        <v>0.91801619433198356</v>
      </c>
      <c r="L16" s="87"/>
      <c r="M16" s="88"/>
      <c r="X16" s="51">
        <v>56</v>
      </c>
      <c r="Y16" s="51">
        <v>56</v>
      </c>
      <c r="Z16" s="51" t="str">
        <f t="shared" si="5"/>
        <v>Rte 56 Gallatin Rd BRT</v>
      </c>
      <c r="AA16" s="45">
        <f>SUMIF(PrilimTable!$N$4:$N$100,X16,PrilimTable!$Q$4:$Q$100)</f>
        <v>2559.3000000000002</v>
      </c>
      <c r="AB16" s="46">
        <f t="shared" si="6"/>
        <v>7.3239633576491131E-2</v>
      </c>
      <c r="AC16" s="35">
        <f>SUMIF(PrilimTable!$O$4:$O$100,Y16,PrilimTable!$S$4:$S$100)</f>
        <v>2716</v>
      </c>
      <c r="AD16" s="44">
        <f t="shared" si="7"/>
        <v>7.7240280977163497E-2</v>
      </c>
      <c r="AE16" s="55">
        <f t="shared" ref="AE16:AE66" si="11">AC16-AA16</f>
        <v>156.69999999999982</v>
      </c>
      <c r="AF16" s="100">
        <f t="shared" ref="AF16:AF67" si="12">AE16/AA16</f>
        <v>6.1227679443597784E-2</v>
      </c>
      <c r="AG16">
        <v>200</v>
      </c>
      <c r="AX16" s="51" t="s">
        <v>788</v>
      </c>
    </row>
    <row r="17" spans="1:50" x14ac:dyDescent="0.25">
      <c r="A17" s="51">
        <f>VLOOKUP($C17,PrilimTable!$O:$U,7,FALSE)</f>
        <v>1</v>
      </c>
      <c r="B17">
        <v>3</v>
      </c>
      <c r="C17" s="51">
        <f t="shared" si="8"/>
        <v>3</v>
      </c>
      <c r="D17" s="51" t="str">
        <f>VLOOKUP($C17,PrilimTable!$O:$T,2,FALSE)</f>
        <v>Rte 3 West End (White Bridge)</v>
      </c>
      <c r="E17" s="45">
        <f>SUMIF(PrilimTable!$N$4:$N$100,B17,PrilimTable!$Q$4:$Q$100)</f>
        <v>1215.9499999999998</v>
      </c>
      <c r="F17" s="76">
        <f t="shared" si="3"/>
        <v>3.4796910267391228E-2</v>
      </c>
      <c r="G17" s="35">
        <f>SUMIF(PrilimTable!$O$4:$O$100,C17,PrilimTable!$S$4:$S$100)</f>
        <v>2227</v>
      </c>
      <c r="H17" s="78">
        <f t="shared" si="4"/>
        <v>6.3333617723174931E-2</v>
      </c>
      <c r="I17" s="55">
        <f t="shared" si="9"/>
        <v>1011.0500000000002</v>
      </c>
      <c r="J17" s="100">
        <f t="shared" si="10"/>
        <v>0.83148978165220633</v>
      </c>
      <c r="L17" s="87"/>
      <c r="M17" s="88"/>
      <c r="N17" s="53"/>
      <c r="X17" s="51">
        <v>52</v>
      </c>
      <c r="Y17" s="51">
        <v>52</v>
      </c>
      <c r="Z17" s="51" t="str">
        <f t="shared" si="5"/>
        <v>Rte 12 Nolensville Rd (Hick)</v>
      </c>
      <c r="AA17" s="45">
        <f>SUMIF(PrilimTable!$N$4:$N$100,X17,PrilimTable!$Q$4:$Q$100)</f>
        <v>2496.4</v>
      </c>
      <c r="AB17" s="46">
        <f t="shared" si="6"/>
        <v>7.1439620701110637E-2</v>
      </c>
      <c r="AC17" s="35">
        <f>SUMIF(PrilimTable!$O$4:$O$100,Y17,PrilimTable!$S$4:$S$100)</f>
        <v>2376</v>
      </c>
      <c r="AD17" s="44">
        <f t="shared" si="7"/>
        <v>6.7571026362938311E-2</v>
      </c>
      <c r="AE17" s="55">
        <f t="shared" si="11"/>
        <v>-120.40000000000009</v>
      </c>
      <c r="AF17" s="100">
        <f t="shared" si="12"/>
        <v>-4.8229450408588399E-2</v>
      </c>
      <c r="AG17" s="51">
        <v>300</v>
      </c>
      <c r="AX17" s="51" t="s">
        <v>789</v>
      </c>
    </row>
    <row r="18" spans="1:50" x14ac:dyDescent="0.25">
      <c r="A18" s="51">
        <f>VLOOKUP($C18,PrilimTable!$O:$U,7,FALSE)</f>
        <v>1</v>
      </c>
      <c r="B18">
        <v>4</v>
      </c>
      <c r="C18" s="51">
        <f t="shared" si="8"/>
        <v>4</v>
      </c>
      <c r="D18" s="51" t="str">
        <f>VLOOKUP($C18,PrilimTable!$O:$T,2,FALSE)</f>
        <v>Rte 4 Shelby</v>
      </c>
      <c r="E18" s="45">
        <f>SUMIF(PrilimTable!$N$4:$N$100,B18,PrilimTable!$Q$4:$Q$100)</f>
        <v>1248.0999999999999</v>
      </c>
      <c r="F18" s="76">
        <f t="shared" si="3"/>
        <v>3.5716948644871085E-2</v>
      </c>
      <c r="G18" s="35">
        <f>SUMIF(PrilimTable!$O$4:$O$100,C18,PrilimTable!$S$4:$S$100)</f>
        <v>1112</v>
      </c>
      <c r="H18" s="78">
        <f t="shared" si="4"/>
        <v>3.1624150385348236E-2</v>
      </c>
      <c r="I18" s="55">
        <f t="shared" si="9"/>
        <v>-136.09999999999991</v>
      </c>
      <c r="J18" s="100">
        <f t="shared" si="10"/>
        <v>-0.10904574953929967</v>
      </c>
      <c r="L18" s="87"/>
      <c r="M18" s="88"/>
      <c r="X18" s="51">
        <v>10</v>
      </c>
      <c r="Y18" s="51">
        <v>10</v>
      </c>
      <c r="Z18" s="51" t="str">
        <f t="shared" si="5"/>
        <v>Rte 10 Charlotte</v>
      </c>
      <c r="AA18" s="45">
        <f>SUMIF(PrilimTable!$N$4:$N$100,X18,PrilimTable!$Q$4:$Q$100)</f>
        <v>2144.85</v>
      </c>
      <c r="AB18" s="46">
        <f t="shared" si="6"/>
        <v>6.1379294368201061E-2</v>
      </c>
      <c r="AC18" s="35">
        <f>SUMIF(PrilimTable!$O$4:$O$100,Y18,PrilimTable!$S$4:$S$100)</f>
        <v>2233</v>
      </c>
      <c r="AD18" s="44">
        <f t="shared" si="7"/>
        <v>6.350425162813185E-2</v>
      </c>
      <c r="AE18" s="55">
        <f t="shared" si="11"/>
        <v>88.150000000000091</v>
      </c>
      <c r="AF18" s="100">
        <f t="shared" si="12"/>
        <v>4.1098445112711886E-2</v>
      </c>
      <c r="AG18" s="51">
        <v>400</v>
      </c>
      <c r="AX18" s="51" t="s">
        <v>790</v>
      </c>
    </row>
    <row r="19" spans="1:50" x14ac:dyDescent="0.25">
      <c r="A19" s="51">
        <f>VLOOKUP($C19,PrilimTable!$O:$U,7,FALSE)</f>
        <v>1</v>
      </c>
      <c r="B19">
        <v>5</v>
      </c>
      <c r="C19" s="51">
        <f t="shared" si="8"/>
        <v>5</v>
      </c>
      <c r="D19" s="51" t="str">
        <f>VLOOKUP($C19,PrilimTable!$O:$T,2,FALSE)</f>
        <v>Rte 5 West End (Bellevue)</v>
      </c>
      <c r="E19" s="45">
        <f>SUMIF(PrilimTable!$N$4:$N$100,B19,PrilimTable!$Q$4:$Q$100)</f>
        <v>1189.05</v>
      </c>
      <c r="F19" s="76">
        <f t="shared" si="3"/>
        <v>3.4027111438333438E-2</v>
      </c>
      <c r="G19" s="35">
        <f>SUMIF(PrilimTable!$O$4:$O$100,C19,PrilimTable!$S$4:$S$100)</f>
        <v>2356</v>
      </c>
      <c r="H19" s="78">
        <f t="shared" si="4"/>
        <v>6.7002246679748606E-2</v>
      </c>
      <c r="I19" s="55">
        <f t="shared" si="9"/>
        <v>1166.95</v>
      </c>
      <c r="J19" s="100">
        <f t="shared" si="10"/>
        <v>0.98141373365291629</v>
      </c>
      <c r="L19" s="87"/>
      <c r="M19" s="88"/>
      <c r="X19" s="51">
        <v>23</v>
      </c>
      <c r="Y19" s="51">
        <v>23</v>
      </c>
      <c r="Z19" s="51" t="str">
        <f t="shared" si="5"/>
        <v>Rte 23 Dickerson Rd Loop1</v>
      </c>
      <c r="AA19" s="45">
        <f>SUMIF(PrilimTable!$N$4:$N$100,X19,PrilimTable!$Q$4:$Q$100)</f>
        <v>1756.7</v>
      </c>
      <c r="AB19" s="46">
        <f t="shared" si="6"/>
        <v>5.0271583754863423E-2</v>
      </c>
      <c r="AC19" s="35">
        <f>SUMIF(PrilimTable!$O$4:$O$100,Y19,PrilimTable!$S$4:$S$100)</f>
        <v>1186</v>
      </c>
      <c r="AD19" s="44">
        <f t="shared" si="7"/>
        <v>3.3728635213150185E-2</v>
      </c>
      <c r="AE19" s="55">
        <f t="shared" si="11"/>
        <v>-570.70000000000005</v>
      </c>
      <c r="AF19" s="100">
        <f t="shared" si="12"/>
        <v>-0.32487049581601868</v>
      </c>
      <c r="AG19" s="51">
        <v>500</v>
      </c>
      <c r="AX19" s="51" t="s">
        <v>791</v>
      </c>
    </row>
    <row r="20" spans="1:50" x14ac:dyDescent="0.25">
      <c r="A20" s="51">
        <f>VLOOKUP($C20,PrilimTable!$O:$U,7,FALSE)</f>
        <v>1</v>
      </c>
      <c r="B20">
        <v>6</v>
      </c>
      <c r="C20" s="51">
        <f t="shared" si="8"/>
        <v>6</v>
      </c>
      <c r="D20" s="51" t="str">
        <f>VLOOKUP($C20,PrilimTable!$O:$T,2,FALSE)</f>
        <v>Rte 6 Lebanon Rd</v>
      </c>
      <c r="E20" s="45">
        <f>SUMIF(PrilimTable!$N$4:$N$100,B20,PrilimTable!$Q$4:$Q$100)</f>
        <v>870.15</v>
      </c>
      <c r="F20" s="76">
        <f t="shared" si="3"/>
        <v>2.4901132011324874E-2</v>
      </c>
      <c r="G20" s="35">
        <f>SUMIF(PrilimTable!$O$4:$O$100,C20,PrilimTable!$S$4:$S$100)</f>
        <v>914</v>
      </c>
      <c r="H20" s="78">
        <f t="shared" si="4"/>
        <v>2.5993231521770042E-2</v>
      </c>
      <c r="I20" s="55">
        <f t="shared" si="9"/>
        <v>43.850000000000023</v>
      </c>
      <c r="J20" s="100">
        <f t="shared" si="10"/>
        <v>5.0393610297075245E-2</v>
      </c>
      <c r="L20" s="87"/>
      <c r="M20" s="88"/>
      <c r="N20" s="53"/>
      <c r="X20" s="51">
        <v>22</v>
      </c>
      <c r="Y20" s="51">
        <v>22</v>
      </c>
      <c r="Z20" s="51" t="str">
        <f t="shared" si="5"/>
        <v>Rte 22 Bordeaux (Panaroma)</v>
      </c>
      <c r="AA20" s="45">
        <f>SUMIF(PrilimTable!$N$4:$N$100,X20,PrilimTable!$Q$4:$Q$100)</f>
        <v>1605.4</v>
      </c>
      <c r="AB20" s="46">
        <f t="shared" si="6"/>
        <v>4.5941823054623861E-2</v>
      </c>
      <c r="AC20" s="35">
        <f>SUMIF(PrilimTable!$O$4:$O$100,Y20,PrilimTable!$S$4:$S$100)</f>
        <v>1364</v>
      </c>
      <c r="AD20" s="44">
        <f t="shared" si="7"/>
        <v>3.879077439353866E-2</v>
      </c>
      <c r="AE20" s="55">
        <f t="shared" si="11"/>
        <v>-241.40000000000009</v>
      </c>
      <c r="AF20" s="100">
        <f t="shared" si="12"/>
        <v>-0.15036750965491472</v>
      </c>
      <c r="AG20" s="51">
        <v>600</v>
      </c>
    </row>
    <row r="21" spans="1:50" x14ac:dyDescent="0.25">
      <c r="A21" s="51">
        <f>VLOOKUP($C21,PrilimTable!$O:$U,7,FALSE)</f>
        <v>1</v>
      </c>
      <c r="B21">
        <v>7</v>
      </c>
      <c r="C21" s="51">
        <f t="shared" si="8"/>
        <v>7</v>
      </c>
      <c r="D21" s="51" t="str">
        <f>VLOOKUP($C21,PrilimTable!$O:$T,2,FALSE)</f>
        <v>Rte 7 Hillsboro</v>
      </c>
      <c r="E21" s="45">
        <f>SUMIF(PrilimTable!$N$4:$N$100,B21,PrilimTable!$Q$4:$Q$100)</f>
        <v>1508.6</v>
      </c>
      <c r="F21" s="76">
        <f t="shared" si="3"/>
        <v>4.3171691952289495E-2</v>
      </c>
      <c r="G21" s="35">
        <f>SUMIF(PrilimTable!$O$4:$O$100,C21,PrilimTable!$S$4:$S$100)</f>
        <v>1574</v>
      </c>
      <c r="H21" s="78">
        <f t="shared" si="4"/>
        <v>4.4762961067030684E-2</v>
      </c>
      <c r="I21" s="55">
        <f t="shared" si="9"/>
        <v>65.400000000000091</v>
      </c>
      <c r="J21" s="100">
        <f t="shared" si="10"/>
        <v>4.3351451677051636E-2</v>
      </c>
      <c r="L21" s="87"/>
      <c r="M21" s="88"/>
      <c r="X21" s="51">
        <v>7</v>
      </c>
      <c r="Y21" s="51">
        <v>7</v>
      </c>
      <c r="Z21" s="51" t="str">
        <f t="shared" si="5"/>
        <v>Rte 7 Hillsboro</v>
      </c>
      <c r="AA21" s="45">
        <f>SUMIF(PrilimTable!$N$4:$N$100,X21,PrilimTable!$Q$4:$Q$100)</f>
        <v>1508.6</v>
      </c>
      <c r="AB21" s="46">
        <f t="shared" si="6"/>
        <v>4.3171691952289495E-2</v>
      </c>
      <c r="AC21" s="35">
        <f>SUMIF(PrilimTable!$O$4:$O$100,Y21,PrilimTable!$S$4:$S$100)</f>
        <v>1574</v>
      </c>
      <c r="AD21" s="44">
        <f t="shared" si="7"/>
        <v>4.4762961067030684E-2</v>
      </c>
      <c r="AE21" s="55">
        <f t="shared" si="11"/>
        <v>65.400000000000091</v>
      </c>
      <c r="AF21" s="100">
        <f t="shared" si="12"/>
        <v>4.3351451677051636E-2</v>
      </c>
      <c r="AG21" s="51">
        <v>700</v>
      </c>
    </row>
    <row r="22" spans="1:50" x14ac:dyDescent="0.25">
      <c r="A22" s="51">
        <f>VLOOKUP($C22,PrilimTable!$O:$U,7,FALSE)</f>
        <v>1</v>
      </c>
      <c r="B22">
        <v>8</v>
      </c>
      <c r="C22" s="51">
        <f t="shared" si="8"/>
        <v>8</v>
      </c>
      <c r="D22" s="51" t="str">
        <f>VLOOKUP($C22,PrilimTable!$O:$T,2,FALSE)</f>
        <v>Rte 8 8th Avenue South</v>
      </c>
      <c r="E22" s="45">
        <f>SUMIF(PrilimTable!$N$4:$N$100,B22,PrilimTable!$Q$4:$Q$100)</f>
        <v>569.40000000000009</v>
      </c>
      <c r="F22" s="76">
        <f t="shared" si="3"/>
        <v>1.6294552166004006E-2</v>
      </c>
      <c r="G22" s="35">
        <f>SUMIF(PrilimTable!$O$4:$O$100,C22,PrilimTable!$S$4:$S$100)</f>
        <v>728</v>
      </c>
      <c r="H22" s="78">
        <f t="shared" si="4"/>
        <v>2.0703580468105678E-2</v>
      </c>
      <c r="I22" s="55">
        <f t="shared" si="9"/>
        <v>158.59999999999991</v>
      </c>
      <c r="J22" s="100">
        <f t="shared" si="10"/>
        <v>0.27853881278538795</v>
      </c>
      <c r="L22" s="87"/>
      <c r="M22" s="88"/>
      <c r="X22" s="51">
        <v>4</v>
      </c>
      <c r="Y22" s="51">
        <v>4</v>
      </c>
      <c r="Z22" s="51" t="str">
        <f t="shared" si="5"/>
        <v>Rte 4 Shelby</v>
      </c>
      <c r="AA22" s="45">
        <f>SUMIF(PrilimTable!$N$4:$N$100,X22,PrilimTable!$Q$4:$Q$100)</f>
        <v>1248.0999999999999</v>
      </c>
      <c r="AB22" s="46">
        <f t="shared" si="6"/>
        <v>3.5716948644871085E-2</v>
      </c>
      <c r="AC22" s="35">
        <f>SUMIF(PrilimTable!$O$4:$O$100,Y22,PrilimTable!$S$4:$S$100)</f>
        <v>1112</v>
      </c>
      <c r="AD22" s="44">
        <f t="shared" si="7"/>
        <v>3.1624150385348236E-2</v>
      </c>
      <c r="AE22" s="55">
        <f t="shared" si="11"/>
        <v>-136.09999999999991</v>
      </c>
      <c r="AF22" s="100">
        <f t="shared" si="12"/>
        <v>-0.10904574953929967</v>
      </c>
      <c r="AG22" s="51">
        <v>800</v>
      </c>
    </row>
    <row r="23" spans="1:50" x14ac:dyDescent="0.25">
      <c r="A23" s="51">
        <f>VLOOKUP($C23,PrilimTable!$O:$U,7,FALSE)</f>
        <v>1</v>
      </c>
      <c r="B23">
        <v>9</v>
      </c>
      <c r="C23" s="51">
        <f t="shared" si="8"/>
        <v>9</v>
      </c>
      <c r="D23" s="51" t="str">
        <f>VLOOKUP($C23,PrilimTable!$O:$T,2,FALSE)</f>
        <v>Rte 9 MetroCenter</v>
      </c>
      <c r="E23" s="45">
        <f>SUMIF(PrilimTable!$N$4:$N$100,B23,PrilimTable!$Q$4:$Q$100)</f>
        <v>572.09999999999991</v>
      </c>
      <c r="F23" s="76">
        <f t="shared" si="3"/>
        <v>1.6371818219478203E-2</v>
      </c>
      <c r="G23" s="35">
        <f>SUMIF(PrilimTable!$O$4:$O$100,C23,PrilimTable!$S$4:$S$100)</f>
        <v>476</v>
      </c>
      <c r="H23" s="78">
        <f t="shared" si="4"/>
        <v>1.3536956459915251E-2</v>
      </c>
      <c r="I23" s="55">
        <f t="shared" si="9"/>
        <v>-96.099999999999909</v>
      </c>
      <c r="J23" s="100">
        <f t="shared" si="10"/>
        <v>-0.16797762628911017</v>
      </c>
      <c r="L23" s="87"/>
      <c r="M23" s="88"/>
      <c r="X23" s="51">
        <v>3</v>
      </c>
      <c r="Y23" s="51">
        <v>3</v>
      </c>
      <c r="Z23" s="51" t="str">
        <f t="shared" si="5"/>
        <v>Rte 3 West End (White Bridge)</v>
      </c>
      <c r="AA23" s="45">
        <f>SUMIF(PrilimTable!$N$4:$N$100,X23,PrilimTable!$Q$4:$Q$100)</f>
        <v>1215.9499999999998</v>
      </c>
      <c r="AB23" s="46">
        <f t="shared" si="6"/>
        <v>3.4796910267391228E-2</v>
      </c>
      <c r="AC23" s="35">
        <f>SUMIF(PrilimTable!$O$4:$O$100,Y23,PrilimTable!$S$4:$S$100)</f>
        <v>2227</v>
      </c>
      <c r="AD23" s="44">
        <f t="shared" si="7"/>
        <v>6.3333617723174931E-2</v>
      </c>
      <c r="AE23" s="55">
        <f t="shared" si="11"/>
        <v>1011.0500000000002</v>
      </c>
      <c r="AF23" s="100">
        <f t="shared" si="12"/>
        <v>0.83148978165220633</v>
      </c>
      <c r="AG23" s="51">
        <v>900</v>
      </c>
    </row>
    <row r="24" spans="1:50" x14ac:dyDescent="0.25">
      <c r="A24" s="51">
        <f>VLOOKUP($C24,PrilimTable!$O:$U,7,FALSE)</f>
        <v>1</v>
      </c>
      <c r="B24">
        <v>10</v>
      </c>
      <c r="C24" s="51">
        <f t="shared" si="8"/>
        <v>10</v>
      </c>
      <c r="D24" s="51" t="str">
        <f>VLOOKUP($C24,PrilimTable!$O:$T,2,FALSE)</f>
        <v>Rte 10 Charlotte</v>
      </c>
      <c r="E24" s="45">
        <f>SUMIF(PrilimTable!$N$4:$N$100,B24,PrilimTable!$Q$4:$Q$100)</f>
        <v>2144.85</v>
      </c>
      <c r="F24" s="76">
        <f t="shared" si="3"/>
        <v>6.1379294368201061E-2</v>
      </c>
      <c r="G24" s="35">
        <f>SUMIF(PrilimTable!$O$4:$O$100,C24,PrilimTable!$S$4:$S$100)</f>
        <v>2233</v>
      </c>
      <c r="H24" s="78">
        <f t="shared" si="4"/>
        <v>6.350425162813185E-2</v>
      </c>
      <c r="I24" s="55">
        <f t="shared" si="9"/>
        <v>88.150000000000091</v>
      </c>
      <c r="J24" s="100">
        <f t="shared" si="10"/>
        <v>4.1098445112711886E-2</v>
      </c>
      <c r="L24" s="87"/>
      <c r="M24" s="88"/>
      <c r="X24" s="51">
        <v>26</v>
      </c>
      <c r="Y24" s="51">
        <v>26</v>
      </c>
      <c r="Z24" s="51" t="str">
        <f t="shared" si="5"/>
        <v>Rte 26 Gallatin Rd</v>
      </c>
      <c r="AA24" s="45">
        <f>SUMIF(PrilimTable!$N$4:$N$100,X24,PrilimTable!$Q$4:$Q$100)</f>
        <v>1203.3000000000002</v>
      </c>
      <c r="AB24" s="46">
        <f t="shared" si="6"/>
        <v>3.443490449833618E-2</v>
      </c>
      <c r="AC24" s="35">
        <f>SUMIF(PrilimTable!$O$4:$O$100,Y24,PrilimTable!$S$4:$S$100)</f>
        <v>768</v>
      </c>
      <c r="AD24" s="44">
        <f t="shared" si="7"/>
        <v>2.1841139834485112E-2</v>
      </c>
      <c r="AE24" s="55">
        <f t="shared" si="11"/>
        <v>-435.30000000000018</v>
      </c>
      <c r="AF24" s="100">
        <f t="shared" si="12"/>
        <v>-0.36175517327349799</v>
      </c>
      <c r="AG24" s="51">
        <v>1000</v>
      </c>
    </row>
    <row r="25" spans="1:50" x14ac:dyDescent="0.25">
      <c r="A25" s="51">
        <f>VLOOKUP($C25,PrilimTable!$O:$U,7,FALSE)</f>
        <v>1</v>
      </c>
      <c r="B25">
        <v>14</v>
      </c>
      <c r="C25" s="51">
        <f t="shared" si="8"/>
        <v>14</v>
      </c>
      <c r="D25" s="51" t="str">
        <f>VLOOKUP($C25,PrilimTable!$O:$T,2,FALSE)</f>
        <v>Rte 14 Whites Creek</v>
      </c>
      <c r="E25" s="45">
        <f>SUMIF(PrilimTable!$N$4:$N$100,B25,PrilimTable!$Q$4:$Q$100)</f>
        <v>599.6</v>
      </c>
      <c r="F25" s="76">
        <f t="shared" si="3"/>
        <v>1.7158787282641377E-2</v>
      </c>
      <c r="G25" s="35">
        <f>SUMIF(PrilimTable!$O$4:$O$100,C25,PrilimTable!$S$4:$S$100)</f>
        <v>508</v>
      </c>
      <c r="H25" s="78">
        <f t="shared" si="4"/>
        <v>1.4447003953018797E-2</v>
      </c>
      <c r="I25" s="55">
        <f t="shared" si="9"/>
        <v>-91.600000000000023</v>
      </c>
      <c r="J25" s="100">
        <f t="shared" si="10"/>
        <v>-0.15276851234156108</v>
      </c>
      <c r="L25" s="87"/>
      <c r="M25" s="88"/>
      <c r="X25" s="51">
        <v>5</v>
      </c>
      <c r="Y25" s="51">
        <v>5</v>
      </c>
      <c r="Z25" s="51" t="str">
        <f t="shared" si="5"/>
        <v>Rte 5 West End (Bellevue)</v>
      </c>
      <c r="AA25" s="45">
        <f>SUMIF(PrilimTable!$N$4:$N$100,X25,PrilimTable!$Q$4:$Q$100)</f>
        <v>1189.05</v>
      </c>
      <c r="AB25" s="46">
        <f t="shared" si="6"/>
        <v>3.4027111438333438E-2</v>
      </c>
      <c r="AC25" s="35">
        <f>SUMIF(PrilimTable!$O$4:$O$100,Y25,PrilimTable!$S$4:$S$100)</f>
        <v>2356</v>
      </c>
      <c r="AD25" s="44">
        <f t="shared" si="7"/>
        <v>6.7002246679748606E-2</v>
      </c>
      <c r="AE25" s="55">
        <f t="shared" si="11"/>
        <v>1166.95</v>
      </c>
      <c r="AF25" s="100">
        <f t="shared" si="12"/>
        <v>0.98141373365291629</v>
      </c>
      <c r="AG25" s="51">
        <v>1100</v>
      </c>
    </row>
    <row r="26" spans="1:50" x14ac:dyDescent="0.25">
      <c r="A26" s="51">
        <f>VLOOKUP($C26,PrilimTable!$O:$U,7,FALSE)</f>
        <v>1</v>
      </c>
      <c r="B26">
        <v>15</v>
      </c>
      <c r="C26" s="51">
        <f t="shared" si="8"/>
        <v>15</v>
      </c>
      <c r="D26" s="51" t="str">
        <f>VLOOKUP($C26,PrilimTable!$O:$T,2,FALSE)</f>
        <v>Rte 15 Murfreesboro Rd</v>
      </c>
      <c r="E26" s="45">
        <f>SUMIF(PrilimTable!$N$4:$N$100,B26,PrilimTable!$Q$4:$Q$100)</f>
        <v>3429.7</v>
      </c>
      <c r="F26" s="76">
        <f t="shared" si="3"/>
        <v>9.8147919852026561E-2</v>
      </c>
      <c r="G26" s="35">
        <f>SUMIF(PrilimTable!$O$4:$O$100,C26,PrilimTable!$S$4:$S$100)</f>
        <v>3467</v>
      </c>
      <c r="H26" s="78">
        <f t="shared" si="4"/>
        <v>9.8597958080937353E-2</v>
      </c>
      <c r="I26" s="55">
        <f t="shared" si="9"/>
        <v>37.300000000000182</v>
      </c>
      <c r="J26" s="100">
        <f t="shared" si="10"/>
        <v>1.0875586786016323E-2</v>
      </c>
      <c r="L26" s="87"/>
      <c r="M26" s="88"/>
      <c r="X26" s="51">
        <v>301</v>
      </c>
      <c r="Y26" s="51">
        <v>301</v>
      </c>
      <c r="Z26" s="51" t="str">
        <f t="shared" si="5"/>
        <v>Rte 301 Music City Star</v>
      </c>
      <c r="AA26" s="45">
        <f>SUMIF(PrilimTable!$N$4:$N$100,X26,PrilimTable!$Q$4:$Q$100)</f>
        <v>1130.8858270000001</v>
      </c>
      <c r="AB26" s="46">
        <f t="shared" si="6"/>
        <v>3.2362623993407232E-2</v>
      </c>
      <c r="AC26" s="35">
        <f>SUMIF(PrilimTable!$O$4:$O$100,Y26,PrilimTable!$S$4:$S$100)</f>
        <v>500</v>
      </c>
      <c r="AD26" s="44">
        <f t="shared" si="7"/>
        <v>1.4219492079742912E-2</v>
      </c>
      <c r="AE26" s="55">
        <f t="shared" si="11"/>
        <v>-630.88582700000006</v>
      </c>
      <c r="AF26" s="100">
        <f t="shared" si="12"/>
        <v>-0.55786871843075991</v>
      </c>
      <c r="AG26" s="51">
        <v>1200</v>
      </c>
    </row>
    <row r="27" spans="1:50" x14ac:dyDescent="0.25">
      <c r="A27" s="51">
        <f>VLOOKUP($C27,PrilimTable!$O:$U,7,FALSE)</f>
        <v>1</v>
      </c>
      <c r="B27">
        <v>17</v>
      </c>
      <c r="C27" s="51">
        <f t="shared" si="8"/>
        <v>17</v>
      </c>
      <c r="D27" s="51" t="str">
        <f>VLOOKUP($C27,PrilimTable!$O:$T,2,FALSE)</f>
        <v>Rte 17 12th Ave South Loop1</v>
      </c>
      <c r="E27" s="45">
        <f>SUMIF(PrilimTable!$N$4:$N$100,B27,PrilimTable!$Q$4:$Q$100)</f>
        <v>798.65000000000009</v>
      </c>
      <c r="F27" s="76">
        <f t="shared" si="3"/>
        <v>2.2855012447100628E-2</v>
      </c>
      <c r="G27" s="35">
        <f>SUMIF(PrilimTable!$O$4:$O$100,C27,PrilimTable!$S$4:$S$100)</f>
        <v>1050</v>
      </c>
      <c r="H27" s="78">
        <f t="shared" si="4"/>
        <v>2.9860933367460114E-2</v>
      </c>
      <c r="I27" s="55">
        <f t="shared" si="9"/>
        <v>251.34999999999991</v>
      </c>
      <c r="J27" s="100">
        <f t="shared" si="10"/>
        <v>0.31471858761660287</v>
      </c>
      <c r="L27" s="87"/>
      <c r="M27" s="88"/>
      <c r="X27" s="51">
        <v>19</v>
      </c>
      <c r="Y27" s="51">
        <v>19</v>
      </c>
      <c r="Z27" s="51" t="str">
        <f t="shared" si="5"/>
        <v>Rte 19 Herman</v>
      </c>
      <c r="AA27" s="45">
        <f>SUMIF(PrilimTable!$N$4:$N$100,X27,PrilimTable!$Q$4:$Q$100)</f>
        <v>1106.3</v>
      </c>
      <c r="AB27" s="46">
        <f t="shared" si="6"/>
        <v>3.1659049984633349E-2</v>
      </c>
      <c r="AC27" s="35">
        <f>SUMIF(PrilimTable!$O$4:$O$100,Y27,PrilimTable!$S$4:$S$100)</f>
        <v>812</v>
      </c>
      <c r="AD27" s="44">
        <f t="shared" si="7"/>
        <v>2.309245513750249E-2</v>
      </c>
      <c r="AE27" s="55">
        <f t="shared" si="11"/>
        <v>-294.29999999999995</v>
      </c>
      <c r="AF27" s="100">
        <f t="shared" si="12"/>
        <v>-0.26602187471752686</v>
      </c>
      <c r="AG27" s="51">
        <v>1300</v>
      </c>
    </row>
    <row r="28" spans="1:50" x14ac:dyDescent="0.25">
      <c r="A28" s="51">
        <f>VLOOKUP($C28,PrilimTable!$O:$U,7,FALSE)</f>
        <v>6</v>
      </c>
      <c r="B28">
        <v>18</v>
      </c>
      <c r="C28" s="51">
        <f t="shared" si="8"/>
        <v>18</v>
      </c>
      <c r="D28" s="51" t="str">
        <f>VLOOKUP($C28,PrilimTable!$O:$T,2,FALSE)</f>
        <v>Rte 18 Airport Exp</v>
      </c>
      <c r="E28" s="45">
        <f>SUMIF(PrilimTable!$N$4:$N$100,B28,PrilimTable!$Q$4:$Q$100)</f>
        <v>377.1</v>
      </c>
      <c r="F28" s="76">
        <f t="shared" si="3"/>
        <v>1.0791492135230259E-2</v>
      </c>
      <c r="G28" s="35">
        <f>SUMIF(PrilimTable!$O$4:$O$100,C28,PrilimTable!$S$4:$S$100)</f>
        <v>451</v>
      </c>
      <c r="H28" s="78">
        <f t="shared" si="4"/>
        <v>1.2825981855928106E-2</v>
      </c>
      <c r="I28" s="55">
        <f t="shared" si="9"/>
        <v>73.899999999999977</v>
      </c>
      <c r="J28" s="100">
        <f t="shared" si="10"/>
        <v>0.19596923892866605</v>
      </c>
      <c r="L28" s="87"/>
      <c r="M28" s="88"/>
      <c r="X28" s="51">
        <v>6</v>
      </c>
      <c r="Y28" s="51">
        <v>6</v>
      </c>
      <c r="Z28" s="51" t="str">
        <f t="shared" si="5"/>
        <v>Rte 6 Lebanon Rd</v>
      </c>
      <c r="AA28" s="45">
        <f>SUMIF(PrilimTable!$N$4:$N$100,X28,PrilimTable!$Q$4:$Q$100)</f>
        <v>870.15</v>
      </c>
      <c r="AB28" s="46">
        <f t="shared" si="6"/>
        <v>2.4901132011324874E-2</v>
      </c>
      <c r="AC28" s="35">
        <f>SUMIF(PrilimTable!$O$4:$O$100,Y28,PrilimTable!$S$4:$S$100)</f>
        <v>914</v>
      </c>
      <c r="AD28" s="44">
        <f t="shared" si="7"/>
        <v>2.5993231521770042E-2</v>
      </c>
      <c r="AE28" s="55">
        <f t="shared" si="11"/>
        <v>43.850000000000023</v>
      </c>
      <c r="AF28" s="100">
        <f t="shared" si="12"/>
        <v>5.0393610297075245E-2</v>
      </c>
      <c r="AG28" s="51">
        <v>1400</v>
      </c>
    </row>
    <row r="29" spans="1:50" x14ac:dyDescent="0.25">
      <c r="A29" s="51">
        <f>VLOOKUP($C29,PrilimTable!$O:$U,7,FALSE)</f>
        <v>1</v>
      </c>
      <c r="B29">
        <v>19</v>
      </c>
      <c r="C29" s="51">
        <f t="shared" si="8"/>
        <v>19</v>
      </c>
      <c r="D29" s="51" t="str">
        <f>VLOOKUP($C29,PrilimTable!$O:$T,2,FALSE)</f>
        <v>Rte 19 Herman</v>
      </c>
      <c r="E29" s="45">
        <f>SUMIF(PrilimTable!$N$4:$N$100,B29,PrilimTable!$Q$4:$Q$100)</f>
        <v>1106.3</v>
      </c>
      <c r="F29" s="76">
        <f t="shared" si="3"/>
        <v>3.1659049984633349E-2</v>
      </c>
      <c r="G29" s="35">
        <f>SUMIF(PrilimTable!$O$4:$O$100,C29,PrilimTable!$S$4:$S$100)</f>
        <v>812</v>
      </c>
      <c r="H29" s="78">
        <f t="shared" si="4"/>
        <v>2.309245513750249E-2</v>
      </c>
      <c r="I29" s="55">
        <f t="shared" si="9"/>
        <v>-294.29999999999995</v>
      </c>
      <c r="J29" s="100">
        <f t="shared" si="10"/>
        <v>-0.26602187471752686</v>
      </c>
      <c r="L29" s="87"/>
      <c r="M29" s="88"/>
      <c r="X29" s="51">
        <v>17</v>
      </c>
      <c r="Y29" s="51">
        <v>17</v>
      </c>
      <c r="Z29" s="51" t="str">
        <f t="shared" si="5"/>
        <v>Rte 17 12th Ave South Loop1</v>
      </c>
      <c r="AA29" s="45">
        <f>SUMIF(PrilimTable!$N$4:$N$100,X29,PrilimTable!$Q$4:$Q$100)</f>
        <v>798.65000000000009</v>
      </c>
      <c r="AB29" s="46">
        <f t="shared" si="6"/>
        <v>2.2855012447100628E-2</v>
      </c>
      <c r="AC29" s="35">
        <f>SUMIF(PrilimTable!$O$4:$O$100,Y29,PrilimTable!$S$4:$S$100)</f>
        <v>1050</v>
      </c>
      <c r="AD29" s="44">
        <f t="shared" si="7"/>
        <v>2.9860933367460114E-2</v>
      </c>
      <c r="AE29" s="55">
        <f t="shared" si="11"/>
        <v>251.34999999999991</v>
      </c>
      <c r="AF29" s="100">
        <f t="shared" si="12"/>
        <v>0.31471858761660287</v>
      </c>
      <c r="AG29" s="51">
        <v>1500</v>
      </c>
    </row>
    <row r="30" spans="1:50" x14ac:dyDescent="0.25">
      <c r="A30" s="51">
        <f>VLOOKUP($C30,PrilimTable!$O:$U,7,FALSE)</f>
        <v>1</v>
      </c>
      <c r="B30">
        <v>20</v>
      </c>
      <c r="C30" s="51">
        <f t="shared" si="8"/>
        <v>20</v>
      </c>
      <c r="D30" s="51" t="str">
        <f>VLOOKUP($C30,PrilimTable!$O:$T,2,FALSE)</f>
        <v>Rte 20 Scott</v>
      </c>
      <c r="E30" s="45">
        <f>SUMIF(PrilimTable!$N$4:$N$100,B30,PrilimTable!$Q$4:$Q$100)</f>
        <v>314.64999999999998</v>
      </c>
      <c r="F30" s="76">
        <f t="shared" si="3"/>
        <v>9.0043569354288002E-3</v>
      </c>
      <c r="G30" s="35">
        <f>SUMIF(PrilimTable!$O$4:$O$100,C30,PrilimTable!$S$4:$S$100)</f>
        <v>529</v>
      </c>
      <c r="H30" s="78">
        <f t="shared" si="4"/>
        <v>1.5044222620368001E-2</v>
      </c>
      <c r="I30" s="55">
        <f t="shared" si="9"/>
        <v>214.35000000000002</v>
      </c>
      <c r="J30" s="100">
        <f t="shared" si="10"/>
        <v>0.68123311616081372</v>
      </c>
      <c r="L30" s="87"/>
      <c r="M30" s="88"/>
      <c r="X30" s="51">
        <v>29</v>
      </c>
      <c r="Y30" s="51">
        <v>29</v>
      </c>
      <c r="Z30" s="51" t="str">
        <f t="shared" si="5"/>
        <v>Rte 29 Jefferson</v>
      </c>
      <c r="AA30" s="45">
        <f>SUMIF(PrilimTable!$N$4:$N$100,X30,PrilimTable!$Q$4:$Q$100)</f>
        <v>729.25</v>
      </c>
      <c r="AB30" s="46">
        <f t="shared" si="6"/>
        <v>2.0868988702245204E-2</v>
      </c>
      <c r="AC30" s="35">
        <f>SUMIF(PrilimTable!$O$4:$O$100,Y30,PrilimTable!$S$4:$S$100)</f>
        <v>594</v>
      </c>
      <c r="AD30" s="44">
        <f t="shared" si="7"/>
        <v>1.6892756590734578E-2</v>
      </c>
      <c r="AE30" s="55">
        <f t="shared" si="11"/>
        <v>-135.25</v>
      </c>
      <c r="AF30" s="100">
        <f t="shared" si="12"/>
        <v>-0.18546451834076105</v>
      </c>
      <c r="AG30" s="51">
        <v>1600</v>
      </c>
    </row>
    <row r="31" spans="1:50" x14ac:dyDescent="0.25">
      <c r="A31" s="51">
        <f>VLOOKUP($C31,PrilimTable!$O:$U,7,FALSE)</f>
        <v>1</v>
      </c>
      <c r="B31">
        <v>21</v>
      </c>
      <c r="C31" s="51">
        <f t="shared" si="8"/>
        <v>21</v>
      </c>
      <c r="D31" s="51" t="str">
        <f>VLOOKUP($C31,PrilimTable!$O:$T,2,FALSE)</f>
        <v>Rte 21 University Connector SB</v>
      </c>
      <c r="E31" s="45">
        <f>SUMIF(PrilimTable!$N$4:$N$100,B31,PrilimTable!$Q$4:$Q$100)</f>
        <v>332.4</v>
      </c>
      <c r="F31" s="76">
        <f t="shared" si="3"/>
        <v>9.5123096943795747E-3</v>
      </c>
      <c r="G31" s="35">
        <f>SUMIF(PrilimTable!$O$4:$O$100,C31,PrilimTable!$S$4:$S$100)</f>
        <v>117</v>
      </c>
      <c r="H31" s="78">
        <f t="shared" si="4"/>
        <v>3.3273611466598414E-3</v>
      </c>
      <c r="I31" s="55">
        <f t="shared" si="9"/>
        <v>-215.39999999999998</v>
      </c>
      <c r="J31" s="100">
        <f t="shared" si="10"/>
        <v>-0.64801444043321299</v>
      </c>
      <c r="L31" s="87"/>
      <c r="M31" s="88"/>
      <c r="X31" s="51">
        <v>60</v>
      </c>
      <c r="Y31" s="51">
        <v>60</v>
      </c>
      <c r="Z31" s="51" t="str">
        <f t="shared" si="5"/>
        <v>Rte 60 Music City Blue Circuit</v>
      </c>
      <c r="AA31" s="45">
        <f>SUMIF(PrilimTable!$N$4:$N$100,X31,PrilimTable!$Q$4:$Q$100)</f>
        <v>699.15</v>
      </c>
      <c r="AB31" s="46">
        <f t="shared" si="6"/>
        <v>2.0007615291292059E-2</v>
      </c>
      <c r="AC31" s="35">
        <f>SUMIF(PrilimTable!$O$4:$O$100,Y31,PrilimTable!$S$4:$S$100)</f>
        <v>1488</v>
      </c>
      <c r="AD31" s="44">
        <f t="shared" si="7"/>
        <v>4.2317208429314905E-2</v>
      </c>
      <c r="AE31" s="55">
        <f t="shared" si="11"/>
        <v>788.85</v>
      </c>
      <c r="AF31" s="100">
        <f t="shared" si="12"/>
        <v>1.1282986483587214</v>
      </c>
      <c r="AG31" s="51">
        <v>1700</v>
      </c>
    </row>
    <row r="32" spans="1:50" x14ac:dyDescent="0.25">
      <c r="A32" s="51">
        <f>VLOOKUP($C32,PrilimTable!$O:$U,7,FALSE)</f>
        <v>1</v>
      </c>
      <c r="B32">
        <v>22</v>
      </c>
      <c r="C32" s="51">
        <f t="shared" si="8"/>
        <v>22</v>
      </c>
      <c r="D32" s="51" t="str">
        <f>VLOOKUP($C32,PrilimTable!$O:$T,2,FALSE)</f>
        <v>Rte 22 Bordeaux (Panaroma)</v>
      </c>
      <c r="E32" s="45">
        <f>SUMIF(PrilimTable!$N$4:$N$100,B32,PrilimTable!$Q$4:$Q$100)</f>
        <v>1605.4</v>
      </c>
      <c r="F32" s="76">
        <f t="shared" si="3"/>
        <v>4.5941823054623861E-2</v>
      </c>
      <c r="G32" s="35">
        <f>SUMIF(PrilimTable!$O$4:$O$100,C32,PrilimTable!$S$4:$S$100)</f>
        <v>1364</v>
      </c>
      <c r="H32" s="78">
        <f t="shared" si="4"/>
        <v>3.879077439353866E-2</v>
      </c>
      <c r="I32" s="55">
        <f t="shared" si="9"/>
        <v>-241.40000000000009</v>
      </c>
      <c r="J32" s="100">
        <f t="shared" si="10"/>
        <v>-0.15036750965491472</v>
      </c>
      <c r="L32" s="87"/>
      <c r="M32" s="88"/>
      <c r="X32" s="51">
        <v>61</v>
      </c>
      <c r="Y32" s="51">
        <v>61</v>
      </c>
      <c r="Z32" s="51" t="str">
        <f t="shared" si="5"/>
        <v>Rte 61 Music City Green Circuit</v>
      </c>
      <c r="AA32" s="45">
        <f>SUMIF(PrilimTable!$N$4:$N$100,X32,PrilimTable!$Q$4:$Q$100)</f>
        <v>605.75</v>
      </c>
      <c r="AB32" s="46">
        <f t="shared" si="6"/>
        <v>1.7334782182221505E-2</v>
      </c>
      <c r="AC32" s="35">
        <f>SUMIF(PrilimTable!$O$4:$O$100,Y32,PrilimTable!$S$4:$S$100)</f>
        <v>493</v>
      </c>
      <c r="AD32" s="44">
        <f t="shared" si="7"/>
        <v>1.402041919062651E-2</v>
      </c>
      <c r="AE32" s="55">
        <f t="shared" si="11"/>
        <v>-112.75</v>
      </c>
      <c r="AF32" s="100">
        <f t="shared" si="12"/>
        <v>-0.18613289310771772</v>
      </c>
      <c r="AG32" s="51">
        <v>1800</v>
      </c>
    </row>
    <row r="33" spans="1:33" x14ac:dyDescent="0.25">
      <c r="A33" s="51">
        <f>VLOOKUP($C33,PrilimTable!$O:$U,7,FALSE)</f>
        <v>1</v>
      </c>
      <c r="B33">
        <v>23</v>
      </c>
      <c r="C33" s="51">
        <f t="shared" si="8"/>
        <v>23</v>
      </c>
      <c r="D33" s="51" t="str">
        <f>VLOOKUP($C33,PrilimTable!$O:$T,2,FALSE)</f>
        <v>Rte 23 Dickerson Rd Loop1</v>
      </c>
      <c r="E33" s="45">
        <f>SUMIF(PrilimTable!$N$4:$N$100,B33,PrilimTable!$Q$4:$Q$100)</f>
        <v>1756.7</v>
      </c>
      <c r="F33" s="76">
        <f t="shared" si="3"/>
        <v>5.0271583754863423E-2</v>
      </c>
      <c r="G33" s="35">
        <f>SUMIF(PrilimTable!$O$4:$O$100,C33,PrilimTable!$S$4:$S$100)</f>
        <v>1186</v>
      </c>
      <c r="H33" s="78">
        <f t="shared" si="4"/>
        <v>3.3728635213150185E-2</v>
      </c>
      <c r="I33" s="55">
        <f t="shared" si="9"/>
        <v>-570.70000000000005</v>
      </c>
      <c r="J33" s="100">
        <f t="shared" si="10"/>
        <v>-0.32487049581601868</v>
      </c>
      <c r="L33" s="87"/>
      <c r="M33" s="88"/>
      <c r="X33" s="51">
        <v>14</v>
      </c>
      <c r="Y33" s="51">
        <v>14</v>
      </c>
      <c r="Z33" s="51" t="str">
        <f t="shared" si="5"/>
        <v>Rte 14 Whites Creek</v>
      </c>
      <c r="AA33" s="45">
        <f>SUMIF(PrilimTable!$N$4:$N$100,X33,PrilimTable!$Q$4:$Q$100)</f>
        <v>599.6</v>
      </c>
      <c r="AB33" s="46">
        <f t="shared" si="6"/>
        <v>1.7158787282641377E-2</v>
      </c>
      <c r="AC33" s="35">
        <f>SUMIF(PrilimTable!$O$4:$O$100,Y33,PrilimTable!$S$4:$S$100)</f>
        <v>508</v>
      </c>
      <c r="AD33" s="44">
        <f t="shared" si="7"/>
        <v>1.4447003953018797E-2</v>
      </c>
      <c r="AE33" s="55">
        <f t="shared" si="11"/>
        <v>-91.600000000000023</v>
      </c>
      <c r="AF33" s="100">
        <f t="shared" si="12"/>
        <v>-0.15276851234156108</v>
      </c>
      <c r="AG33" s="51">
        <v>1900</v>
      </c>
    </row>
    <row r="34" spans="1:33" x14ac:dyDescent="0.25">
      <c r="A34" s="51">
        <f>VLOOKUP($C34,PrilimTable!$O:$U,7,FALSE)</f>
        <v>6</v>
      </c>
      <c r="B34">
        <v>24</v>
      </c>
      <c r="C34" s="51">
        <f t="shared" si="8"/>
        <v>24</v>
      </c>
      <c r="D34" s="51" t="str">
        <f>VLOOKUP($C34,PrilimTable!$O:$T,2,FALSE)</f>
        <v>Rte 24 Bellevue Exp AM</v>
      </c>
      <c r="E34" s="45">
        <f>SUMIF(PrilimTable!$N$4:$N$100,B34,PrilimTable!$Q$4:$Q$100)</f>
        <v>298.89999999999998</v>
      </c>
      <c r="F34" s="76">
        <f t="shared" si="3"/>
        <v>8.5536382901626202E-3</v>
      </c>
      <c r="G34" s="35">
        <f>SUMIF(PrilimTable!$O$4:$O$100,C34,PrilimTable!$S$4:$S$100)</f>
        <v>112</v>
      </c>
      <c r="H34" s="78">
        <f t="shared" si="4"/>
        <v>3.1851662258624122E-3</v>
      </c>
      <c r="I34" s="55">
        <f t="shared" si="9"/>
        <v>-186.89999999999998</v>
      </c>
      <c r="J34" s="100">
        <f t="shared" si="10"/>
        <v>-0.62529274004683832</v>
      </c>
      <c r="L34" s="87"/>
      <c r="M34" s="88"/>
      <c r="X34" s="51">
        <v>9</v>
      </c>
      <c r="Y34" s="51">
        <v>9</v>
      </c>
      <c r="Z34" s="51" t="str">
        <f t="shared" si="5"/>
        <v>Rte 9 MetroCenter</v>
      </c>
      <c r="AA34" s="45">
        <f>SUMIF(PrilimTable!$N$4:$N$100,X34,PrilimTable!$Q$4:$Q$100)</f>
        <v>572.09999999999991</v>
      </c>
      <c r="AB34" s="46">
        <f t="shared" si="6"/>
        <v>1.6371818219478203E-2</v>
      </c>
      <c r="AC34" s="35">
        <f>SUMIF(PrilimTable!$O$4:$O$100,Y34,PrilimTable!$S$4:$S$100)</f>
        <v>476</v>
      </c>
      <c r="AD34" s="44">
        <f t="shared" si="7"/>
        <v>1.3536956459915251E-2</v>
      </c>
      <c r="AE34" s="55">
        <f t="shared" si="11"/>
        <v>-96.099999999999909</v>
      </c>
      <c r="AF34" s="100">
        <f t="shared" si="12"/>
        <v>-0.16797762628911017</v>
      </c>
      <c r="AG34" s="51">
        <v>2000</v>
      </c>
    </row>
    <row r="35" spans="1:33" x14ac:dyDescent="0.25">
      <c r="A35" s="51">
        <f>VLOOKUP($C35,PrilimTable!$O:$U,7,FALSE)</f>
        <v>1</v>
      </c>
      <c r="B35">
        <v>25</v>
      </c>
      <c r="C35" s="51">
        <f t="shared" si="8"/>
        <v>25</v>
      </c>
      <c r="D35" s="51" t="str">
        <f>VLOOKUP($C35,PrilimTable!$O:$T,2,FALSE)</f>
        <v>Rte 25 Midtown CW Loop</v>
      </c>
      <c r="E35" s="45">
        <f>SUMIF(PrilimTable!$N$4:$N$100,B35,PrilimTable!$Q$4:$Q$100)</f>
        <v>529.15000000000009</v>
      </c>
      <c r="F35" s="76">
        <f t="shared" si="3"/>
        <v>1.5142715628101546E-2</v>
      </c>
      <c r="G35" s="35">
        <f>SUMIF(PrilimTable!$O$4:$O$100,C35,PrilimTable!$S$4:$S$100)</f>
        <v>801</v>
      </c>
      <c r="H35" s="78">
        <f t="shared" si="4"/>
        <v>2.2779626311748145E-2</v>
      </c>
      <c r="I35" s="55">
        <f t="shared" si="9"/>
        <v>271.84999999999991</v>
      </c>
      <c r="J35" s="100">
        <f t="shared" si="10"/>
        <v>0.51374846451856726</v>
      </c>
      <c r="L35" s="87"/>
      <c r="M35" s="88"/>
      <c r="X35" s="51">
        <v>8</v>
      </c>
      <c r="Y35" s="51">
        <v>8</v>
      </c>
      <c r="Z35" s="51" t="str">
        <f t="shared" si="5"/>
        <v>Rte 8 8th Avenue South</v>
      </c>
      <c r="AA35" s="45">
        <f>SUMIF(PrilimTable!$N$4:$N$100,X35,PrilimTable!$Q$4:$Q$100)</f>
        <v>569.40000000000009</v>
      </c>
      <c r="AB35" s="46">
        <f t="shared" si="6"/>
        <v>1.6294552166004006E-2</v>
      </c>
      <c r="AC35" s="35">
        <f>SUMIF(PrilimTable!$O$4:$O$100,Y35,PrilimTable!$S$4:$S$100)</f>
        <v>728</v>
      </c>
      <c r="AD35" s="44">
        <f t="shared" si="7"/>
        <v>2.0703580468105678E-2</v>
      </c>
      <c r="AE35" s="55">
        <f t="shared" si="11"/>
        <v>158.59999999999991</v>
      </c>
      <c r="AF35" s="100">
        <f t="shared" si="12"/>
        <v>0.27853881278538795</v>
      </c>
      <c r="AG35" s="51">
        <v>2100</v>
      </c>
    </row>
    <row r="36" spans="1:33" x14ac:dyDescent="0.25">
      <c r="A36" s="51">
        <f>VLOOKUP($C36,PrilimTable!$O:$U,7,FALSE)</f>
        <v>1</v>
      </c>
      <c r="B36">
        <v>26</v>
      </c>
      <c r="C36" s="51">
        <f t="shared" si="8"/>
        <v>26</v>
      </c>
      <c r="D36" s="51" t="str">
        <f>VLOOKUP($C36,PrilimTable!$O:$T,2,FALSE)</f>
        <v>Rte 26 Gallatin Rd</v>
      </c>
      <c r="E36" s="45">
        <f>SUMIF(PrilimTable!$N$4:$N$100,B36,PrilimTable!$Q$4:$Q$100)</f>
        <v>1203.3000000000002</v>
      </c>
      <c r="F36" s="76">
        <f t="shared" si="3"/>
        <v>3.443490449833618E-2</v>
      </c>
      <c r="G36" s="35">
        <f>SUMIF(PrilimTable!$O$4:$O$100,C36,PrilimTable!$S$4:$S$100)</f>
        <v>768</v>
      </c>
      <c r="H36" s="78">
        <f t="shared" si="4"/>
        <v>2.1841139834485112E-2</v>
      </c>
      <c r="I36" s="55">
        <f t="shared" si="9"/>
        <v>-435.30000000000018</v>
      </c>
      <c r="J36" s="100">
        <f t="shared" si="10"/>
        <v>-0.36175517327349799</v>
      </c>
      <c r="L36" s="87"/>
      <c r="M36" s="88"/>
      <c r="X36" s="51">
        <v>42</v>
      </c>
      <c r="Y36" s="51">
        <v>42</v>
      </c>
      <c r="Z36" s="51" t="str">
        <f t="shared" si="5"/>
        <v>Rte 42 Cecilia/Cumberland</v>
      </c>
      <c r="AA36" s="45">
        <f>SUMIF(PrilimTable!$N$4:$N$100,X36,PrilimTable!$Q$4:$Q$100)</f>
        <v>566.84999999999991</v>
      </c>
      <c r="AB36" s="46">
        <f t="shared" si="6"/>
        <v>1.6221578671056142E-2</v>
      </c>
      <c r="AC36" s="35">
        <f>SUMIF(PrilimTable!$O$4:$O$100,Y36,PrilimTable!$S$4:$S$100)</f>
        <v>448</v>
      </c>
      <c r="AD36" s="44">
        <f t="shared" si="7"/>
        <v>1.2740664903449649E-2</v>
      </c>
      <c r="AE36" s="55">
        <f t="shared" si="11"/>
        <v>-118.84999999999991</v>
      </c>
      <c r="AF36" s="100">
        <f t="shared" si="12"/>
        <v>-0.20966746052747628</v>
      </c>
      <c r="AG36" s="51">
        <v>2200</v>
      </c>
    </row>
    <row r="37" spans="1:33" x14ac:dyDescent="0.25">
      <c r="A37" s="51">
        <f>VLOOKUP($C37,PrilimTable!$O:$U,7,FALSE)</f>
        <v>1</v>
      </c>
      <c r="B37">
        <v>27</v>
      </c>
      <c r="C37" s="51">
        <f t="shared" si="8"/>
        <v>27</v>
      </c>
      <c r="D37" s="51" t="str">
        <f>VLOOKUP($C37,PrilimTable!$O:$T,2,FALSE)</f>
        <v>Rte 27 Old Hickory</v>
      </c>
      <c r="E37" s="45">
        <f>SUMIF(PrilimTable!$N$4:$N$100,B37,PrilimTable!$Q$4:$Q$100)</f>
        <v>108.2</v>
      </c>
      <c r="F37" s="76">
        <f t="shared" si="3"/>
        <v>3.096365550336553E-3</v>
      </c>
      <c r="G37" s="35">
        <f>SUMIF(PrilimTable!$O$4:$O$100,C37,PrilimTable!$S$4:$S$100)</f>
        <v>77</v>
      </c>
      <c r="H37" s="78">
        <f t="shared" si="4"/>
        <v>2.1898017802804083E-3</v>
      </c>
      <c r="I37" s="55">
        <f t="shared" si="9"/>
        <v>-31.200000000000003</v>
      </c>
      <c r="J37" s="100">
        <f t="shared" si="10"/>
        <v>-0.28835489833641409</v>
      </c>
      <c r="L37" s="87"/>
      <c r="M37" s="88"/>
      <c r="X37" s="51">
        <v>25</v>
      </c>
      <c r="Y37" s="51">
        <v>25</v>
      </c>
      <c r="Z37" s="51" t="str">
        <f t="shared" si="5"/>
        <v>Rte 25 Midtown CW Loop</v>
      </c>
      <c r="AA37" s="45">
        <f>SUMIF(PrilimTable!$N$4:$N$100,X37,PrilimTable!$Q$4:$Q$100)</f>
        <v>529.15000000000009</v>
      </c>
      <c r="AB37" s="46">
        <f t="shared" si="6"/>
        <v>1.5142715628101546E-2</v>
      </c>
      <c r="AC37" s="35">
        <f>SUMIF(PrilimTable!$O$4:$O$100,Y37,PrilimTable!$S$4:$S$100)</f>
        <v>801</v>
      </c>
      <c r="AD37" s="44">
        <f t="shared" si="7"/>
        <v>2.2779626311748145E-2</v>
      </c>
      <c r="AE37" s="55">
        <f t="shared" si="11"/>
        <v>271.84999999999991</v>
      </c>
      <c r="AF37" s="100">
        <f t="shared" si="12"/>
        <v>0.51374846451856726</v>
      </c>
      <c r="AG37" s="51">
        <v>2300</v>
      </c>
    </row>
    <row r="38" spans="1:33" x14ac:dyDescent="0.25">
      <c r="A38" s="51">
        <f>VLOOKUP($C38,PrilimTable!$O:$U,7,FALSE)</f>
        <v>1</v>
      </c>
      <c r="B38">
        <v>28</v>
      </c>
      <c r="C38" s="51">
        <f t="shared" si="8"/>
        <v>28</v>
      </c>
      <c r="D38" s="51" t="str">
        <f>VLOOKUP($C38,PrilimTable!$O:$T,2,FALSE)</f>
        <v>Rte 28 Meridian</v>
      </c>
      <c r="E38" s="45">
        <f>SUMIF(PrilimTable!$N$4:$N$100,B38,PrilimTable!$Q$4:$Q$100)</f>
        <v>484.79999999999995</v>
      </c>
      <c r="F38" s="76">
        <f t="shared" si="3"/>
        <v>1.3873549157145662E-2</v>
      </c>
      <c r="G38" s="35">
        <f>SUMIF(PrilimTable!$O$4:$O$100,C38,PrilimTable!$S$4:$S$100)</f>
        <v>355</v>
      </c>
      <c r="H38" s="78">
        <f t="shared" si="4"/>
        <v>1.0095839376617467E-2</v>
      </c>
      <c r="I38" s="55">
        <f t="shared" si="9"/>
        <v>-129.79999999999995</v>
      </c>
      <c r="J38" s="100">
        <f t="shared" si="10"/>
        <v>-0.26773927392739266</v>
      </c>
      <c r="L38" s="87"/>
      <c r="M38" s="88"/>
      <c r="X38" s="51">
        <v>28</v>
      </c>
      <c r="Y38" s="51">
        <v>28</v>
      </c>
      <c r="Z38" s="51" t="str">
        <f t="shared" si="5"/>
        <v>Rte 28 Meridian</v>
      </c>
      <c r="AA38" s="45">
        <f>SUMIF(PrilimTable!$N$4:$N$100,X38,PrilimTable!$Q$4:$Q$100)</f>
        <v>484.79999999999995</v>
      </c>
      <c r="AB38" s="46">
        <f t="shared" si="6"/>
        <v>1.3873549157145662E-2</v>
      </c>
      <c r="AC38" s="35">
        <f>SUMIF(PrilimTable!$O$4:$O$100,Y38,PrilimTable!$S$4:$S$100)</f>
        <v>355</v>
      </c>
      <c r="AD38" s="44">
        <f t="shared" si="7"/>
        <v>1.0095839376617467E-2</v>
      </c>
      <c r="AE38" s="55">
        <f t="shared" si="11"/>
        <v>-129.79999999999995</v>
      </c>
      <c r="AF38" s="100">
        <f t="shared" si="12"/>
        <v>-0.26773927392739266</v>
      </c>
      <c r="AG38" s="51">
        <v>2400</v>
      </c>
    </row>
    <row r="39" spans="1:33" x14ac:dyDescent="0.25">
      <c r="A39" s="51">
        <f>VLOOKUP($C39,PrilimTable!$O:$U,7,FALSE)</f>
        <v>1</v>
      </c>
      <c r="B39">
        <v>29</v>
      </c>
      <c r="C39" s="51">
        <f t="shared" si="8"/>
        <v>29</v>
      </c>
      <c r="D39" s="51" t="str">
        <f>VLOOKUP($C39,PrilimTable!$O:$T,2,FALSE)</f>
        <v>Rte 29 Jefferson</v>
      </c>
      <c r="E39" s="45">
        <f>SUMIF(PrilimTable!$N$4:$N$100,B39,PrilimTable!$Q$4:$Q$100)</f>
        <v>729.25</v>
      </c>
      <c r="F39" s="76">
        <f t="shared" si="3"/>
        <v>2.0868988702245204E-2</v>
      </c>
      <c r="G39" s="35">
        <f>SUMIF(PrilimTable!$O$4:$O$100,C39,PrilimTable!$S$4:$S$100)</f>
        <v>594</v>
      </c>
      <c r="H39" s="78">
        <f t="shared" si="4"/>
        <v>1.6892756590734578E-2</v>
      </c>
      <c r="I39" s="55">
        <f t="shared" si="9"/>
        <v>-135.25</v>
      </c>
      <c r="J39" s="100">
        <f t="shared" si="10"/>
        <v>-0.18546451834076105</v>
      </c>
      <c r="L39" s="87"/>
      <c r="M39" s="88"/>
      <c r="X39" s="51">
        <v>76</v>
      </c>
      <c r="Y39" s="51">
        <v>76</v>
      </c>
      <c r="Z39" s="51" t="str">
        <f t="shared" si="5"/>
        <v>Rte 76 Madison Conn Anderson</v>
      </c>
      <c r="AA39" s="45">
        <f>SUMIF(PrilimTable!$N$4:$N$100,X39,PrilimTable!$Q$4:$Q$100)</f>
        <v>419.15</v>
      </c>
      <c r="AB39" s="46">
        <f t="shared" si="6"/>
        <v>1.1994839375448854E-2</v>
      </c>
      <c r="AC39" s="35">
        <f>SUMIF(PrilimTable!$O$4:$O$100,Y39,PrilimTable!$S$4:$S$100)</f>
        <v>46</v>
      </c>
      <c r="AD39" s="44">
        <f t="shared" si="7"/>
        <v>1.308193271336348E-3</v>
      </c>
      <c r="AE39" s="55">
        <f t="shared" si="11"/>
        <v>-373.15</v>
      </c>
      <c r="AF39" s="100">
        <f t="shared" si="12"/>
        <v>-0.89025408564952879</v>
      </c>
      <c r="AG39" s="51">
        <v>2500</v>
      </c>
    </row>
    <row r="40" spans="1:33" x14ac:dyDescent="0.25">
      <c r="A40" s="51">
        <f>VLOOKUP($C40,PrilimTable!$O:$U,7,FALSE)</f>
        <v>1</v>
      </c>
      <c r="B40">
        <v>30</v>
      </c>
      <c r="C40" s="51">
        <f t="shared" si="8"/>
        <v>30</v>
      </c>
      <c r="D40" s="51" t="str">
        <f>VLOOKUP($C40,PrilimTable!$O:$T,2,FALSE)</f>
        <v>Rte 30 McFerrin OB Ni</v>
      </c>
      <c r="E40" s="45">
        <f>SUMIF(PrilimTable!$N$4:$N$100,B40,PrilimTable!$Q$4:$Q$100)</f>
        <v>288.25</v>
      </c>
      <c r="F40" s="76">
        <f t="shared" si="3"/>
        <v>8.2488666347921569E-3</v>
      </c>
      <c r="G40" s="35">
        <f>SUMIF(PrilimTable!$O$4:$O$100,C40,PrilimTable!$S$4:$S$100)</f>
        <v>201</v>
      </c>
      <c r="H40" s="78">
        <f t="shared" si="4"/>
        <v>5.7162358160566503E-3</v>
      </c>
      <c r="I40" s="55">
        <f t="shared" si="9"/>
        <v>-87.25</v>
      </c>
      <c r="J40" s="100">
        <f t="shared" si="10"/>
        <v>-0.30268863833477883</v>
      </c>
      <c r="L40" s="87"/>
      <c r="M40" s="88"/>
      <c r="X40" s="51">
        <v>18</v>
      </c>
      <c r="Y40" s="51">
        <v>18</v>
      </c>
      <c r="Z40" s="51" t="str">
        <f t="shared" si="5"/>
        <v>Rte 18 Airport Exp</v>
      </c>
      <c r="AA40" s="45">
        <f>SUMIF(PrilimTable!$N$4:$N$100,X40,PrilimTable!$Q$4:$Q$100)</f>
        <v>377.1</v>
      </c>
      <c r="AB40" s="46">
        <f t="shared" si="6"/>
        <v>1.0791492135230259E-2</v>
      </c>
      <c r="AC40" s="35">
        <f>SUMIF(PrilimTable!$O$4:$O$100,Y40,PrilimTable!$S$4:$S$100)</f>
        <v>451</v>
      </c>
      <c r="AD40" s="44">
        <f t="shared" si="7"/>
        <v>1.2825981855928106E-2</v>
      </c>
      <c r="AE40" s="55">
        <f t="shared" si="11"/>
        <v>73.899999999999977</v>
      </c>
      <c r="AF40" s="100">
        <f t="shared" si="12"/>
        <v>0.19596923892866605</v>
      </c>
      <c r="AG40" s="51">
        <v>2600</v>
      </c>
    </row>
    <row r="41" spans="1:33" x14ac:dyDescent="0.25">
      <c r="A41" s="51">
        <f>VLOOKUP($C41,PrilimTable!$O:$U,7,FALSE)</f>
        <v>6</v>
      </c>
      <c r="B41">
        <v>33</v>
      </c>
      <c r="C41" s="51">
        <f t="shared" si="8"/>
        <v>33</v>
      </c>
      <c r="D41" s="51" t="str">
        <f>VLOOKUP($C41,PrilimTable!$O:$T,2,FALSE)</f>
        <v>Rte 33 Old Hickory Exp</v>
      </c>
      <c r="E41" s="45">
        <f>SUMIF(PrilimTable!$N$4:$N$100,B41,PrilimTable!$Q$4:$Q$100)</f>
        <v>212.4</v>
      </c>
      <c r="F41" s="76">
        <f t="shared" si="3"/>
        <v>6.0782628733039171E-3</v>
      </c>
      <c r="G41" s="35">
        <f>SUMIF(PrilimTable!$O$4:$O$100,C41,PrilimTable!$S$4:$S$100)</f>
        <v>251</v>
      </c>
      <c r="H41" s="78">
        <f t="shared" si="4"/>
        <v>7.1381850240309413E-3</v>
      </c>
      <c r="I41" s="55">
        <f t="shared" si="9"/>
        <v>38.599999999999994</v>
      </c>
      <c r="J41" s="100">
        <f t="shared" si="10"/>
        <v>0.18173258003766476</v>
      </c>
      <c r="L41" s="87"/>
      <c r="M41" s="88"/>
      <c r="X41" s="51">
        <v>34</v>
      </c>
      <c r="Y41" s="51">
        <v>34</v>
      </c>
      <c r="Z41" s="51" t="str">
        <f t="shared" si="5"/>
        <v>Rte 34 Opry Mills Loop</v>
      </c>
      <c r="AA41" s="45">
        <f>SUMIF(PrilimTable!$N$4:$N$100,X41,PrilimTable!$Q$4:$Q$100)</f>
        <v>340.6</v>
      </c>
      <c r="AB41" s="46">
        <f t="shared" si="6"/>
        <v>9.7469695604864137E-3</v>
      </c>
      <c r="AC41" s="35">
        <f>SUMIF(PrilimTable!$O$4:$O$100,Y41,PrilimTable!$S$4:$S$100)</f>
        <v>174</v>
      </c>
      <c r="AD41" s="44">
        <f t="shared" si="7"/>
        <v>4.9483832437505334E-3</v>
      </c>
      <c r="AE41" s="55">
        <f t="shared" si="11"/>
        <v>-166.60000000000002</v>
      </c>
      <c r="AF41" s="100">
        <f t="shared" si="12"/>
        <v>-0.48913681738109221</v>
      </c>
      <c r="AG41" s="51">
        <v>2700</v>
      </c>
    </row>
    <row r="42" spans="1:33" x14ac:dyDescent="0.25">
      <c r="A42" s="51">
        <f>VLOOKUP($C42,PrilimTable!$O:$U,7,FALSE)</f>
        <v>1</v>
      </c>
      <c r="B42">
        <v>34</v>
      </c>
      <c r="C42" s="51">
        <f t="shared" si="8"/>
        <v>34</v>
      </c>
      <c r="D42" s="51" t="str">
        <f>VLOOKUP($C42,PrilimTable!$O:$T,2,FALSE)</f>
        <v>Rte 34 Opry Mills Loop</v>
      </c>
      <c r="E42" s="45">
        <f>SUMIF(PrilimTable!$N$4:$N$100,B42,PrilimTable!$Q$4:$Q$100)</f>
        <v>340.6</v>
      </c>
      <c r="F42" s="76">
        <f t="shared" si="3"/>
        <v>9.7469695604864137E-3</v>
      </c>
      <c r="G42" s="35">
        <f>SUMIF(PrilimTable!$O$4:$O$100,C42,PrilimTable!$S$4:$S$100)</f>
        <v>174</v>
      </c>
      <c r="H42" s="78">
        <f t="shared" si="4"/>
        <v>4.9483832437505334E-3</v>
      </c>
      <c r="I42" s="55">
        <f t="shared" si="9"/>
        <v>-166.60000000000002</v>
      </c>
      <c r="J42" s="100">
        <f t="shared" si="10"/>
        <v>-0.48913681738109221</v>
      </c>
      <c r="L42" s="87"/>
      <c r="M42" s="88"/>
      <c r="X42" s="51">
        <v>21</v>
      </c>
      <c r="Y42" s="51">
        <v>21</v>
      </c>
      <c r="Z42" s="51" t="str">
        <f t="shared" si="5"/>
        <v>Rte 21 University Connector SB</v>
      </c>
      <c r="AA42" s="45">
        <f>SUMIF(PrilimTable!$N$4:$N$100,X42,PrilimTable!$Q$4:$Q$100)</f>
        <v>332.4</v>
      </c>
      <c r="AB42" s="46">
        <f t="shared" si="6"/>
        <v>9.5123096943795747E-3</v>
      </c>
      <c r="AC42" s="35">
        <f>SUMIF(PrilimTable!$O$4:$O$100,Y42,PrilimTable!$S$4:$S$100)</f>
        <v>117</v>
      </c>
      <c r="AD42" s="44">
        <f t="shared" si="7"/>
        <v>3.3273611466598414E-3</v>
      </c>
      <c r="AE42" s="55">
        <f t="shared" si="11"/>
        <v>-215.39999999999998</v>
      </c>
      <c r="AF42" s="100">
        <f t="shared" si="12"/>
        <v>-0.64801444043321299</v>
      </c>
      <c r="AG42" s="51">
        <v>2800</v>
      </c>
    </row>
    <row r="43" spans="1:33" x14ac:dyDescent="0.25">
      <c r="A43" s="51">
        <f>VLOOKUP($C43,PrilimTable!$O:$U,7,FALSE)</f>
        <v>6</v>
      </c>
      <c r="B43">
        <v>35</v>
      </c>
      <c r="C43" s="51">
        <f t="shared" si="8"/>
        <v>35</v>
      </c>
      <c r="D43" s="51" t="str">
        <f>VLOOKUP($C43,PrilimTable!$O:$T,2,FALSE)</f>
        <v>Rte 35 Rivergate Exp</v>
      </c>
      <c r="E43" s="45">
        <f>SUMIF(PrilimTable!$N$4:$N$100,B43,PrilimTable!$Q$4:$Q$100)</f>
        <v>217.5</v>
      </c>
      <c r="F43" s="76">
        <f t="shared" si="3"/>
        <v>6.2242098631996321E-3</v>
      </c>
      <c r="G43" s="35">
        <f>SUMIF(PrilimTable!$O$4:$O$100,C43,PrilimTable!$S$4:$S$100)</f>
        <v>92</v>
      </c>
      <c r="H43" s="78">
        <f t="shared" si="4"/>
        <v>2.6163865426726959E-3</v>
      </c>
      <c r="I43" s="55">
        <f t="shared" si="9"/>
        <v>-125.5</v>
      </c>
      <c r="J43" s="100">
        <f t="shared" si="10"/>
        <v>-0.57701149425287357</v>
      </c>
      <c r="L43" s="87"/>
      <c r="M43" s="88"/>
      <c r="X43" s="51">
        <v>20</v>
      </c>
      <c r="Y43" s="51">
        <v>20</v>
      </c>
      <c r="Z43" s="51" t="str">
        <f t="shared" si="5"/>
        <v>Rte 20 Scott</v>
      </c>
      <c r="AA43" s="45">
        <f>SUMIF(PrilimTable!$N$4:$N$100,X43,PrilimTable!$Q$4:$Q$100)</f>
        <v>314.64999999999998</v>
      </c>
      <c r="AB43" s="46">
        <f t="shared" si="6"/>
        <v>9.0043569354288002E-3</v>
      </c>
      <c r="AC43" s="35">
        <f>SUMIF(PrilimTable!$O$4:$O$100,Y43,PrilimTable!$S$4:$S$100)</f>
        <v>529</v>
      </c>
      <c r="AD43" s="44">
        <f t="shared" si="7"/>
        <v>1.5044222620368001E-2</v>
      </c>
      <c r="AE43" s="55">
        <f t="shared" si="11"/>
        <v>214.35000000000002</v>
      </c>
      <c r="AF43" s="100">
        <f t="shared" si="12"/>
        <v>0.68123311616081372</v>
      </c>
      <c r="AG43" s="51">
        <v>2900</v>
      </c>
    </row>
    <row r="44" spans="1:33" x14ac:dyDescent="0.25">
      <c r="A44" s="51">
        <f>VLOOKUP($C44,PrilimTable!$O:$U,7,FALSE)</f>
        <v>6</v>
      </c>
      <c r="B44">
        <v>36</v>
      </c>
      <c r="C44" s="51">
        <f t="shared" si="8"/>
        <v>36</v>
      </c>
      <c r="D44" s="51" t="str">
        <f>VLOOKUP($C44,PrilimTable!$O:$T,2,FALSE)</f>
        <v>Rte 36 Madison Express</v>
      </c>
      <c r="E44" s="45">
        <f>SUMIF(PrilimTable!$N$4:$N$100,B44,PrilimTable!$Q$4:$Q$100)</f>
        <v>129.14999999999998</v>
      </c>
      <c r="F44" s="76">
        <f t="shared" si="3"/>
        <v>3.6958928911826777E-3</v>
      </c>
      <c r="G44" s="35">
        <f>SUMIF(PrilimTable!$O$4:$O$100,C44,PrilimTable!$S$4:$S$100)</f>
        <v>201</v>
      </c>
      <c r="H44" s="78">
        <f t="shared" si="4"/>
        <v>5.7162358160566503E-3</v>
      </c>
      <c r="I44" s="55">
        <f t="shared" si="9"/>
        <v>71.850000000000023</v>
      </c>
      <c r="J44" s="100">
        <f t="shared" si="10"/>
        <v>0.55632984901277616</v>
      </c>
      <c r="L44" s="87"/>
      <c r="M44" s="88"/>
      <c r="X44" s="51">
        <v>24</v>
      </c>
      <c r="Y44" s="51">
        <v>24</v>
      </c>
      <c r="Z44" s="51" t="str">
        <f t="shared" si="5"/>
        <v>Rte 24 Bellevue Exp AM</v>
      </c>
      <c r="AA44" s="45">
        <f>SUMIF(PrilimTable!$N$4:$N$100,X44,PrilimTable!$Q$4:$Q$100)</f>
        <v>298.89999999999998</v>
      </c>
      <c r="AB44" s="46">
        <f t="shared" si="6"/>
        <v>8.5536382901626202E-3</v>
      </c>
      <c r="AC44" s="35">
        <f>SUMIF(PrilimTable!$O$4:$O$100,Y44,PrilimTable!$S$4:$S$100)</f>
        <v>112</v>
      </c>
      <c r="AD44" s="44">
        <f t="shared" si="7"/>
        <v>3.1851662258624122E-3</v>
      </c>
      <c r="AE44" s="55">
        <f t="shared" si="11"/>
        <v>-186.89999999999998</v>
      </c>
      <c r="AF44" s="100">
        <f t="shared" si="12"/>
        <v>-0.62529274004683832</v>
      </c>
      <c r="AG44" s="51">
        <v>3000</v>
      </c>
    </row>
    <row r="45" spans="1:33" x14ac:dyDescent="0.25">
      <c r="A45" s="51">
        <f>VLOOKUP($C45,PrilimTable!$O:$U,7,FALSE)</f>
        <v>6</v>
      </c>
      <c r="B45">
        <v>37</v>
      </c>
      <c r="C45" s="51">
        <f t="shared" si="8"/>
        <v>37</v>
      </c>
      <c r="D45" s="51" t="str">
        <f>VLOOKUP($C45,PrilimTable!$O:$T,2,FALSE)</f>
        <v>Rte 37X Tusculum/McMurray EXP</v>
      </c>
      <c r="E45" s="45">
        <f>SUMIF(PrilimTable!$N$4:$N$100,B45,PrilimTable!$Q$4:$Q$100)</f>
        <v>71.199999999999989</v>
      </c>
      <c r="F45" s="76">
        <f t="shared" si="3"/>
        <v>2.0375344471715573E-3</v>
      </c>
      <c r="G45" s="35">
        <f>SUMIF(PrilimTable!$O$4:$O$100,C45,PrilimTable!$S$4:$S$100)</f>
        <v>226</v>
      </c>
      <c r="H45" s="78">
        <f t="shared" si="4"/>
        <v>6.4272104200437958E-3</v>
      </c>
      <c r="I45" s="55">
        <f t="shared" si="9"/>
        <v>154.80000000000001</v>
      </c>
      <c r="J45" s="100">
        <f t="shared" si="10"/>
        <v>2.1741573033707868</v>
      </c>
      <c r="L45" s="87"/>
      <c r="M45" s="88"/>
      <c r="X45" s="51">
        <v>30</v>
      </c>
      <c r="Y45" s="51">
        <v>30</v>
      </c>
      <c r="Z45" s="51" t="str">
        <f t="shared" si="5"/>
        <v>Rte 30 McFerrin OB Ni</v>
      </c>
      <c r="AA45" s="45">
        <f>SUMIF(PrilimTable!$N$4:$N$100,X45,PrilimTable!$Q$4:$Q$100)</f>
        <v>288.25</v>
      </c>
      <c r="AB45" s="46">
        <f t="shared" si="6"/>
        <v>8.2488666347921569E-3</v>
      </c>
      <c r="AC45" s="35">
        <f>SUMIF(PrilimTable!$O$4:$O$100,Y45,PrilimTable!$S$4:$S$100)</f>
        <v>201</v>
      </c>
      <c r="AD45" s="44">
        <f t="shared" si="7"/>
        <v>5.7162358160566503E-3</v>
      </c>
      <c r="AE45" s="55">
        <f t="shared" si="11"/>
        <v>-87.25</v>
      </c>
      <c r="AF45" s="100">
        <f t="shared" si="12"/>
        <v>-0.30268863833477883</v>
      </c>
      <c r="AG45" s="51">
        <v>3100</v>
      </c>
    </row>
    <row r="46" spans="1:33" x14ac:dyDescent="0.25">
      <c r="A46" s="51">
        <f>VLOOKUP($C46,PrilimTable!$O:$U,7,FALSE)</f>
        <v>6</v>
      </c>
      <c r="B46">
        <v>38</v>
      </c>
      <c r="C46" s="51">
        <f t="shared" si="8"/>
        <v>38</v>
      </c>
      <c r="D46" s="51" t="str">
        <f>VLOOKUP($C46,PrilimTable!$O:$T,2,FALSE)</f>
        <v>Rte 38 Antioch Exp</v>
      </c>
      <c r="E46" s="45">
        <f>SUMIF(PrilimTable!$N$4:$N$100,B46,PrilimTable!$Q$4:$Q$100)</f>
        <v>221.5</v>
      </c>
      <c r="F46" s="76">
        <f t="shared" si="3"/>
        <v>6.338678090568821E-3</v>
      </c>
      <c r="G46" s="35">
        <f>SUMIF(PrilimTable!$O$4:$O$100,C46,PrilimTable!$S$4:$S$100)</f>
        <v>123</v>
      </c>
      <c r="H46" s="78">
        <f t="shared" si="4"/>
        <v>3.4979950516167563E-3</v>
      </c>
      <c r="I46" s="55">
        <f t="shared" si="9"/>
        <v>-98.5</v>
      </c>
      <c r="J46" s="100">
        <f t="shared" si="10"/>
        <v>-0.44469525959367945</v>
      </c>
      <c r="L46" s="87"/>
      <c r="M46" s="88"/>
      <c r="X46" s="51">
        <v>93</v>
      </c>
      <c r="Y46" s="51">
        <v>93</v>
      </c>
      <c r="Z46" s="51" t="str">
        <f t="shared" si="5"/>
        <v>Rte 201 MCS West End Shuttle</v>
      </c>
      <c r="AA46" s="45">
        <f>SUMIF(PrilimTable!$N$4:$N$100,X46,PrilimTable!$Q$4:$Q$100)</f>
        <v>287.35000000000002</v>
      </c>
      <c r="AB46" s="46">
        <f t="shared" si="6"/>
        <v>8.2231112836340901E-3</v>
      </c>
      <c r="AC46" s="35">
        <f>SUMIF(PrilimTable!$O$4:$O$100,Y46,PrilimTable!$S$4:$S$100)</f>
        <v>759</v>
      </c>
      <c r="AD46" s="44">
        <f t="shared" si="7"/>
        <v>2.1585188977049741E-2</v>
      </c>
      <c r="AE46" s="55">
        <f t="shared" si="11"/>
        <v>471.65</v>
      </c>
      <c r="AF46" s="100">
        <f t="shared" si="12"/>
        <v>1.6413781103184268</v>
      </c>
      <c r="AG46" s="51">
        <v>3200</v>
      </c>
    </row>
    <row r="47" spans="1:33" x14ac:dyDescent="0.25">
      <c r="A47" s="51">
        <f>VLOOKUP($C47,PrilimTable!$O:$U,7,FALSE)</f>
        <v>1</v>
      </c>
      <c r="B47">
        <v>41</v>
      </c>
      <c r="C47" s="51">
        <f t="shared" si="8"/>
        <v>41</v>
      </c>
      <c r="D47" s="51" t="str">
        <f>VLOOKUP($C47,PrilimTable!$O:$T,2,FALSE)</f>
        <v>Rte 41 Golden Valley OB</v>
      </c>
      <c r="E47" s="45">
        <f>SUMIF(PrilimTable!$N$4:$N$100,B47,PrilimTable!$Q$4:$Q$100)</f>
        <v>128.80000000000001</v>
      </c>
      <c r="F47" s="76">
        <f t="shared" ref="F47:F66" si="13">E47/$E$67</f>
        <v>3.6858769212878744E-3</v>
      </c>
      <c r="G47" s="35">
        <f>SUMIF(PrilimTable!$O$4:$O$100,C47,PrilimTable!$S$4:$S$100)</f>
        <v>13</v>
      </c>
      <c r="H47" s="78">
        <f t="shared" ref="H47:H66" si="14">G47/$G$67</f>
        <v>3.697067940733157E-4</v>
      </c>
      <c r="I47" s="55">
        <f t="shared" si="9"/>
        <v>-115.80000000000001</v>
      </c>
      <c r="J47" s="100">
        <f t="shared" si="10"/>
        <v>-0.89906832298136652</v>
      </c>
      <c r="L47" s="87"/>
      <c r="M47" s="88"/>
      <c r="X47" s="51">
        <v>43</v>
      </c>
      <c r="Y47" s="51">
        <v>43</v>
      </c>
      <c r="Z47" s="51" t="str">
        <f t="shared" ref="Z47:Z66" si="15">VLOOKUP(Y47,$C$14:$D$67,2,FALSE)</f>
        <v>Rte 43 Hickory Hills</v>
      </c>
      <c r="AA47" s="45">
        <f>SUMIF(PrilimTable!$N$4:$N$100,X47,PrilimTable!$Q$4:$Q$100)</f>
        <v>262.39999999999998</v>
      </c>
      <c r="AB47" s="46">
        <f t="shared" ref="AB47:AB66" si="16">AA47/$E$67</f>
        <v>7.5091157154187739E-3</v>
      </c>
      <c r="AC47" s="35">
        <f>SUMIF(PrilimTable!$O$4:$O$100,Y47,PrilimTable!$S$4:$S$100)</f>
        <v>82</v>
      </c>
      <c r="AD47" s="44">
        <f t="shared" ref="AD47:AD66" si="17">AC47/$G$67</f>
        <v>2.3319967010778375E-3</v>
      </c>
      <c r="AE47" s="55">
        <f t="shared" si="11"/>
        <v>-180.39999999999998</v>
      </c>
      <c r="AF47" s="100">
        <f t="shared" si="12"/>
        <v>-0.6875</v>
      </c>
      <c r="AG47" s="51">
        <v>3300</v>
      </c>
    </row>
    <row r="48" spans="1:33" x14ac:dyDescent="0.25">
      <c r="A48" s="51">
        <f>VLOOKUP($C48,PrilimTable!$O:$U,7,FALSE)</f>
        <v>1</v>
      </c>
      <c r="B48">
        <v>42</v>
      </c>
      <c r="C48" s="51">
        <f t="shared" si="8"/>
        <v>42</v>
      </c>
      <c r="D48" s="51" t="str">
        <f>VLOOKUP($C48,PrilimTable!$O:$T,2,FALSE)</f>
        <v>Rte 42 Cecilia/Cumberland</v>
      </c>
      <c r="E48" s="45">
        <f>SUMIF(PrilimTable!$N$4:$N$100,B48,PrilimTable!$Q$4:$Q$100)</f>
        <v>566.84999999999991</v>
      </c>
      <c r="F48" s="76">
        <f t="shared" si="13"/>
        <v>1.6221578671056142E-2</v>
      </c>
      <c r="G48" s="35">
        <f>SUMIF(PrilimTable!$O$4:$O$100,C48,PrilimTable!$S$4:$S$100)</f>
        <v>448</v>
      </c>
      <c r="H48" s="78">
        <f t="shared" si="14"/>
        <v>1.2740664903449649E-2</v>
      </c>
      <c r="I48" s="55">
        <f t="shared" si="9"/>
        <v>-118.84999999999991</v>
      </c>
      <c r="J48" s="100">
        <f t="shared" si="10"/>
        <v>-0.20966746052747628</v>
      </c>
      <c r="L48" s="87"/>
      <c r="M48" s="88"/>
      <c r="X48" s="23">
        <v>38</v>
      </c>
      <c r="Y48" s="23">
        <v>38</v>
      </c>
      <c r="Z48" s="51" t="str">
        <f t="shared" si="15"/>
        <v>Rte 38 Antioch Exp</v>
      </c>
      <c r="AA48" s="45">
        <f>SUMIF(PrilimTable!$N$4:$N$100,X48,PrilimTable!$Q$4:$Q$100)</f>
        <v>221.5</v>
      </c>
      <c r="AB48" s="46">
        <f t="shared" si="16"/>
        <v>6.338678090568821E-3</v>
      </c>
      <c r="AC48" s="35">
        <f>SUMIF(PrilimTable!$O$4:$O$100,Y48,PrilimTable!$S$4:$S$100)</f>
        <v>123</v>
      </c>
      <c r="AD48" s="44">
        <f t="shared" si="17"/>
        <v>3.4979950516167563E-3</v>
      </c>
      <c r="AE48" s="55">
        <f t="shared" si="11"/>
        <v>-98.5</v>
      </c>
      <c r="AF48" s="100">
        <f t="shared" si="12"/>
        <v>-0.44469525959367945</v>
      </c>
      <c r="AG48" s="51">
        <v>3400</v>
      </c>
    </row>
    <row r="49" spans="1:33" x14ac:dyDescent="0.25">
      <c r="A49" s="51">
        <f>VLOOKUP($C49,PrilimTable!$O:$U,7,FALSE)</f>
        <v>1</v>
      </c>
      <c r="B49" s="23">
        <v>43</v>
      </c>
      <c r="C49" s="51">
        <f t="shared" si="8"/>
        <v>43</v>
      </c>
      <c r="D49" s="51" t="str">
        <f>VLOOKUP($C49,PrilimTable!$O:$T,2,FALSE)</f>
        <v>Rte 43 Hickory Hills</v>
      </c>
      <c r="E49" s="45">
        <f>SUMIF(PrilimTable!$N$4:$N$100,B49,PrilimTable!$Q$4:$Q$100)</f>
        <v>262.39999999999998</v>
      </c>
      <c r="F49" s="76">
        <f t="shared" si="13"/>
        <v>7.5091157154187739E-3</v>
      </c>
      <c r="G49" s="35">
        <f>SUMIF(PrilimTable!$O$4:$O$100,C49,PrilimTable!$S$4:$S$100)</f>
        <v>82</v>
      </c>
      <c r="H49" s="78">
        <f t="shared" si="14"/>
        <v>2.3319967010778375E-3</v>
      </c>
      <c r="I49" s="55">
        <f t="shared" si="9"/>
        <v>-180.39999999999998</v>
      </c>
      <c r="J49" s="100">
        <f t="shared" si="10"/>
        <v>-0.6875</v>
      </c>
      <c r="L49" s="87"/>
      <c r="M49" s="88"/>
      <c r="X49" s="23">
        <v>35</v>
      </c>
      <c r="Y49" s="23">
        <v>35</v>
      </c>
      <c r="Z49" s="51" t="str">
        <f t="shared" si="15"/>
        <v>Rte 35 Rivergate Exp</v>
      </c>
      <c r="AA49" s="45">
        <f>SUMIF(PrilimTable!$N$4:$N$100,X49,PrilimTable!$Q$4:$Q$100)</f>
        <v>217.5</v>
      </c>
      <c r="AB49" s="46">
        <f t="shared" si="16"/>
        <v>6.2242098631996321E-3</v>
      </c>
      <c r="AC49" s="35">
        <f>SUMIF(PrilimTable!$O$4:$O$100,Y49,PrilimTable!$S$4:$S$100)</f>
        <v>92</v>
      </c>
      <c r="AD49" s="44">
        <f t="shared" si="17"/>
        <v>2.6163865426726959E-3</v>
      </c>
      <c r="AE49" s="55">
        <f t="shared" si="11"/>
        <v>-125.5</v>
      </c>
      <c r="AF49" s="100">
        <f t="shared" si="12"/>
        <v>-0.57701149425287357</v>
      </c>
      <c r="AG49" s="51">
        <v>3500</v>
      </c>
    </row>
    <row r="50" spans="1:33" x14ac:dyDescent="0.25">
      <c r="A50" s="51">
        <f>VLOOKUP($C50,PrilimTable!$O:$U,7,FALSE)</f>
        <v>1</v>
      </c>
      <c r="B50" s="23">
        <v>52</v>
      </c>
      <c r="C50" s="51">
        <f t="shared" si="8"/>
        <v>52</v>
      </c>
      <c r="D50" s="51" t="str">
        <f>VLOOKUP($C50,PrilimTable!$O:$T,2,FALSE)</f>
        <v>Rte 12 Nolensville Rd (Hick)</v>
      </c>
      <c r="E50" s="45">
        <f>SUMIF(PrilimTable!$N$4:$N$100,B50,PrilimTable!$Q$4:$Q$100)</f>
        <v>2496.4</v>
      </c>
      <c r="F50" s="76">
        <f t="shared" si="13"/>
        <v>7.1439620701110637E-2</v>
      </c>
      <c r="G50" s="35">
        <f>SUMIF(PrilimTable!$O$4:$O$100,C50,PrilimTable!$S$4:$S$100)</f>
        <v>2376</v>
      </c>
      <c r="H50" s="78">
        <f t="shared" si="14"/>
        <v>6.7571026362938311E-2</v>
      </c>
      <c r="I50" s="55">
        <f t="shared" si="9"/>
        <v>-120.40000000000009</v>
      </c>
      <c r="J50" s="100">
        <f t="shared" si="10"/>
        <v>-4.8229450408588399E-2</v>
      </c>
      <c r="L50" s="87"/>
      <c r="M50" s="88"/>
      <c r="X50" s="23">
        <v>33</v>
      </c>
      <c r="Y50" s="23">
        <v>33</v>
      </c>
      <c r="Z50" s="51" t="str">
        <f t="shared" si="15"/>
        <v>Rte 33 Old Hickory Exp</v>
      </c>
      <c r="AA50" s="45">
        <f>SUMIF(PrilimTable!$N$4:$N$100,X50,PrilimTable!$Q$4:$Q$100)</f>
        <v>212.4</v>
      </c>
      <c r="AB50" s="46">
        <f t="shared" si="16"/>
        <v>6.0782628733039171E-3</v>
      </c>
      <c r="AC50" s="35">
        <f>SUMIF(PrilimTable!$O$4:$O$100,Y50,PrilimTable!$S$4:$S$100)</f>
        <v>251</v>
      </c>
      <c r="AD50" s="44">
        <f t="shared" si="17"/>
        <v>7.1381850240309413E-3</v>
      </c>
      <c r="AE50" s="55">
        <f t="shared" si="11"/>
        <v>38.599999999999994</v>
      </c>
      <c r="AF50" s="100">
        <f t="shared" si="12"/>
        <v>0.18173258003766476</v>
      </c>
      <c r="AG50" s="51">
        <v>3600</v>
      </c>
    </row>
    <row r="51" spans="1:33" x14ac:dyDescent="0.25">
      <c r="A51" s="51">
        <f>VLOOKUP($C51,PrilimTable!$O:$U,7,FALSE)</f>
        <v>8</v>
      </c>
      <c r="B51" s="23">
        <v>56</v>
      </c>
      <c r="C51" s="51">
        <f t="shared" si="8"/>
        <v>56</v>
      </c>
      <c r="D51" s="51" t="str">
        <f>VLOOKUP($C51,PrilimTable!$O:$T,2,FALSE)</f>
        <v>Rte 56 Gallatin Rd BRT</v>
      </c>
      <c r="E51" s="45">
        <f>SUMIF(PrilimTable!$N$4:$N$100,B51,PrilimTable!$Q$4:$Q$100)</f>
        <v>2559.3000000000002</v>
      </c>
      <c r="F51" s="76">
        <f t="shared" si="13"/>
        <v>7.3239633576491131E-2</v>
      </c>
      <c r="G51" s="35">
        <f>SUMIF(PrilimTable!$O$4:$O$100,C51,PrilimTable!$S$4:$S$100)</f>
        <v>2716</v>
      </c>
      <c r="H51" s="78">
        <f t="shared" si="14"/>
        <v>7.7240280977163497E-2</v>
      </c>
      <c r="I51" s="55">
        <f t="shared" si="9"/>
        <v>156.69999999999982</v>
      </c>
      <c r="J51" s="100">
        <f t="shared" si="10"/>
        <v>6.1227679443597784E-2</v>
      </c>
      <c r="L51" s="87"/>
      <c r="M51" s="88"/>
      <c r="X51" s="23">
        <v>2</v>
      </c>
      <c r="Y51" s="23">
        <v>2</v>
      </c>
      <c r="Z51" s="51" t="str">
        <f t="shared" si="15"/>
        <v>Rte 2 Belmont</v>
      </c>
      <c r="AA51" s="45">
        <f>SUMIF(PrilimTable!$N$4:$N$100,X51,PrilimTable!$Q$4:$Q$100)</f>
        <v>197.60000000000002</v>
      </c>
      <c r="AB51" s="46">
        <f t="shared" si="16"/>
        <v>5.6547304320379195E-3</v>
      </c>
      <c r="AC51" s="35">
        <f>SUMIF(PrilimTable!$O$4:$O$100,Y51,PrilimTable!$S$4:$S$100)</f>
        <v>379</v>
      </c>
      <c r="AD51" s="44">
        <f t="shared" si="17"/>
        <v>1.0778374996445126E-2</v>
      </c>
      <c r="AE51" s="55">
        <f t="shared" si="11"/>
        <v>181.39999999999998</v>
      </c>
      <c r="AF51" s="100">
        <f t="shared" si="12"/>
        <v>0.91801619433198356</v>
      </c>
      <c r="AG51" s="51">
        <v>3700</v>
      </c>
    </row>
    <row r="52" spans="1:33" x14ac:dyDescent="0.25">
      <c r="A52" s="51">
        <f>VLOOKUP($C52,PrilimTable!$O:$U,7,FALSE)</f>
        <v>1</v>
      </c>
      <c r="B52" s="23">
        <v>60</v>
      </c>
      <c r="C52" s="51">
        <f t="shared" si="8"/>
        <v>60</v>
      </c>
      <c r="D52" s="51" t="str">
        <f>VLOOKUP($C52,PrilimTable!$O:$T,2,FALSE)</f>
        <v>Rte 60 Music City Blue Circuit</v>
      </c>
      <c r="E52" s="45">
        <f>SUMIF(PrilimTable!$N$4:$N$100,B52,PrilimTable!$Q$4:$Q$100)</f>
        <v>699.15</v>
      </c>
      <c r="F52" s="76">
        <f t="shared" si="13"/>
        <v>2.0007615291292059E-2</v>
      </c>
      <c r="G52" s="35">
        <f>SUMIF(PrilimTable!$O$4:$O$100,C52,PrilimTable!$S$4:$S$100)</f>
        <v>1488</v>
      </c>
      <c r="H52" s="78">
        <f t="shared" si="14"/>
        <v>4.2317208429314905E-2</v>
      </c>
      <c r="I52" s="55">
        <f t="shared" si="9"/>
        <v>788.85</v>
      </c>
      <c r="J52" s="100">
        <f t="shared" si="10"/>
        <v>1.1282986483587214</v>
      </c>
      <c r="L52" s="87"/>
      <c r="M52" s="88"/>
      <c r="X52" s="23">
        <v>96</v>
      </c>
      <c r="Y52" s="23">
        <v>96</v>
      </c>
      <c r="Z52" s="51" t="str">
        <f t="shared" si="15"/>
        <v>Rte 96 Murfreesboro Comm Bus</v>
      </c>
      <c r="AA52" s="45">
        <f>SUMIF(PrilimTable!$N$4:$N$100,X52,PrilimTable!$Q$4:$Q$100)</f>
        <v>150.57874000000001</v>
      </c>
      <c r="AB52" s="46">
        <f t="shared" si="16"/>
        <v>4.3091203618214856E-3</v>
      </c>
      <c r="AC52" s="35">
        <f>SUMIF(PrilimTable!$O$4:$O$100,Y52,PrilimTable!$S$4:$S$100)</f>
        <v>159</v>
      </c>
      <c r="AD52" s="44">
        <f t="shared" si="17"/>
        <v>4.5217984813582463E-3</v>
      </c>
      <c r="AE52" s="55">
        <f t="shared" si="11"/>
        <v>8.4212599999999895</v>
      </c>
      <c r="AF52" s="100">
        <f t="shared" si="12"/>
        <v>5.5925956081183767E-2</v>
      </c>
      <c r="AG52" s="51">
        <v>3800</v>
      </c>
    </row>
    <row r="53" spans="1:33" x14ac:dyDescent="0.25">
      <c r="A53" s="51">
        <f>VLOOKUP($C53,PrilimTable!$O:$U,7,FALSE)</f>
        <v>1</v>
      </c>
      <c r="B53" s="23">
        <v>61</v>
      </c>
      <c r="C53" s="51">
        <f t="shared" si="8"/>
        <v>61</v>
      </c>
      <c r="D53" s="51" t="str">
        <f>VLOOKUP($C53,PrilimTable!$O:$T,2,FALSE)</f>
        <v>Rte 61 Music City Green Circuit</v>
      </c>
      <c r="E53" s="45">
        <f>SUMIF(PrilimTable!$N$4:$N$100,B53,PrilimTable!$Q$4:$Q$100)</f>
        <v>605.75</v>
      </c>
      <c r="F53" s="76">
        <f t="shared" si="13"/>
        <v>1.7334782182221505E-2</v>
      </c>
      <c r="G53" s="35">
        <f>SUMIF(PrilimTable!$O$4:$O$100,C53,PrilimTable!$S$4:$S$100)</f>
        <v>493</v>
      </c>
      <c r="H53" s="78">
        <f t="shared" si="14"/>
        <v>1.402041919062651E-2</v>
      </c>
      <c r="I53" s="55">
        <f t="shared" si="9"/>
        <v>-112.75</v>
      </c>
      <c r="J53" s="100">
        <f t="shared" si="10"/>
        <v>-0.18613289310771772</v>
      </c>
      <c r="L53" s="87"/>
      <c r="M53" s="88"/>
      <c r="X53" s="23">
        <v>84</v>
      </c>
      <c r="Y53" s="23">
        <v>84</v>
      </c>
      <c r="Z53" s="51" t="str">
        <f t="shared" si="15"/>
        <v>Rte 84</v>
      </c>
      <c r="AA53" s="45">
        <f>SUMIF(PrilimTable!$N$4:$N$100,X53,PrilimTable!$Q$4:$Q$100)</f>
        <v>147.10000000000002</v>
      </c>
      <c r="AB53" s="46">
        <f t="shared" si="16"/>
        <v>4.2095690615019127E-3</v>
      </c>
      <c r="AC53" s="35">
        <f>SUMIF(PrilimTable!$O$4:$O$100,Y53,PrilimTable!$S$4:$S$100)</f>
        <v>249</v>
      </c>
      <c r="AD53" s="44">
        <f t="shared" si="17"/>
        <v>7.08130705571197E-3</v>
      </c>
      <c r="AE53" s="55">
        <f t="shared" si="11"/>
        <v>101.89999999999998</v>
      </c>
      <c r="AF53" s="100">
        <f t="shared" si="12"/>
        <v>0.69272603670972099</v>
      </c>
      <c r="AG53" s="51">
        <v>3900</v>
      </c>
    </row>
    <row r="54" spans="1:33" x14ac:dyDescent="0.25">
      <c r="A54" s="51">
        <f>VLOOKUP($C54,PrilimTable!$O:$U,7,FALSE)</f>
        <v>1</v>
      </c>
      <c r="B54" s="23">
        <v>72</v>
      </c>
      <c r="C54" s="51">
        <f t="shared" si="8"/>
        <v>72</v>
      </c>
      <c r="D54" s="51" t="str">
        <f>VLOOKUP($C54,PrilimTable!$O:$T,2,FALSE)</f>
        <v>Rte 72 Edmondson Pike Conn Loop</v>
      </c>
      <c r="E54" s="45">
        <f>SUMIF(PrilimTable!$N$4:$N$100,B54,PrilimTable!$Q$4:$Q$100)</f>
        <v>104.3</v>
      </c>
      <c r="F54" s="76">
        <f t="shared" si="13"/>
        <v>2.9847590286515937E-3</v>
      </c>
      <c r="G54" s="35">
        <f>SUMIF(PrilimTable!$O$4:$O$100,C54,PrilimTable!$S$4:$S$100)</f>
        <v>28</v>
      </c>
      <c r="H54" s="78">
        <f t="shared" si="14"/>
        <v>7.9629155646560306E-4</v>
      </c>
      <c r="I54" s="55">
        <f t="shared" si="9"/>
        <v>-76.3</v>
      </c>
      <c r="J54" s="100">
        <f t="shared" si="10"/>
        <v>-0.73154362416107377</v>
      </c>
      <c r="L54" s="87"/>
      <c r="M54" s="88"/>
      <c r="X54" s="23">
        <v>36</v>
      </c>
      <c r="Y54" s="23">
        <v>36</v>
      </c>
      <c r="Z54" s="51" t="str">
        <f t="shared" si="15"/>
        <v>Rte 36 Madison Express</v>
      </c>
      <c r="AA54" s="45">
        <f>SUMIF(PrilimTable!$N$4:$N$100,X54,PrilimTable!$Q$4:$Q$100)</f>
        <v>129.14999999999998</v>
      </c>
      <c r="AB54" s="46">
        <f t="shared" si="16"/>
        <v>3.6958928911826777E-3</v>
      </c>
      <c r="AC54" s="35">
        <f>SUMIF(PrilimTable!$O$4:$O$100,Y54,PrilimTable!$S$4:$S$100)</f>
        <v>201</v>
      </c>
      <c r="AD54" s="44">
        <f t="shared" si="17"/>
        <v>5.7162358160566503E-3</v>
      </c>
      <c r="AE54" s="55">
        <f t="shared" si="11"/>
        <v>71.850000000000023</v>
      </c>
      <c r="AF54" s="100">
        <f t="shared" si="12"/>
        <v>0.55632984901277616</v>
      </c>
      <c r="AG54" s="51">
        <v>4000</v>
      </c>
    </row>
    <row r="55" spans="1:33" x14ac:dyDescent="0.25">
      <c r="A55" s="51">
        <f>VLOOKUP($C55,PrilimTable!$O:$U,7,FALSE)</f>
        <v>1</v>
      </c>
      <c r="B55" s="23">
        <v>76</v>
      </c>
      <c r="C55" s="51">
        <f t="shared" si="8"/>
        <v>76</v>
      </c>
      <c r="D55" s="51" t="str">
        <f>VLOOKUP($C55,PrilimTable!$O:$T,2,FALSE)</f>
        <v>Rte 76 Madison Conn Anderson</v>
      </c>
      <c r="E55" s="45">
        <f>SUMIF(PrilimTable!$N$4:$N$100,B55,PrilimTable!$Q$4:$Q$100)</f>
        <v>419.15</v>
      </c>
      <c r="F55" s="76">
        <f t="shared" si="13"/>
        <v>1.1994839375448854E-2</v>
      </c>
      <c r="G55" s="35">
        <f>SUMIF(PrilimTable!$O$4:$O$100,C55,PrilimTable!$S$4:$S$100)</f>
        <v>46</v>
      </c>
      <c r="H55" s="78">
        <f t="shared" si="14"/>
        <v>1.308193271336348E-3</v>
      </c>
      <c r="I55" s="55">
        <f t="shared" si="9"/>
        <v>-373.15</v>
      </c>
      <c r="J55" s="100">
        <f t="shared" si="10"/>
        <v>-0.89025408564952879</v>
      </c>
      <c r="L55" s="87"/>
      <c r="M55" s="88"/>
      <c r="X55" s="23">
        <v>41</v>
      </c>
      <c r="Y55" s="23">
        <v>41</v>
      </c>
      <c r="Z55" s="51" t="str">
        <f t="shared" si="15"/>
        <v>Rte 41 Golden Valley OB</v>
      </c>
      <c r="AA55" s="45">
        <f>SUMIF(PrilimTable!$N$4:$N$100,X55,PrilimTable!$Q$4:$Q$100)</f>
        <v>128.80000000000001</v>
      </c>
      <c r="AB55" s="46">
        <f t="shared" si="16"/>
        <v>3.6858769212878744E-3</v>
      </c>
      <c r="AC55" s="35">
        <f>SUMIF(PrilimTable!$O$4:$O$100,Y55,PrilimTable!$S$4:$S$100)</f>
        <v>13</v>
      </c>
      <c r="AD55" s="44">
        <f t="shared" si="17"/>
        <v>3.697067940733157E-4</v>
      </c>
      <c r="AE55" s="55">
        <f t="shared" si="11"/>
        <v>-115.80000000000001</v>
      </c>
      <c r="AF55" s="100">
        <f t="shared" si="12"/>
        <v>-0.89906832298136652</v>
      </c>
      <c r="AG55" s="51">
        <v>4100</v>
      </c>
    </row>
    <row r="56" spans="1:33" x14ac:dyDescent="0.25">
      <c r="A56" s="51">
        <f>VLOOKUP($C56,PrilimTable!$O:$U,7,FALSE)</f>
        <v>1</v>
      </c>
      <c r="B56" s="23">
        <v>77</v>
      </c>
      <c r="C56" s="51">
        <f t="shared" si="8"/>
        <v>77</v>
      </c>
      <c r="D56" s="51" t="str">
        <f>VLOOKUP($C56,PrilimTable!$O:$T,2,FALSE)</f>
        <v>Rte 77 Thompson Connector EB</v>
      </c>
      <c r="E56" s="45">
        <f>SUMIF(PrilimTable!$N$4:$N$100,B56,PrilimTable!$Q$4:$Q$100)</f>
        <v>86.3</v>
      </c>
      <c r="F56" s="76">
        <f t="shared" si="13"/>
        <v>2.4696520054902447E-3</v>
      </c>
      <c r="G56" s="35">
        <f>SUMIF(PrilimTable!$O$4:$O$100,C56,PrilimTable!$S$4:$S$100)</f>
        <v>34</v>
      </c>
      <c r="H56" s="78">
        <f t="shared" si="14"/>
        <v>9.6692546142251802E-4</v>
      </c>
      <c r="I56" s="55">
        <f t="shared" si="9"/>
        <v>-52.3</v>
      </c>
      <c r="J56" s="100">
        <f t="shared" si="10"/>
        <v>-0.60602549246813442</v>
      </c>
      <c r="L56" s="87"/>
      <c r="M56" s="88"/>
      <c r="X56" s="83">
        <v>1</v>
      </c>
      <c r="Y56" s="83">
        <v>1</v>
      </c>
      <c r="Z56" s="51" t="str">
        <f t="shared" si="15"/>
        <v>Rte 1 100 Oaks</v>
      </c>
      <c r="AA56" s="45">
        <f>SUMIF(PrilimTable!$N$4:$N$100,X56,PrilimTable!$Q$4:$Q$100)</f>
        <v>118.9</v>
      </c>
      <c r="AB56" s="46">
        <f t="shared" si="16"/>
        <v>3.4025680585491325E-3</v>
      </c>
      <c r="AC56" s="35">
        <f>SUMIF(PrilimTable!$O$4:$O$100,Y56,PrilimTable!$S$4:$S$100)</f>
        <v>203</v>
      </c>
      <c r="AD56" s="44">
        <f t="shared" si="17"/>
        <v>5.7731137843756225E-3</v>
      </c>
      <c r="AE56" s="55">
        <f t="shared" si="11"/>
        <v>84.1</v>
      </c>
      <c r="AF56" s="100">
        <f t="shared" si="12"/>
        <v>0.70731707317073167</v>
      </c>
      <c r="AG56" s="51">
        <v>4200</v>
      </c>
    </row>
    <row r="57" spans="1:33" x14ac:dyDescent="0.25">
      <c r="A57" s="51">
        <f>VLOOKUP($C57,PrilimTable!$O:$U,7,FALSE)</f>
        <v>6</v>
      </c>
      <c r="B57" s="83">
        <v>84</v>
      </c>
      <c r="C57" s="51">
        <f t="shared" si="8"/>
        <v>84</v>
      </c>
      <c r="D57" s="51" t="str">
        <f>VLOOKUP($C57,PrilimTable!$O:$T,2,FALSE)</f>
        <v>Rte 84</v>
      </c>
      <c r="E57" s="45">
        <f>SUMIF(PrilimTable!$N$4:$N$100,B57,PrilimTable!$Q$4:$Q$100)</f>
        <v>147.10000000000002</v>
      </c>
      <c r="F57" s="76">
        <f t="shared" si="13"/>
        <v>4.2095690615019127E-3</v>
      </c>
      <c r="G57" s="35">
        <f>SUMIF(PrilimTable!$O$4:$O$100,C57,PrilimTable!$S$4:$S$100)</f>
        <v>249</v>
      </c>
      <c r="H57" s="78">
        <f t="shared" si="14"/>
        <v>7.08130705571197E-3</v>
      </c>
      <c r="I57" s="55">
        <f t="shared" si="9"/>
        <v>101.89999999999998</v>
      </c>
      <c r="J57" s="100">
        <f t="shared" si="10"/>
        <v>0.69272603670972099</v>
      </c>
      <c r="L57" s="87"/>
      <c r="M57" s="88"/>
      <c r="X57" s="83">
        <v>27</v>
      </c>
      <c r="Y57" s="83">
        <v>27</v>
      </c>
      <c r="Z57" s="51" t="str">
        <f t="shared" si="15"/>
        <v>Rte 27 Old Hickory</v>
      </c>
      <c r="AA57" s="45">
        <f>SUMIF(PrilimTable!$N$4:$N$100,X57,PrilimTable!$Q$4:$Q$100)</f>
        <v>108.2</v>
      </c>
      <c r="AB57" s="46">
        <f t="shared" si="16"/>
        <v>3.096365550336553E-3</v>
      </c>
      <c r="AC57" s="35">
        <f>SUMIF(PrilimTable!$O$4:$O$100,Y57,PrilimTable!$S$4:$S$100)</f>
        <v>77</v>
      </c>
      <c r="AD57" s="44">
        <f t="shared" si="17"/>
        <v>2.1898017802804083E-3</v>
      </c>
      <c r="AE57" s="55">
        <f t="shared" si="11"/>
        <v>-31.200000000000003</v>
      </c>
      <c r="AF57" s="100">
        <f t="shared" si="12"/>
        <v>-0.28835489833641409</v>
      </c>
      <c r="AG57" s="51">
        <v>4300</v>
      </c>
    </row>
    <row r="58" spans="1:33" x14ac:dyDescent="0.25">
      <c r="A58" s="51">
        <f>VLOOKUP($C58,PrilimTable!$O:$U,7,FALSE)</f>
        <v>6</v>
      </c>
      <c r="B58" s="83">
        <v>86</v>
      </c>
      <c r="C58" s="51">
        <f t="shared" si="8"/>
        <v>86</v>
      </c>
      <c r="D58" s="51" t="str">
        <f>VLOOKUP($C58,PrilimTable!$O:$T,2,FALSE)</f>
        <v>Rte 86 Smyrna Lavergne Exp</v>
      </c>
      <c r="E58" s="45">
        <f>SUMIF(PrilimTable!$N$4:$N$100,B58,PrilimTable!$Q$4:$Q$100)</f>
        <v>104.85</v>
      </c>
      <c r="F58" s="76">
        <f t="shared" si="13"/>
        <v>3.0004984099148571E-3</v>
      </c>
      <c r="G58" s="35">
        <f>SUMIF(PrilimTable!$O$4:$O$100,C58,PrilimTable!$S$4:$S$100)</f>
        <v>14</v>
      </c>
      <c r="H58" s="78">
        <f t="shared" si="14"/>
        <v>3.9814577823280153E-4</v>
      </c>
      <c r="I58" s="55">
        <f t="shared" si="9"/>
        <v>-90.85</v>
      </c>
      <c r="J58" s="100">
        <f t="shared" si="10"/>
        <v>-0.86647591797806389</v>
      </c>
      <c r="L58" s="87"/>
      <c r="M58" s="88"/>
      <c r="X58" s="83">
        <v>86</v>
      </c>
      <c r="Y58" s="83">
        <v>86</v>
      </c>
      <c r="Z58" s="51" t="str">
        <f t="shared" si="15"/>
        <v>Rte 86 Smyrna Lavergne Exp</v>
      </c>
      <c r="AA58" s="45">
        <f>SUMIF(PrilimTable!$N$4:$N$100,X58,PrilimTable!$Q$4:$Q$100)</f>
        <v>104.85</v>
      </c>
      <c r="AB58" s="46">
        <f t="shared" si="16"/>
        <v>3.0004984099148571E-3</v>
      </c>
      <c r="AC58" s="35">
        <f>SUMIF(PrilimTable!$O$4:$O$100,Y58,PrilimTable!$S$4:$S$100)</f>
        <v>14</v>
      </c>
      <c r="AD58" s="44">
        <f t="shared" si="17"/>
        <v>3.9814577823280153E-4</v>
      </c>
      <c r="AE58" s="55">
        <f t="shared" si="11"/>
        <v>-90.85</v>
      </c>
      <c r="AF58" s="100">
        <f t="shared" si="12"/>
        <v>-0.86647591797806389</v>
      </c>
      <c r="AG58" s="51">
        <v>4400</v>
      </c>
    </row>
    <row r="59" spans="1:33" x14ac:dyDescent="0.25">
      <c r="A59" s="51">
        <f>VLOOKUP($C59,PrilimTable!$O:$U,7,FALSE)</f>
        <v>7</v>
      </c>
      <c r="B59" s="83">
        <v>87</v>
      </c>
      <c r="C59" s="51">
        <f t="shared" si="8"/>
        <v>87</v>
      </c>
      <c r="D59" s="51" t="str">
        <f>VLOOKUP($C59,PrilimTable!$O:$T,2,FALSE)</f>
        <v>Rte 87 Gallatin Comm Bus</v>
      </c>
      <c r="E59" s="45">
        <f>SUMIF(PrilimTable!$N$4:$N$100,B59,PrilimTable!$Q$4:$Q$100)</f>
        <v>86.271653999999998</v>
      </c>
      <c r="F59" s="76">
        <f t="shared" si="13"/>
        <v>2.4688408263969933E-3</v>
      </c>
      <c r="G59" s="35">
        <f>SUMIF(PrilimTable!$O$4:$O$100,C59,PrilimTable!$S$4:$S$100)</f>
        <v>24</v>
      </c>
      <c r="H59" s="78">
        <f t="shared" si="14"/>
        <v>6.8253561982765975E-4</v>
      </c>
      <c r="I59" s="55">
        <f t="shared" si="9"/>
        <v>-62.271653999999998</v>
      </c>
      <c r="J59" s="100">
        <f t="shared" si="10"/>
        <v>-0.72180897331584715</v>
      </c>
      <c r="L59" s="87"/>
      <c r="M59" s="88"/>
      <c r="X59" s="84">
        <v>72</v>
      </c>
      <c r="Y59" s="84">
        <v>72</v>
      </c>
      <c r="Z59" s="51" t="str">
        <f t="shared" si="15"/>
        <v>Rte 72 Edmondson Pike Conn Loop</v>
      </c>
      <c r="AA59" s="45">
        <f>SUMIF(PrilimTable!$N$4:$N$100,X59,PrilimTable!$Q$4:$Q$100)</f>
        <v>104.3</v>
      </c>
      <c r="AB59" s="46">
        <f t="shared" si="16"/>
        <v>2.9847590286515937E-3</v>
      </c>
      <c r="AC59" s="35">
        <f>SUMIF(PrilimTable!$O$4:$O$100,Y59,PrilimTable!$S$4:$S$100)</f>
        <v>28</v>
      </c>
      <c r="AD59" s="44">
        <f t="shared" si="17"/>
        <v>7.9629155646560306E-4</v>
      </c>
      <c r="AE59" s="55">
        <f t="shared" si="11"/>
        <v>-76.3</v>
      </c>
      <c r="AF59" s="100">
        <f t="shared" si="12"/>
        <v>-0.73154362416107377</v>
      </c>
      <c r="AG59" s="51">
        <v>4500</v>
      </c>
    </row>
    <row r="60" spans="1:33" x14ac:dyDescent="0.25">
      <c r="A60" s="51">
        <f>VLOOKUP($C60,PrilimTable!$O:$U,7,FALSE)</f>
        <v>6</v>
      </c>
      <c r="B60" s="84">
        <v>89</v>
      </c>
      <c r="C60" s="51">
        <f t="shared" si="8"/>
        <v>89</v>
      </c>
      <c r="D60" s="51" t="str">
        <f>VLOOKUP($C60,PrilimTable!$O:$T,2,FALSE)</f>
        <v>Rte 89 Sprgfield/Joelton Exp</v>
      </c>
      <c r="E60" s="45">
        <f>SUMIF(PrilimTable!$N$4:$N$100,B60,PrilimTable!$Q$4:$Q$100)</f>
        <v>65.456693000000001</v>
      </c>
      <c r="F60" s="76">
        <f t="shared" si="13"/>
        <v>1.8731779042897947E-3</v>
      </c>
      <c r="G60" s="35">
        <f>SUMIF(PrilimTable!$O$4:$O$100,C60,PrilimTable!$S$4:$S$100)</f>
        <v>45</v>
      </c>
      <c r="H60" s="78">
        <f t="shared" si="14"/>
        <v>1.2797542871768621E-3</v>
      </c>
      <c r="I60" s="55">
        <f t="shared" ref="I60:I65" si="18">G60-E60</f>
        <v>-20.456693000000001</v>
      </c>
      <c r="J60" s="100">
        <f t="shared" si="10"/>
        <v>-0.31252255594397355</v>
      </c>
      <c r="L60" s="89"/>
      <c r="M60" s="88"/>
      <c r="X60" s="51">
        <v>91</v>
      </c>
      <c r="Y60" s="51">
        <v>91</v>
      </c>
      <c r="Z60" s="51" t="str">
        <f t="shared" si="15"/>
        <v>Rte 91 Franklin/Brentwood Exp</v>
      </c>
      <c r="AA60" s="45">
        <f>SUMIF(PrilimTable!$N$4:$N$100,X60,PrilimTable!$Q$4:$Q$100)</f>
        <v>93.129920999999996</v>
      </c>
      <c r="AB60" s="46">
        <f t="shared" si="16"/>
        <v>2.6651042429756437E-3</v>
      </c>
      <c r="AC60" s="35">
        <f>SUMIF(PrilimTable!$O$4:$O$100,Y60,PrilimTable!$S$4:$S$100)</f>
        <v>0</v>
      </c>
      <c r="AD60" s="44">
        <f t="shared" si="17"/>
        <v>0</v>
      </c>
      <c r="AE60" s="55">
        <f t="shared" si="11"/>
        <v>-93.129920999999996</v>
      </c>
      <c r="AF60" s="100">
        <f t="shared" si="12"/>
        <v>-1</v>
      </c>
      <c r="AG60" s="51">
        <v>4600</v>
      </c>
    </row>
    <row r="61" spans="1:33" x14ac:dyDescent="0.25">
      <c r="A61" s="51">
        <f>VLOOKUP($C61,PrilimTable!$O:$U,7,FALSE)</f>
        <v>6</v>
      </c>
      <c r="B61" s="5">
        <v>91</v>
      </c>
      <c r="C61" s="51">
        <f t="shared" si="8"/>
        <v>91</v>
      </c>
      <c r="D61" s="51" t="str">
        <f>VLOOKUP($C61,PrilimTable!$O:$T,2,FALSE)</f>
        <v>Rte 91 Franklin/Brentwood Exp</v>
      </c>
      <c r="E61" s="45">
        <f>SUMIF(PrilimTable!$N$4:$N$100,B61,PrilimTable!$Q$4:$Q$100)</f>
        <v>93.129920999999996</v>
      </c>
      <c r="F61" s="76">
        <f t="shared" si="13"/>
        <v>2.6651042429756437E-3</v>
      </c>
      <c r="G61" s="35">
        <f>SUMIF(PrilimTable!$O$4:$O$100,C61,PrilimTable!$S$4:$S$100)</f>
        <v>0</v>
      </c>
      <c r="H61" s="78">
        <f t="shared" si="14"/>
        <v>0</v>
      </c>
      <c r="I61" s="55">
        <f t="shared" si="18"/>
        <v>-93.129920999999996</v>
      </c>
      <c r="J61" s="100">
        <f t="shared" si="10"/>
        <v>-1</v>
      </c>
      <c r="L61" s="39"/>
      <c r="M61" s="39"/>
      <c r="X61" s="51">
        <v>92</v>
      </c>
      <c r="Y61" s="51">
        <v>92</v>
      </c>
      <c r="Z61" s="51" t="str">
        <f t="shared" si="15"/>
        <v>Rte 92 Bus</v>
      </c>
      <c r="AA61" s="45">
        <f>SUMIF(PrilimTable!$N$4:$N$100,X61,PrilimTable!$Q$4:$Q$100)</f>
        <v>89.318898000000004</v>
      </c>
      <c r="AB61" s="46">
        <f t="shared" si="16"/>
        <v>2.5560439811573425E-3</v>
      </c>
      <c r="AC61" s="35">
        <f>SUMIF(PrilimTable!$O$4:$O$100,Y61,PrilimTable!$S$4:$S$100)</f>
        <v>28</v>
      </c>
      <c r="AD61" s="44">
        <f t="shared" si="17"/>
        <v>7.9629155646560306E-4</v>
      </c>
      <c r="AE61" s="55">
        <f t="shared" si="11"/>
        <v>-61.318898000000004</v>
      </c>
      <c r="AF61" s="100">
        <f t="shared" si="12"/>
        <v>-0.68651650852208235</v>
      </c>
      <c r="AG61" s="51">
        <v>4700</v>
      </c>
    </row>
    <row r="62" spans="1:33" x14ac:dyDescent="0.25">
      <c r="A62" s="51">
        <f>VLOOKUP($C62,PrilimTable!$O:$U,7,FALSE)</f>
        <v>7</v>
      </c>
      <c r="B62">
        <v>92</v>
      </c>
      <c r="C62" s="51">
        <f t="shared" si="8"/>
        <v>92</v>
      </c>
      <c r="D62" s="51" t="str">
        <f>VLOOKUP($C62,PrilimTable!$O:$T,2,FALSE)</f>
        <v>Rte 92 Bus</v>
      </c>
      <c r="E62" s="45">
        <f>SUMIF(PrilimTable!$N$4:$N$100,B62,PrilimTable!$Q$4:$Q$100)</f>
        <v>89.318898000000004</v>
      </c>
      <c r="F62" s="76">
        <f t="shared" si="13"/>
        <v>2.5560439811573425E-3</v>
      </c>
      <c r="G62" s="35">
        <f>SUMIF(PrilimTable!$O$4:$O$100,C62,PrilimTable!$S$4:$S$100)</f>
        <v>28</v>
      </c>
      <c r="H62" s="78">
        <f t="shared" si="14"/>
        <v>7.9629155646560306E-4</v>
      </c>
      <c r="I62" s="55">
        <f t="shared" si="18"/>
        <v>-61.318898000000004</v>
      </c>
      <c r="J62" s="100">
        <f t="shared" si="10"/>
        <v>-0.68651650852208235</v>
      </c>
      <c r="L62" s="39"/>
      <c r="M62" s="39"/>
      <c r="X62" s="51">
        <v>77</v>
      </c>
      <c r="Y62" s="51">
        <v>77</v>
      </c>
      <c r="Z62" s="51" t="str">
        <f t="shared" si="15"/>
        <v>Rte 77 Thompson Connector EB</v>
      </c>
      <c r="AA62" s="45">
        <f>SUMIF(PrilimTable!$N$4:$N$100,X62,PrilimTable!$Q$4:$Q$100)</f>
        <v>86.3</v>
      </c>
      <c r="AB62" s="46">
        <f t="shared" si="16"/>
        <v>2.4696520054902447E-3</v>
      </c>
      <c r="AC62" s="35">
        <f>SUMIF(PrilimTable!$O$4:$O$100,Y62,PrilimTable!$S$4:$S$100)</f>
        <v>34</v>
      </c>
      <c r="AD62" s="44">
        <f t="shared" si="17"/>
        <v>9.6692546142251802E-4</v>
      </c>
      <c r="AE62" s="55">
        <f t="shared" si="11"/>
        <v>-52.3</v>
      </c>
      <c r="AF62" s="100">
        <f t="shared" si="12"/>
        <v>-0.60602549246813442</v>
      </c>
      <c r="AG62" s="51">
        <v>4800</v>
      </c>
    </row>
    <row r="63" spans="1:33" x14ac:dyDescent="0.25">
      <c r="A63" s="5">
        <f>VLOOKUP($C63,PrilimTable!$O:$U,7,FALSE)</f>
        <v>11</v>
      </c>
      <c r="B63" s="5">
        <v>93</v>
      </c>
      <c r="C63" s="5">
        <f t="shared" si="8"/>
        <v>93</v>
      </c>
      <c r="D63" s="51" t="str">
        <f>VLOOKUP($C63,PrilimTable!$O:$T,2,FALSE)</f>
        <v>Rte 201 MCS West End Shuttle</v>
      </c>
      <c r="E63" s="45">
        <f>SUMIF(PrilimTable!$N$4:$N$100,B63,PrilimTable!$Q$4:$Q$100)</f>
        <v>287.35000000000002</v>
      </c>
      <c r="F63" s="76">
        <f t="shared" si="13"/>
        <v>8.2231112836340901E-3</v>
      </c>
      <c r="G63" s="35">
        <f>SUMIF(PrilimTable!$O$4:$O$100,C63,PrilimTable!$S$4:$S$100)</f>
        <v>759</v>
      </c>
      <c r="H63" s="78">
        <f t="shared" si="14"/>
        <v>2.1585188977049741E-2</v>
      </c>
      <c r="I63" s="55">
        <f t="shared" si="18"/>
        <v>471.65</v>
      </c>
      <c r="J63" s="100">
        <f t="shared" si="10"/>
        <v>1.6413781103184268</v>
      </c>
      <c r="L63" s="39"/>
      <c r="M63" s="39"/>
      <c r="X63" s="51">
        <v>87</v>
      </c>
      <c r="Y63" s="51">
        <v>87</v>
      </c>
      <c r="Z63" s="51" t="str">
        <f t="shared" si="15"/>
        <v>Rte 87 Gallatin Comm Bus</v>
      </c>
      <c r="AA63" s="45">
        <f>SUMIF(PrilimTable!$N$4:$N$100,X63,PrilimTable!$Q$4:$Q$100)</f>
        <v>86.271653999999998</v>
      </c>
      <c r="AB63" s="46">
        <f t="shared" si="16"/>
        <v>2.4688408263969933E-3</v>
      </c>
      <c r="AC63" s="35">
        <f>SUMIF(PrilimTable!$O$4:$O$100,Y63,PrilimTable!$S$4:$S$100)</f>
        <v>24</v>
      </c>
      <c r="AD63" s="44">
        <f t="shared" si="17"/>
        <v>6.8253561982765975E-4</v>
      </c>
      <c r="AE63" s="55">
        <f t="shared" si="11"/>
        <v>-62.271653999999998</v>
      </c>
      <c r="AF63" s="100">
        <f t="shared" si="12"/>
        <v>-0.72180897331584715</v>
      </c>
      <c r="AG63" s="51">
        <v>4900</v>
      </c>
    </row>
    <row r="64" spans="1:33" x14ac:dyDescent="0.25">
      <c r="A64" s="5">
        <f>VLOOKUP($C64,PrilimTable!$O:$U,7,FALSE)</f>
        <v>6</v>
      </c>
      <c r="B64" s="5">
        <v>95</v>
      </c>
      <c r="C64" s="5">
        <f t="shared" si="8"/>
        <v>95</v>
      </c>
      <c r="D64" s="51" t="str">
        <f>VLOOKUP($C64,PrilimTable!$O:$T,2,FALSE)</f>
        <v>Rte 95 Spring Hill Exp</v>
      </c>
      <c r="E64" s="45">
        <f>SUMIF(PrilimTable!$N$4:$N$100,B64,PrilimTable!$Q$4:$Q$100)</f>
        <v>71.452755999999994</v>
      </c>
      <c r="F64" s="76">
        <f t="shared" si="13"/>
        <v>2.0447675799907892E-3</v>
      </c>
      <c r="G64" s="35">
        <f>SUMIF(PrilimTable!$O$4:$O$100,C64,PrilimTable!$S$4:$S$100)</f>
        <v>0</v>
      </c>
      <c r="H64" s="78">
        <f t="shared" si="14"/>
        <v>0</v>
      </c>
      <c r="I64" s="55">
        <f t="shared" si="18"/>
        <v>-71.452755999999994</v>
      </c>
      <c r="J64" s="100">
        <f t="shared" si="10"/>
        <v>-1</v>
      </c>
      <c r="L64" s="39"/>
      <c r="M64" s="39"/>
      <c r="X64" s="5">
        <v>95</v>
      </c>
      <c r="Y64" s="5">
        <v>95</v>
      </c>
      <c r="Z64" s="51" t="str">
        <f t="shared" si="15"/>
        <v>Rte 95 Spring Hill Exp</v>
      </c>
      <c r="AA64" s="45">
        <f>SUMIF(PrilimTable!$N$4:$N$100,X64,PrilimTable!$Q$4:$Q$100)</f>
        <v>71.452755999999994</v>
      </c>
      <c r="AB64" s="46">
        <f t="shared" si="16"/>
        <v>2.0447675799907892E-3</v>
      </c>
      <c r="AC64" s="35">
        <f>SUMIF(PrilimTable!$O$4:$O$100,Y64,PrilimTable!$S$4:$S$100)</f>
        <v>0</v>
      </c>
      <c r="AD64" s="44">
        <f t="shared" si="17"/>
        <v>0</v>
      </c>
      <c r="AE64" s="55">
        <f t="shared" si="11"/>
        <v>-71.452755999999994</v>
      </c>
      <c r="AF64" s="100">
        <f t="shared" si="12"/>
        <v>-1</v>
      </c>
      <c r="AG64" s="51">
        <v>5000</v>
      </c>
    </row>
    <row r="65" spans="1:32" x14ac:dyDescent="0.25">
      <c r="A65" s="5">
        <f>VLOOKUP($C65,PrilimTable!$O:$U,7,FALSE)</f>
        <v>7</v>
      </c>
      <c r="B65" s="5">
        <v>96</v>
      </c>
      <c r="C65" s="5">
        <f t="shared" si="8"/>
        <v>96</v>
      </c>
      <c r="D65" s="51" t="str">
        <f>VLOOKUP($C65,PrilimTable!$O:$T,2,FALSE)</f>
        <v>Rte 96 Murfreesboro Comm Bus</v>
      </c>
      <c r="E65" s="45">
        <f>SUMIF(PrilimTable!$N$4:$N$100,B65,PrilimTable!$Q$4:$Q$100)</f>
        <v>150.57874000000001</v>
      </c>
      <c r="F65" s="76">
        <f t="shared" si="13"/>
        <v>4.3091203618214856E-3</v>
      </c>
      <c r="G65" s="35">
        <f>SUMIF(PrilimTable!$O$4:$O$100,C65,PrilimTable!$S$4:$S$100)</f>
        <v>159</v>
      </c>
      <c r="H65" s="78">
        <f t="shared" si="14"/>
        <v>4.5217984813582463E-3</v>
      </c>
      <c r="I65" s="55">
        <f t="shared" si="18"/>
        <v>8.4212599999999895</v>
      </c>
      <c r="J65" s="100">
        <f t="shared" si="10"/>
        <v>5.5925956081183767E-2</v>
      </c>
      <c r="L65" s="39"/>
      <c r="M65" s="39"/>
      <c r="X65" s="5">
        <v>37</v>
      </c>
      <c r="Y65" s="5">
        <v>37</v>
      </c>
      <c r="Z65" s="51" t="str">
        <f t="shared" si="15"/>
        <v>Rte 37X Tusculum/McMurray EXP</v>
      </c>
      <c r="AA65" s="45">
        <f>SUMIF(PrilimTable!$N$4:$N$100,X65,PrilimTable!$Q$4:$Q$100)</f>
        <v>71.199999999999989</v>
      </c>
      <c r="AB65" s="46">
        <f t="shared" si="16"/>
        <v>2.0375344471715573E-3</v>
      </c>
      <c r="AC65" s="35">
        <f>SUMIF(PrilimTable!$O$4:$O$100,Y65,PrilimTable!$S$4:$S$100)</f>
        <v>226</v>
      </c>
      <c r="AD65" s="44">
        <f t="shared" si="17"/>
        <v>6.4272104200437958E-3</v>
      </c>
      <c r="AE65" s="55">
        <f t="shared" si="11"/>
        <v>154.80000000000001</v>
      </c>
      <c r="AF65" s="100">
        <f t="shared" si="12"/>
        <v>2.1741573033707868</v>
      </c>
    </row>
    <row r="66" spans="1:32" x14ac:dyDescent="0.25">
      <c r="A66" s="5">
        <f>VLOOKUP($C66,PrilimTable!$O:$U,7,FALSE)</f>
        <v>12</v>
      </c>
      <c r="B66" s="5">
        <v>301</v>
      </c>
      <c r="C66" s="39">
        <f t="shared" si="8"/>
        <v>301</v>
      </c>
      <c r="D66" s="51" t="str">
        <f>VLOOKUP($C66,PrilimTable!$O:$T,2,FALSE)</f>
        <v>Rte 301 Music City Star</v>
      </c>
      <c r="E66" s="45">
        <f>SUMIF(PrilimTable!$N$4:$N$100,B66,PrilimTable!$Q$4:$Q$100)</f>
        <v>1130.8858270000001</v>
      </c>
      <c r="F66" s="76">
        <f t="shared" si="13"/>
        <v>3.2362623993407232E-2</v>
      </c>
      <c r="G66" s="35">
        <f>SUMIF(PrilimTable!$O$4:$O$100,C66,PrilimTable!$S$4:$S$100)</f>
        <v>500</v>
      </c>
      <c r="H66" s="78">
        <f t="shared" si="14"/>
        <v>1.4219492079742912E-2</v>
      </c>
      <c r="I66" s="55">
        <f t="shared" ref="I66" si="19">G66-E66</f>
        <v>-630.88582700000006</v>
      </c>
      <c r="J66" s="100">
        <f t="shared" si="10"/>
        <v>-0.55786871843075991</v>
      </c>
      <c r="X66" s="5">
        <v>89</v>
      </c>
      <c r="Y66" s="5">
        <v>89</v>
      </c>
      <c r="Z66" s="51" t="str">
        <f t="shared" si="15"/>
        <v>Rte 89 Sprgfield/Joelton Exp</v>
      </c>
      <c r="AA66" s="45">
        <f>SUMIF(PrilimTable!$N$4:$N$100,X66,PrilimTable!$Q$4:$Q$100)</f>
        <v>65.456693000000001</v>
      </c>
      <c r="AB66" s="46">
        <f t="shared" si="16"/>
        <v>1.8731779042897947E-3</v>
      </c>
      <c r="AC66" s="35">
        <f>SUMIF(PrilimTable!$O$4:$O$100,Y66,PrilimTable!$S$4:$S$100)</f>
        <v>45</v>
      </c>
      <c r="AD66" s="44">
        <f t="shared" si="17"/>
        <v>1.2797542871768621E-3</v>
      </c>
      <c r="AE66" s="55">
        <f t="shared" si="11"/>
        <v>-20.456693000000001</v>
      </c>
      <c r="AF66" s="100">
        <f t="shared" si="12"/>
        <v>-0.31252255594397355</v>
      </c>
    </row>
    <row r="67" spans="1:32" x14ac:dyDescent="0.25">
      <c r="A67" s="5"/>
      <c r="B67" s="5"/>
      <c r="C67" s="5"/>
      <c r="D67" s="81" t="s">
        <v>96</v>
      </c>
      <c r="E67" s="50">
        <f>SUM(E15:E66)</f>
        <v>34944.194488999994</v>
      </c>
      <c r="F67" s="77">
        <f>SUM(F15:F65)</f>
        <v>0.96763737600659294</v>
      </c>
      <c r="G67" s="42">
        <f>SUM(G15:G66)</f>
        <v>35163</v>
      </c>
      <c r="H67" s="79">
        <f>SUM(H15:H65)</f>
        <v>0.98578050792025707</v>
      </c>
      <c r="I67" s="56">
        <f>G67-E67</f>
        <v>218.80551100000594</v>
      </c>
      <c r="J67" s="101">
        <f t="shared" si="10"/>
        <v>6.2615697456950463E-3</v>
      </c>
      <c r="Z67" s="48"/>
      <c r="AA67" s="50">
        <f>SUM(AA15:AA66)</f>
        <v>34944.194488999994</v>
      </c>
      <c r="AB67" s="49">
        <v>0.99800000000000044</v>
      </c>
      <c r="AC67" s="42">
        <f>SUM(AC15:AC66)</f>
        <v>35163</v>
      </c>
      <c r="AD67" s="34">
        <v>1</v>
      </c>
      <c r="AE67" s="56">
        <f>AC67-AA67</f>
        <v>218.80551100000594</v>
      </c>
      <c r="AF67" s="101">
        <f t="shared" si="12"/>
        <v>6.2615697456950463E-3</v>
      </c>
    </row>
    <row r="68" spans="1:32" x14ac:dyDescent="0.25">
      <c r="A68" s="51"/>
      <c r="J68" s="51"/>
    </row>
    <row r="69" spans="1:32" x14ac:dyDescent="0.25">
      <c r="A69" s="51"/>
      <c r="D69" s="5"/>
      <c r="E69" s="5"/>
      <c r="F69" s="5"/>
      <c r="G69" s="5"/>
      <c r="H69" s="5"/>
      <c r="J69" s="51"/>
    </row>
    <row r="70" spans="1:32" x14ac:dyDescent="0.25">
      <c r="A70" s="51"/>
      <c r="D70" s="5"/>
      <c r="E70" s="5"/>
      <c r="F70" s="5"/>
      <c r="G70" s="5"/>
      <c r="H70" s="5"/>
      <c r="I70" s="54"/>
      <c r="J70" s="51"/>
    </row>
    <row r="71" spans="1:32" x14ac:dyDescent="0.25">
      <c r="A71" s="51"/>
      <c r="D71" s="5"/>
      <c r="E71" s="5"/>
      <c r="F71" s="5"/>
      <c r="G71" s="5"/>
      <c r="H71" s="5"/>
      <c r="I71" s="71"/>
      <c r="J71" s="51"/>
    </row>
    <row r="72" spans="1:32" x14ac:dyDescent="0.25">
      <c r="A72" s="51"/>
      <c r="D72" s="5"/>
      <c r="E72" s="98"/>
      <c r="F72" s="98"/>
      <c r="G72" s="5"/>
      <c r="H72" s="8"/>
      <c r="I72" s="54"/>
      <c r="J72" s="51"/>
    </row>
    <row r="73" spans="1:32" x14ac:dyDescent="0.25">
      <c r="A73" s="51"/>
      <c r="D73" s="5"/>
      <c r="E73" s="98"/>
      <c r="F73" s="98"/>
      <c r="G73" s="5"/>
      <c r="H73" s="8"/>
      <c r="I73" s="54"/>
      <c r="J73" s="51"/>
    </row>
    <row r="74" spans="1:32" x14ac:dyDescent="0.25">
      <c r="D74" s="5"/>
      <c r="E74" s="99"/>
      <c r="F74" s="99"/>
      <c r="G74" s="5"/>
      <c r="H74" s="8"/>
      <c r="I74" s="54"/>
      <c r="J74" s="51"/>
    </row>
    <row r="75" spans="1:32" x14ac:dyDescent="0.25">
      <c r="D75" s="5"/>
      <c r="E75" s="5"/>
      <c r="F75" s="5"/>
      <c r="G75" s="5"/>
      <c r="H75" s="5"/>
      <c r="I75" s="54"/>
      <c r="J75" s="51"/>
    </row>
    <row r="76" spans="1:32" x14ac:dyDescent="0.25">
      <c r="D76" s="5"/>
      <c r="E76" s="84"/>
      <c r="F76" s="84"/>
      <c r="G76" s="84"/>
      <c r="H76" s="5"/>
      <c r="I76" s="54"/>
      <c r="J76" s="51"/>
    </row>
    <row r="77" spans="1:32" x14ac:dyDescent="0.25">
      <c r="D77" s="5"/>
      <c r="E77" s="98"/>
      <c r="F77" s="98"/>
      <c r="G77" s="99"/>
      <c r="H77" s="5"/>
      <c r="I77" s="54"/>
      <c r="J77" s="51"/>
    </row>
    <row r="78" spans="1:32" x14ac:dyDescent="0.25">
      <c r="D78" s="5"/>
      <c r="E78" s="5"/>
      <c r="F78" s="98"/>
      <c r="G78" s="99"/>
      <c r="H78" s="5"/>
      <c r="I78" s="54"/>
      <c r="J78" s="51"/>
    </row>
    <row r="79" spans="1:32" x14ac:dyDescent="0.25">
      <c r="D79" s="5"/>
      <c r="E79" s="5"/>
      <c r="F79" s="98"/>
      <c r="G79" s="99"/>
      <c r="H79" s="5"/>
      <c r="I79" s="54"/>
      <c r="J79" s="51"/>
    </row>
    <row r="80" spans="1:32" x14ac:dyDescent="0.25">
      <c r="D80" s="5"/>
      <c r="E80" s="5"/>
      <c r="F80" s="98"/>
      <c r="G80" s="99"/>
      <c r="H80" s="5"/>
      <c r="I80" s="54"/>
      <c r="J80" s="51"/>
    </row>
    <row r="81" spans="4:10" x14ac:dyDescent="0.25">
      <c r="D81" s="8"/>
      <c r="E81" s="99"/>
      <c r="F81" s="99"/>
      <c r="G81" s="99"/>
      <c r="H81" s="5"/>
      <c r="I81" s="54"/>
      <c r="J81" s="51"/>
    </row>
    <row r="82" spans="4:10" x14ac:dyDescent="0.25">
      <c r="D82" s="5"/>
      <c r="E82" s="5"/>
      <c r="F82" s="5"/>
      <c r="G82" s="5"/>
      <c r="H82" s="5"/>
      <c r="I82" s="54"/>
      <c r="J82" s="51"/>
    </row>
    <row r="83" spans="4:10" x14ac:dyDescent="0.25">
      <c r="D83" s="5"/>
      <c r="E83" s="5"/>
      <c r="F83" s="5"/>
      <c r="G83" s="5"/>
      <c r="H83" s="5"/>
      <c r="J83" s="51"/>
    </row>
    <row r="84" spans="4:10" x14ac:dyDescent="0.25">
      <c r="J84" s="51"/>
    </row>
    <row r="85" spans="4:10" x14ac:dyDescent="0.25">
      <c r="J85" s="51"/>
    </row>
  </sheetData>
  <sortState ref="X5:AD49">
    <sortCondition ref="AA5:AA49"/>
  </sortState>
  <mergeCells count="9">
    <mergeCell ref="G2:H2"/>
    <mergeCell ref="E2:F2"/>
    <mergeCell ref="I2:J2"/>
    <mergeCell ref="I13:J13"/>
    <mergeCell ref="AE13:AF13"/>
    <mergeCell ref="AA13:AB13"/>
    <mergeCell ref="AC13:AD13"/>
    <mergeCell ref="E13:F13"/>
    <mergeCell ref="G13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1"/>
  <sheetViews>
    <sheetView topLeftCell="A58" zoomScaleNormal="100" workbookViewId="0">
      <selection activeCell="F83" sqref="F83"/>
    </sheetView>
  </sheetViews>
  <sheetFormatPr defaultRowHeight="15" x14ac:dyDescent="0.25"/>
  <cols>
    <col min="2" max="2" width="22.42578125" customWidth="1"/>
    <col min="3" max="3" width="16.7109375" customWidth="1"/>
    <col min="4" max="4" width="17.140625" customWidth="1"/>
    <col min="5" max="5" width="16" customWidth="1"/>
    <col min="6" max="6" width="18.5703125" customWidth="1"/>
    <col min="7" max="7" width="14" customWidth="1"/>
    <col min="8" max="8" width="17.28515625" customWidth="1"/>
    <col min="9" max="9" width="27.42578125" customWidth="1"/>
    <col min="10" max="11" width="13.140625" customWidth="1"/>
    <col min="12" max="12" width="13" customWidth="1"/>
    <col min="14" max="14" width="11.5703125" customWidth="1"/>
    <col min="15" max="15" width="12.5703125" customWidth="1"/>
    <col min="16" max="16" width="34.140625" customWidth="1"/>
    <col min="17" max="17" width="11.140625" customWidth="1"/>
    <col min="18" max="18" width="12.5703125" customWidth="1"/>
    <col min="19" max="19" width="14.5703125" customWidth="1"/>
    <col min="20" max="20" width="14.140625" customWidth="1"/>
    <col min="21" max="21" width="18.5703125" customWidth="1"/>
    <col min="22" max="22" width="16.85546875" customWidth="1"/>
    <col min="23" max="23" width="15.7109375" customWidth="1"/>
    <col min="24" max="24" width="18.42578125" bestFit="1" customWidth="1"/>
    <col min="25" max="25" width="17" bestFit="1" customWidth="1"/>
    <col min="26" max="26" width="17.28515625" customWidth="1"/>
    <col min="27" max="27" width="15.42578125" customWidth="1"/>
  </cols>
  <sheetData>
    <row r="2" spans="1:21" x14ac:dyDescent="0.25">
      <c r="A2" t="s">
        <v>7</v>
      </c>
      <c r="F2" s="51"/>
      <c r="G2" s="51"/>
      <c r="H2" s="51"/>
      <c r="I2" s="4"/>
      <c r="J2" s="138"/>
      <c r="K2" s="138"/>
      <c r="L2" s="51"/>
      <c r="M2" s="51"/>
      <c r="N2" s="7"/>
      <c r="O2" s="7"/>
      <c r="P2" s="7"/>
      <c r="Q2" s="132" t="s">
        <v>0</v>
      </c>
      <c r="R2" s="132"/>
      <c r="S2" s="137" t="s">
        <v>109</v>
      </c>
      <c r="T2" s="137"/>
    </row>
    <row r="3" spans="1:21" x14ac:dyDescent="0.25">
      <c r="B3" t="s">
        <v>8</v>
      </c>
      <c r="C3" t="s">
        <v>38</v>
      </c>
      <c r="F3" s="51"/>
      <c r="G3" s="4"/>
      <c r="H3" s="51"/>
      <c r="I3" s="51"/>
      <c r="J3" s="25"/>
      <c r="K3" s="25"/>
      <c r="L3" s="51"/>
      <c r="M3" s="51" t="s">
        <v>36</v>
      </c>
      <c r="N3" s="8" t="s">
        <v>95</v>
      </c>
      <c r="O3" s="8" t="s">
        <v>94</v>
      </c>
      <c r="P3" s="8" t="s">
        <v>93</v>
      </c>
      <c r="Q3" s="27" t="s">
        <v>38</v>
      </c>
      <c r="R3" s="27" t="s">
        <v>3</v>
      </c>
      <c r="S3" s="28" t="s">
        <v>38</v>
      </c>
      <c r="T3" s="28" t="s">
        <v>3</v>
      </c>
      <c r="U3" t="s">
        <v>36</v>
      </c>
    </row>
    <row r="4" spans="1:21" x14ac:dyDescent="0.25">
      <c r="A4">
        <v>1</v>
      </c>
      <c r="B4">
        <v>1</v>
      </c>
      <c r="C4" s="1">
        <f>VLOOKUP($B4,Aggregated_Transit_Final_V2!$B:$H,7,FALSE)</f>
        <v>118.9</v>
      </c>
      <c r="D4" s="2"/>
      <c r="F4" s="51"/>
      <c r="G4" s="51"/>
      <c r="H4" s="51"/>
      <c r="I4" s="51"/>
      <c r="J4" s="52"/>
      <c r="K4" s="2"/>
      <c r="L4" s="51"/>
      <c r="M4" s="51">
        <f>VLOOKUP($O4,ABM_RteName!$A:$D,4,FALSE)</f>
        <v>1</v>
      </c>
      <c r="N4" s="31">
        <v>1</v>
      </c>
      <c r="O4" s="31">
        <v>1</v>
      </c>
      <c r="P4" s="5" t="str">
        <f>VLOOKUP($O4,ABM_RteName!$A:$C,3,FALSE)</f>
        <v>Rte 1 100 Oaks</v>
      </c>
      <c r="Q4" s="9">
        <f t="shared" ref="Q4:Q35" si="0">VLOOKUP(N4,$B:$C,2,FALSE)</f>
        <v>118.9</v>
      </c>
      <c r="R4" s="33">
        <f t="shared" ref="R4:R35" si="1">Q4/$Q$56</f>
        <v>3.5163669189706348E-3</v>
      </c>
      <c r="S4" s="3">
        <f>SUMIF(BoardingByRoute_ABM!$B:$B,O4,BoardingByRoute_ABM!$N:$N)</f>
        <v>203</v>
      </c>
      <c r="T4" s="32">
        <f t="shared" ref="T4:T35" si="2">S4/S$56</f>
        <v>5.8563886564925137E-3</v>
      </c>
      <c r="U4">
        <f>VLOOKUP($O4,ABM_RteName!$A:$D,4,FALSE)</f>
        <v>1</v>
      </c>
    </row>
    <row r="5" spans="1:21" x14ac:dyDescent="0.25">
      <c r="A5">
        <v>10</v>
      </c>
      <c r="B5">
        <v>2</v>
      </c>
      <c r="C5" s="52">
        <f>VLOOKUP($B5,Aggregated_Transit_Final_V2!$B:$H,7,FALSE)</f>
        <v>197.60000000000002</v>
      </c>
      <c r="D5" s="2"/>
      <c r="F5" s="51"/>
      <c r="G5" s="51"/>
      <c r="H5" s="51"/>
      <c r="I5" s="51"/>
      <c r="J5" s="52"/>
      <c r="K5" s="2"/>
      <c r="L5" s="51"/>
      <c r="M5" s="51">
        <f>VLOOKUP($O5,ABM_RteName!$A:$D,4,FALSE)</f>
        <v>1</v>
      </c>
      <c r="N5" s="30">
        <v>2</v>
      </c>
      <c r="O5" s="30">
        <v>2</v>
      </c>
      <c r="P5" s="5" t="str">
        <f>VLOOKUP($O5,ABM_RteName!$A:$C,3,FALSE)</f>
        <v>Rte 2 Belmont</v>
      </c>
      <c r="Q5" s="9">
        <f t="shared" si="0"/>
        <v>197.60000000000002</v>
      </c>
      <c r="R5" s="33">
        <f t="shared" si="1"/>
        <v>5.8438528443111645E-3</v>
      </c>
      <c r="S5" s="3">
        <f>SUMIF(BoardingByRoute_ABM!$B:$B,O5,BoardingByRoute_ABM!$N:$N)</f>
        <v>379</v>
      </c>
      <c r="T5" s="32">
        <f t="shared" si="2"/>
        <v>1.0933848772466318E-2</v>
      </c>
      <c r="U5" s="51">
        <f>VLOOKUP($O5,ABM_RteName!$A:$D,4,FALSE)</f>
        <v>1</v>
      </c>
    </row>
    <row r="6" spans="1:21" x14ac:dyDescent="0.25">
      <c r="A6">
        <v>19</v>
      </c>
      <c r="B6">
        <v>3</v>
      </c>
      <c r="C6" s="52">
        <f>VLOOKUP($B6,Aggregated_Transit_Final_V2!$B:$H,7,FALSE)</f>
        <v>1215.9499999999998</v>
      </c>
      <c r="D6" s="2"/>
      <c r="F6" s="51"/>
      <c r="G6" s="51"/>
      <c r="H6" s="51"/>
      <c r="I6" s="51"/>
      <c r="J6" s="52"/>
      <c r="K6" s="2"/>
      <c r="L6" s="51"/>
      <c r="M6" s="51">
        <f>VLOOKUP($O6,ABM_RteName!$A:$D,4,FALSE)</f>
        <v>1</v>
      </c>
      <c r="N6" s="30">
        <v>3</v>
      </c>
      <c r="O6" s="30">
        <v>3</v>
      </c>
      <c r="P6" s="5" t="str">
        <f>VLOOKUP($O6,ABM_RteName!$A:$C,3,FALSE)</f>
        <v>Rte 3 West End (White Bridge)</v>
      </c>
      <c r="Q6" s="9">
        <f t="shared" si="0"/>
        <v>1215.9499999999998</v>
      </c>
      <c r="R6" s="33">
        <f t="shared" si="1"/>
        <v>3.5960692641903637E-2</v>
      </c>
      <c r="S6" s="3">
        <f>SUMIF(BoardingByRoute_ABM!$B:$B,O6,BoardingByRoute_ABM!$N:$N)</f>
        <v>2227</v>
      </c>
      <c r="T6" s="32">
        <f t="shared" si="2"/>
        <v>6.4247179990191264E-2</v>
      </c>
      <c r="U6" s="51">
        <f>VLOOKUP($O6,ABM_RteName!$A:$D,4,FALSE)</f>
        <v>1</v>
      </c>
    </row>
    <row r="7" spans="1:21" x14ac:dyDescent="0.25">
      <c r="A7">
        <v>27</v>
      </c>
      <c r="B7">
        <v>4</v>
      </c>
      <c r="C7" s="52">
        <f>VLOOKUP($B7,Aggregated_Transit_Final_V2!$B:$H,7,FALSE)</f>
        <v>1248.0999999999999</v>
      </c>
      <c r="D7" s="2"/>
      <c r="F7" s="51"/>
      <c r="G7" s="51"/>
      <c r="H7" s="51"/>
      <c r="I7" s="51"/>
      <c r="J7" s="52"/>
      <c r="K7" s="2"/>
      <c r="L7" s="51"/>
      <c r="M7" s="51">
        <f>VLOOKUP($O7,ABM_RteName!$A:$D,4,FALSE)</f>
        <v>1</v>
      </c>
      <c r="N7" s="30">
        <v>4</v>
      </c>
      <c r="O7" s="30">
        <v>4</v>
      </c>
      <c r="P7" s="5" t="str">
        <f>VLOOKUP($O7,ABM_RteName!$A:$C,3,FALSE)</f>
        <v>Rte 4 Shelby</v>
      </c>
      <c r="Q7" s="9">
        <f t="shared" si="0"/>
        <v>1248.0999999999999</v>
      </c>
      <c r="R7" s="33">
        <f t="shared" si="1"/>
        <v>3.6911501695267024E-2</v>
      </c>
      <c r="S7" s="3">
        <f>SUMIF(BoardingByRoute_ABM!$B:$B,O7,BoardingByRoute_ABM!$N:$N)</f>
        <v>1112</v>
      </c>
      <c r="T7" s="32">
        <f t="shared" si="2"/>
        <v>3.2080316187289043E-2</v>
      </c>
      <c r="U7" s="51">
        <f>VLOOKUP($O7,ABM_RteName!$A:$D,4,FALSE)</f>
        <v>1</v>
      </c>
    </row>
    <row r="8" spans="1:21" x14ac:dyDescent="0.25">
      <c r="A8">
        <v>31</v>
      </c>
      <c r="B8">
        <v>5</v>
      </c>
      <c r="C8" s="52">
        <f>VLOOKUP($B8,Aggregated_Transit_Final_V2!$B:$H,7,FALSE)</f>
        <v>1189.05</v>
      </c>
      <c r="D8" s="2"/>
      <c r="F8" s="51"/>
      <c r="G8" s="51"/>
      <c r="H8" s="51"/>
      <c r="I8" s="51"/>
      <c r="J8" s="52"/>
      <c r="K8" s="2"/>
      <c r="L8" s="51"/>
      <c r="M8" s="51">
        <f>VLOOKUP($O8,ABM_RteName!$A:$D,4,FALSE)</f>
        <v>1</v>
      </c>
      <c r="N8" s="30">
        <v>5</v>
      </c>
      <c r="O8" s="30">
        <v>5</v>
      </c>
      <c r="P8" s="5" t="str">
        <f>VLOOKUP($O8,ABM_RteName!$A:$C,3,FALSE)</f>
        <v>Rte 5 West End (Bellevue)</v>
      </c>
      <c r="Q8" s="9">
        <f t="shared" si="0"/>
        <v>1189.05</v>
      </c>
      <c r="R8" s="33">
        <f t="shared" si="1"/>
        <v>3.5165147897409862E-2</v>
      </c>
      <c r="S8" s="3">
        <f>SUMIF(BoardingByRoute_ABM!$B:$B,O8,BoardingByRoute_ABM!$N:$N)</f>
        <v>2356</v>
      </c>
      <c r="T8" s="32">
        <f t="shared" si="2"/>
        <v>6.7968727461558437E-2</v>
      </c>
      <c r="U8" s="51">
        <f>VLOOKUP($O8,ABM_RteName!$A:$D,4,FALSE)</f>
        <v>1</v>
      </c>
    </row>
    <row r="9" spans="1:21" x14ac:dyDescent="0.25">
      <c r="A9">
        <v>35</v>
      </c>
      <c r="B9">
        <v>6</v>
      </c>
      <c r="C9" s="52">
        <f>VLOOKUP($B9,Aggregated_Transit_Final_V2!$B:$H,7,FALSE)</f>
        <v>870.15</v>
      </c>
      <c r="D9" s="2"/>
      <c r="F9" s="51"/>
      <c r="G9" s="51"/>
      <c r="H9" s="51"/>
      <c r="I9" s="51"/>
      <c r="J9" s="52"/>
      <c r="K9" s="2"/>
      <c r="L9" s="51"/>
      <c r="M9" s="51">
        <f>VLOOKUP($O9,ABM_RteName!$A:$D,4,FALSE)</f>
        <v>1</v>
      </c>
      <c r="N9" s="30">
        <v>6</v>
      </c>
      <c r="O9" s="30">
        <v>6</v>
      </c>
      <c r="P9" s="5" t="str">
        <f>VLOOKUP($O9,ABM_RteName!$A:$C,3,FALSE)</f>
        <v>Rte 6 Lebanon Rd</v>
      </c>
      <c r="Q9" s="9">
        <f t="shared" si="0"/>
        <v>870.15</v>
      </c>
      <c r="R9" s="33">
        <f t="shared" si="1"/>
        <v>2.5733950164359105E-2</v>
      </c>
      <c r="S9" s="3">
        <f>SUMIF(BoardingByRoute_ABM!$B:$B,O9,BoardingByRoute_ABM!$N:$N)</f>
        <v>914</v>
      </c>
      <c r="T9" s="32">
        <f t="shared" si="2"/>
        <v>2.636817355681851E-2</v>
      </c>
      <c r="U9" s="51">
        <f>VLOOKUP($O9,ABM_RteName!$A:$D,4,FALSE)</f>
        <v>1</v>
      </c>
    </row>
    <row r="10" spans="1:21" x14ac:dyDescent="0.25">
      <c r="A10">
        <v>38</v>
      </c>
      <c r="B10">
        <v>7</v>
      </c>
      <c r="C10" s="52">
        <f>VLOOKUP($B10,Aggregated_Transit_Final_V2!$B:$H,7,FALSE)</f>
        <v>1508.6</v>
      </c>
      <c r="D10" s="2"/>
      <c r="F10" s="51"/>
      <c r="G10" s="51"/>
      <c r="H10" s="51"/>
      <c r="I10" s="51"/>
      <c r="J10" s="52"/>
      <c r="K10" s="2"/>
      <c r="L10" s="51"/>
      <c r="M10" s="51">
        <f>VLOOKUP($O10,ABM_RteName!$A:$D,4,FALSE)</f>
        <v>1</v>
      </c>
      <c r="N10" s="30">
        <v>7</v>
      </c>
      <c r="O10" s="30">
        <v>7</v>
      </c>
      <c r="P10" s="5" t="str">
        <f>VLOOKUP($O10,ABM_RteName!$A:$C,3,FALSE)</f>
        <v>Rte 7 Hillsboro</v>
      </c>
      <c r="Q10" s="9">
        <f t="shared" si="0"/>
        <v>1508.6</v>
      </c>
      <c r="R10" s="33">
        <f t="shared" si="1"/>
        <v>4.4615568830606384E-2</v>
      </c>
      <c r="S10" s="3">
        <f>SUMIF(BoardingByRoute_ABM!$B:$B,O10,BoardingByRoute_ABM!$N:$N)</f>
        <v>1574</v>
      </c>
      <c r="T10" s="32">
        <f t="shared" si="2"/>
        <v>4.5408648991720278E-2</v>
      </c>
      <c r="U10" s="51">
        <f>VLOOKUP($O10,ABM_RteName!$A:$D,4,FALSE)</f>
        <v>1</v>
      </c>
    </row>
    <row r="11" spans="1:21" x14ac:dyDescent="0.25">
      <c r="A11">
        <v>40</v>
      </c>
      <c r="B11">
        <v>8</v>
      </c>
      <c r="C11" s="52">
        <f>VLOOKUP($B11,Aggregated_Transit_Final_V2!$B:$H,7,FALSE)</f>
        <v>569.40000000000009</v>
      </c>
      <c r="D11" s="2"/>
      <c r="F11" s="51"/>
      <c r="G11" s="51"/>
      <c r="H11" s="51"/>
      <c r="I11" s="51"/>
      <c r="J11" s="52"/>
      <c r="K11" s="2"/>
      <c r="L11" s="51"/>
      <c r="M11" s="51">
        <f>VLOOKUP($O11,ABM_RteName!$A:$D,4,FALSE)</f>
        <v>1</v>
      </c>
      <c r="N11" s="30">
        <v>8</v>
      </c>
      <c r="O11" s="30">
        <v>8</v>
      </c>
      <c r="P11" s="5" t="str">
        <f>VLOOKUP($O11,ABM_RteName!$A:$C,3,FALSE)</f>
        <v>Rte 8 8th Avenue South</v>
      </c>
      <c r="Q11" s="9">
        <f t="shared" si="0"/>
        <v>569.40000000000009</v>
      </c>
      <c r="R11" s="33">
        <f t="shared" si="1"/>
        <v>1.683952332768612E-2</v>
      </c>
      <c r="S11" s="3">
        <f>SUMIF(BoardingByRoute_ABM!$B:$B,O11,BoardingByRoute_ABM!$N:$N)</f>
        <v>728</v>
      </c>
      <c r="T11" s="32">
        <f t="shared" si="2"/>
        <v>2.100222138880074E-2</v>
      </c>
      <c r="U11" s="51">
        <f>VLOOKUP($O11,ABM_RteName!$A:$D,4,FALSE)</f>
        <v>1</v>
      </c>
    </row>
    <row r="12" spans="1:21" x14ac:dyDescent="0.25">
      <c r="A12">
        <v>2</v>
      </c>
      <c r="B12">
        <v>9</v>
      </c>
      <c r="C12" s="52">
        <f>VLOOKUP($B12,Aggregated_Transit_Final_V2!$B:$H,7,FALSE)</f>
        <v>572.09999999999991</v>
      </c>
      <c r="D12" s="2"/>
      <c r="F12" s="51"/>
      <c r="G12" s="51"/>
      <c r="H12" s="51"/>
      <c r="I12" s="51"/>
      <c r="J12" s="52"/>
      <c r="K12" s="2"/>
      <c r="L12" s="51"/>
      <c r="M12" s="51">
        <f>VLOOKUP($O12,ABM_RteName!$A:$D,4,FALSE)</f>
        <v>1</v>
      </c>
      <c r="N12" s="30">
        <v>9</v>
      </c>
      <c r="O12" s="30">
        <v>9</v>
      </c>
      <c r="P12" s="5" t="str">
        <f>VLOOKUP($O12,ABM_RteName!$A:$C,3,FALSE)</f>
        <v>Rte 9 MetroCenter</v>
      </c>
      <c r="Q12" s="9">
        <f t="shared" si="0"/>
        <v>572.09999999999991</v>
      </c>
      <c r="R12" s="33">
        <f t="shared" si="1"/>
        <v>1.6919373543676196E-2</v>
      </c>
      <c r="S12" s="3">
        <f>SUMIF(BoardingByRoute_ABM!$B:$B,O12,BoardingByRoute_ABM!$N:$N)</f>
        <v>476</v>
      </c>
      <c r="T12" s="32">
        <f t="shared" si="2"/>
        <v>1.3732221677292791E-2</v>
      </c>
      <c r="U12" s="51">
        <f>VLOOKUP($O12,ABM_RteName!$A:$D,4,FALSE)</f>
        <v>1</v>
      </c>
    </row>
    <row r="13" spans="1:21" x14ac:dyDescent="0.25">
      <c r="A13">
        <v>3</v>
      </c>
      <c r="B13">
        <v>10</v>
      </c>
      <c r="C13" s="52">
        <f>VLOOKUP($B13,Aggregated_Transit_Final_V2!$B:$H,7,FALSE)</f>
        <v>2144.85</v>
      </c>
      <c r="D13" s="2"/>
      <c r="F13" s="51"/>
      <c r="G13" s="51"/>
      <c r="H13" s="51"/>
      <c r="I13" s="51"/>
      <c r="J13" s="52"/>
      <c r="K13" s="2"/>
      <c r="L13" s="51"/>
      <c r="M13" s="51">
        <f>VLOOKUP($O13,ABM_RteName!$A:$D,4,FALSE)</f>
        <v>1</v>
      </c>
      <c r="N13" s="30">
        <v>10</v>
      </c>
      <c r="O13" s="30">
        <v>10</v>
      </c>
      <c r="P13" s="5" t="str">
        <f>VLOOKUP($O13,ABM_RteName!$A:$C,3,FALSE)</f>
        <v>Rte 10 Charlotte</v>
      </c>
      <c r="Q13" s="9">
        <f t="shared" si="0"/>
        <v>2144.85</v>
      </c>
      <c r="R13" s="33">
        <f t="shared" si="1"/>
        <v>6.3432124357898786E-2</v>
      </c>
      <c r="S13" s="3">
        <f>SUMIF(BoardingByRoute_ABM!$B:$B,O13,BoardingByRoute_ABM!$N:$N)</f>
        <v>2233</v>
      </c>
      <c r="T13" s="32">
        <f t="shared" si="2"/>
        <v>6.4420275221417647E-2</v>
      </c>
      <c r="U13" s="51">
        <f>VLOOKUP($O13,ABM_RteName!$A:$D,4,FALSE)</f>
        <v>1</v>
      </c>
    </row>
    <row r="14" spans="1:21" x14ac:dyDescent="0.25">
      <c r="A14">
        <v>4</v>
      </c>
      <c r="B14">
        <v>14</v>
      </c>
      <c r="C14" s="52">
        <f>VLOOKUP($B14,Aggregated_Transit_Final_V2!$B:$H,7,FALSE)</f>
        <v>599.6</v>
      </c>
      <c r="D14" s="2"/>
      <c r="F14" s="51"/>
      <c r="G14" s="51"/>
      <c r="H14" s="51"/>
      <c r="I14" s="51"/>
      <c r="J14" s="52"/>
      <c r="K14" s="2"/>
      <c r="L14" s="51"/>
      <c r="M14" s="51">
        <f>VLOOKUP($O14,ABM_RteName!$A:$D,4,FALSE)</f>
        <v>1</v>
      </c>
      <c r="N14" s="30">
        <v>14</v>
      </c>
      <c r="O14" s="30">
        <v>14</v>
      </c>
      <c r="P14" s="5" t="str">
        <f>VLOOKUP($O14,ABM_RteName!$A:$C,3,FALSE)</f>
        <v>Rte 14 Whites Creek</v>
      </c>
      <c r="Q14" s="9">
        <f t="shared" si="0"/>
        <v>599.6</v>
      </c>
      <c r="R14" s="33">
        <f t="shared" si="1"/>
        <v>1.7732662780612217E-2</v>
      </c>
      <c r="S14" s="3">
        <f>SUMIF(BoardingByRoute_ABM!$B:$B,O14,BoardingByRoute_ABM!$N:$N)</f>
        <v>508</v>
      </c>
      <c r="T14" s="32">
        <f t="shared" si="2"/>
        <v>1.4655396243833482E-2</v>
      </c>
      <c r="U14" s="51">
        <f>VLOOKUP($O14,ABM_RteName!$A:$D,4,FALSE)</f>
        <v>1</v>
      </c>
    </row>
    <row r="15" spans="1:21" x14ac:dyDescent="0.25">
      <c r="A15">
        <v>5</v>
      </c>
      <c r="B15">
        <v>15</v>
      </c>
      <c r="C15" s="52">
        <f>VLOOKUP($B15,Aggregated_Transit_Final_V2!$B:$H,7,FALSE)</f>
        <v>3429.7</v>
      </c>
      <c r="D15" s="2"/>
      <c r="F15" s="51"/>
      <c r="G15" s="51"/>
      <c r="H15" s="51"/>
      <c r="I15" s="51"/>
      <c r="J15" s="52"/>
      <c r="K15" s="2"/>
      <c r="L15" s="51"/>
      <c r="M15" s="51">
        <f>VLOOKUP($O15,ABM_RteName!$A:$D,4,FALSE)</f>
        <v>1</v>
      </c>
      <c r="N15" s="30">
        <v>15</v>
      </c>
      <c r="O15" s="30">
        <v>15</v>
      </c>
      <c r="P15" s="5" t="str">
        <f>VLOOKUP($O15,ABM_RteName!$A:$C,3,FALSE)</f>
        <v>Rte 15 Murfreesboro Rd</v>
      </c>
      <c r="Q15" s="9">
        <f t="shared" si="0"/>
        <v>3429.7</v>
      </c>
      <c r="R15" s="33">
        <f t="shared" si="1"/>
        <v>0.10143047621525303</v>
      </c>
      <c r="S15" s="3">
        <f>SUMIF(BoardingByRoute_ABM!$B:$B,O15,BoardingByRoute_ABM!$N:$N)</f>
        <v>3467</v>
      </c>
      <c r="T15" s="32">
        <f t="shared" si="2"/>
        <v>0.10002019444364307</v>
      </c>
      <c r="U15" s="51">
        <f>VLOOKUP($O15,ABM_RteName!$A:$D,4,FALSE)</f>
        <v>1</v>
      </c>
    </row>
    <row r="16" spans="1:21" x14ac:dyDescent="0.25">
      <c r="A16">
        <v>6</v>
      </c>
      <c r="B16">
        <v>17</v>
      </c>
      <c r="C16" s="52">
        <f>VLOOKUP($B16,Aggregated_Transit_Final_V2!$B:$H,7,FALSE)</f>
        <v>798.65000000000009</v>
      </c>
      <c r="D16" s="2"/>
      <c r="F16" s="51"/>
      <c r="G16" s="51"/>
      <c r="H16" s="51"/>
      <c r="I16" s="51"/>
      <c r="J16" s="52"/>
      <c r="K16" s="2"/>
      <c r="L16" s="51"/>
      <c r="M16" s="51">
        <f>VLOOKUP($O16,ABM_RteName!$A:$D,4,FALSE)</f>
        <v>1</v>
      </c>
      <c r="N16" s="30">
        <v>17</v>
      </c>
      <c r="O16" s="30">
        <v>17</v>
      </c>
      <c r="P16" s="5" t="str">
        <f>VLOOKUP($O16,ABM_RteName!$A:$C,3,FALSE)</f>
        <v>Rte 17 12th Ave South Loop1</v>
      </c>
      <c r="Q16" s="9">
        <f t="shared" si="0"/>
        <v>798.65000000000009</v>
      </c>
      <c r="R16" s="33">
        <f t="shared" si="1"/>
        <v>2.3619398148325463E-2</v>
      </c>
      <c r="S16" s="3">
        <f>SUMIF(BoardingByRoute_ABM!$B:$B,O16,BoardingByRoute_ABM!$N:$N)</f>
        <v>1050</v>
      </c>
      <c r="T16" s="32">
        <f t="shared" si="2"/>
        <v>3.0291665464616448E-2</v>
      </c>
      <c r="U16" s="51">
        <f>VLOOKUP($O16,ABM_RteName!$A:$D,4,FALSE)</f>
        <v>1</v>
      </c>
    </row>
    <row r="17" spans="1:21" x14ac:dyDescent="0.25">
      <c r="A17">
        <v>7</v>
      </c>
      <c r="B17">
        <v>18</v>
      </c>
      <c r="C17" s="52">
        <f>VLOOKUP($B17,Aggregated_Transit_Final_V2!$B:$H,7,FALSE)</f>
        <v>377.1</v>
      </c>
      <c r="D17" s="2"/>
      <c r="F17" s="51"/>
      <c r="G17" s="51"/>
      <c r="H17" s="51"/>
      <c r="I17" s="51"/>
      <c r="J17" s="52"/>
      <c r="K17" s="2"/>
      <c r="L17" s="51"/>
      <c r="M17" s="51">
        <f>VLOOKUP($O17,ABM_RteName!$A:$D,4,FALSE)</f>
        <v>6</v>
      </c>
      <c r="N17" s="30">
        <v>18</v>
      </c>
      <c r="O17" s="30">
        <v>18</v>
      </c>
      <c r="P17" s="5" t="str">
        <f>VLOOKUP($O17,ABM_RteName!$A:$C,3,FALSE)</f>
        <v>Rte 18 Airport Exp</v>
      </c>
      <c r="Q17" s="9">
        <f t="shared" si="0"/>
        <v>377.1</v>
      </c>
      <c r="R17" s="33">
        <f t="shared" si="1"/>
        <v>1.1152413499948078E-2</v>
      </c>
      <c r="S17" s="3">
        <f>SUMIF(BoardingByRoute_ABM!$B:$B,O17,BoardingByRoute_ABM!$N:$N)</f>
        <v>451</v>
      </c>
      <c r="T17" s="32">
        <f t="shared" si="2"/>
        <v>1.3010991547182875E-2</v>
      </c>
      <c r="U17" s="51">
        <f>VLOOKUP($O17,ABM_RteName!$A:$D,4,FALSE)</f>
        <v>6</v>
      </c>
    </row>
    <row r="18" spans="1:21" x14ac:dyDescent="0.25">
      <c r="A18">
        <v>9</v>
      </c>
      <c r="B18">
        <v>19</v>
      </c>
      <c r="C18" s="52">
        <f>VLOOKUP($B18,Aggregated_Transit_Final_V2!$B:$H,7,FALSE)</f>
        <v>1106.3</v>
      </c>
      <c r="D18" s="2"/>
      <c r="F18" s="51"/>
      <c r="G18" s="51"/>
      <c r="H18" s="51"/>
      <c r="I18" s="51"/>
      <c r="J18" s="52"/>
      <c r="K18" s="2"/>
      <c r="L18" s="51"/>
      <c r="M18" s="51">
        <f>VLOOKUP($O18,ABM_RteName!$A:$D,4,FALSE)</f>
        <v>1</v>
      </c>
      <c r="N18" s="30">
        <v>19</v>
      </c>
      <c r="O18" s="30">
        <v>19</v>
      </c>
      <c r="P18" s="5" t="str">
        <f>VLOOKUP($O18,ABM_RteName!$A:$C,3,FALSE)</f>
        <v>Rte 19 Herman</v>
      </c>
      <c r="Q18" s="9">
        <f t="shared" si="0"/>
        <v>1106.3</v>
      </c>
      <c r="R18" s="33">
        <f t="shared" si="1"/>
        <v>3.2717886648084213E-2</v>
      </c>
      <c r="S18" s="3">
        <f>SUMIF(BoardingByRoute_ABM!$B:$B,O18,BoardingByRoute_ABM!$N:$N)</f>
        <v>812</v>
      </c>
      <c r="T18" s="32">
        <f t="shared" si="2"/>
        <v>2.3425554625970055E-2</v>
      </c>
      <c r="U18" s="51">
        <f>VLOOKUP($O18,ABM_RteName!$A:$D,4,FALSE)</f>
        <v>1</v>
      </c>
    </row>
    <row r="19" spans="1:21" x14ac:dyDescent="0.25">
      <c r="A19">
        <v>11</v>
      </c>
      <c r="B19">
        <v>20</v>
      </c>
      <c r="C19" s="52">
        <f>VLOOKUP($B19,Aggregated_Transit_Final_V2!$B:$H,7,FALSE)</f>
        <v>314.64999999999998</v>
      </c>
      <c r="D19" s="2"/>
      <c r="F19" s="51"/>
      <c r="G19" s="51"/>
      <c r="H19" s="51"/>
      <c r="I19" s="51"/>
      <c r="J19" s="52"/>
      <c r="K19" s="2"/>
      <c r="L19" s="51"/>
      <c r="M19" s="51">
        <f>VLOOKUP($O19,ABM_RteName!$A:$D,4,FALSE)</f>
        <v>1</v>
      </c>
      <c r="N19" s="30">
        <v>20</v>
      </c>
      <c r="O19" s="30">
        <v>20</v>
      </c>
      <c r="P19" s="5" t="str">
        <f>VLOOKUP($O19,ABM_RteName!$A:$C,3,FALSE)</f>
        <v>Rte 20 Scott</v>
      </c>
      <c r="Q19" s="9">
        <f t="shared" si="0"/>
        <v>314.64999999999998</v>
      </c>
      <c r="R19" s="33">
        <f t="shared" si="1"/>
        <v>9.3055075782515571E-3</v>
      </c>
      <c r="S19" s="3">
        <f>SUMIF(BoardingByRoute_ABM!$B:$B,O19,BoardingByRoute_ABM!$N:$N)</f>
        <v>529</v>
      </c>
      <c r="T19" s="32">
        <f t="shared" si="2"/>
        <v>1.5261229553125812E-2</v>
      </c>
      <c r="U19" s="51">
        <f>VLOOKUP($O19,ABM_RteName!$A:$D,4,FALSE)</f>
        <v>1</v>
      </c>
    </row>
    <row r="20" spans="1:21" x14ac:dyDescent="0.25">
      <c r="A20">
        <v>12</v>
      </c>
      <c r="B20">
        <v>21</v>
      </c>
      <c r="C20" s="52">
        <f>VLOOKUP($B20,Aggregated_Transit_Final_V2!$B:$H,7,FALSE)</f>
        <v>332.4</v>
      </c>
      <c r="D20" s="2"/>
      <c r="F20" s="51"/>
      <c r="G20" s="51"/>
      <c r="H20" s="51"/>
      <c r="I20" s="51"/>
      <c r="J20" s="52"/>
      <c r="K20" s="2"/>
      <c r="L20" s="51"/>
      <c r="M20" s="51">
        <f>VLOOKUP($O20,ABM_RteName!$A:$D,4,FALSE)</f>
        <v>1</v>
      </c>
      <c r="N20" s="30">
        <v>21</v>
      </c>
      <c r="O20" s="30">
        <v>21</v>
      </c>
      <c r="P20" s="5" t="str">
        <f>VLOOKUP($O20,ABM_RteName!$A:$C,3,FALSE)</f>
        <v>Rte 21 University Connector SB</v>
      </c>
      <c r="Q20" s="9">
        <f t="shared" si="0"/>
        <v>332.4</v>
      </c>
      <c r="R20" s="33">
        <f t="shared" si="1"/>
        <v>9.8304488130011684E-3</v>
      </c>
      <c r="S20" s="3">
        <f>SUMIF(BoardingByRoute_ABM!$B:$B,O20,BoardingByRoute_ABM!$N:$N)</f>
        <v>117</v>
      </c>
      <c r="T20" s="32">
        <f t="shared" si="2"/>
        <v>3.3753570089144042E-3</v>
      </c>
      <c r="U20" s="51">
        <f>VLOOKUP($O20,ABM_RteName!$A:$D,4,FALSE)</f>
        <v>1</v>
      </c>
    </row>
    <row r="21" spans="1:21" x14ac:dyDescent="0.25">
      <c r="A21">
        <v>13</v>
      </c>
      <c r="B21">
        <v>22</v>
      </c>
      <c r="C21" s="52">
        <f>VLOOKUP($B21,Aggregated_Transit_Final_V2!$B:$H,7,FALSE)</f>
        <v>1605.4</v>
      </c>
      <c r="D21" s="2"/>
      <c r="F21" s="51"/>
      <c r="G21" s="51"/>
      <c r="H21" s="51"/>
      <c r="I21" s="51"/>
      <c r="J21" s="52"/>
      <c r="K21" s="2"/>
      <c r="L21" s="51"/>
      <c r="M21" s="51">
        <f>VLOOKUP($O21,ABM_RteName!$A:$D,4,FALSE)</f>
        <v>1</v>
      </c>
      <c r="N21" s="30">
        <v>22</v>
      </c>
      <c r="O21" s="30">
        <v>22</v>
      </c>
      <c r="P21" s="5" t="str">
        <f>VLOOKUP($O21,ABM_RteName!$A:$C,3,FALSE)</f>
        <v>Rte 22 Bordeaux (Panaroma)</v>
      </c>
      <c r="Q21" s="9">
        <f t="shared" si="0"/>
        <v>1605.4</v>
      </c>
      <c r="R21" s="33">
        <f t="shared" si="1"/>
        <v>4.7478346944621171E-2</v>
      </c>
      <c r="S21" s="3">
        <f>SUMIF(BoardingByRoute_ABM!$B:$B,O21,BoardingByRoute_ABM!$N:$N)</f>
        <v>1364</v>
      </c>
      <c r="T21" s="32">
        <f t="shared" si="2"/>
        <v>3.9350315898796985E-2</v>
      </c>
      <c r="U21" s="51">
        <f>VLOOKUP($O21,ABM_RteName!$A:$D,4,FALSE)</f>
        <v>1</v>
      </c>
    </row>
    <row r="22" spans="1:21" x14ac:dyDescent="0.25">
      <c r="A22">
        <v>15</v>
      </c>
      <c r="B22">
        <v>23</v>
      </c>
      <c r="C22" s="52">
        <f>VLOOKUP($B22,Aggregated_Transit_Final_V2!$B:$H,7,FALSE)</f>
        <v>1756.7</v>
      </c>
      <c r="D22" s="2"/>
      <c r="F22" s="51"/>
      <c r="G22" s="51"/>
      <c r="H22" s="51"/>
      <c r="I22" s="51"/>
      <c r="J22" s="52"/>
      <c r="K22" s="2"/>
      <c r="L22" s="51"/>
      <c r="M22" s="51">
        <f>VLOOKUP($O22,ABM_RteName!$A:$D,4,FALSE)</f>
        <v>1</v>
      </c>
      <c r="N22" s="30">
        <v>23</v>
      </c>
      <c r="O22" s="30">
        <v>23</v>
      </c>
      <c r="P22" s="5" t="str">
        <f>VLOOKUP($O22,ABM_RteName!$A:$C,3,FALSE)</f>
        <v>Rte 23 Dickerson Rd Loop1</v>
      </c>
      <c r="Q22" s="9">
        <f t="shared" si="0"/>
        <v>1756.7</v>
      </c>
      <c r="R22" s="33">
        <f t="shared" si="1"/>
        <v>5.1952916455472786E-2</v>
      </c>
      <c r="S22" s="3">
        <f>SUMIF(BoardingByRoute_ABM!$B:$B,O22,BoardingByRoute_ABM!$N:$N)</f>
        <v>1186</v>
      </c>
      <c r="T22" s="32">
        <f t="shared" si="2"/>
        <v>3.4215157372414387E-2</v>
      </c>
      <c r="U22" s="51">
        <f>VLOOKUP($O22,ABM_RteName!$A:$D,4,FALSE)</f>
        <v>1</v>
      </c>
    </row>
    <row r="23" spans="1:21" x14ac:dyDescent="0.25">
      <c r="A23">
        <v>16</v>
      </c>
      <c r="B23">
        <v>24</v>
      </c>
      <c r="C23" s="52">
        <f>VLOOKUP($B23,Aggregated_Transit_Final_V2!$B:$H,7,FALSE)</f>
        <v>298.89999999999998</v>
      </c>
      <c r="D23" s="2"/>
      <c r="F23" s="51"/>
      <c r="G23" s="51"/>
      <c r="H23" s="51"/>
      <c r="I23" s="51"/>
      <c r="J23" s="52"/>
      <c r="K23" s="2"/>
      <c r="L23" s="51"/>
      <c r="M23" s="51">
        <f>VLOOKUP($O23,ABM_RteName!$A:$D,4,FALSE)</f>
        <v>6</v>
      </c>
      <c r="N23" s="30">
        <v>24</v>
      </c>
      <c r="O23" s="30">
        <v>24</v>
      </c>
      <c r="P23" s="5" t="str">
        <f>VLOOKUP($O23,ABM_RteName!$A:$C,3,FALSE)</f>
        <v>Rte 24 Bellevue Exp AM</v>
      </c>
      <c r="Q23" s="9">
        <f t="shared" si="0"/>
        <v>298.89999999999998</v>
      </c>
      <c r="R23" s="33">
        <f t="shared" si="1"/>
        <v>8.839714651642747E-3</v>
      </c>
      <c r="S23" s="3">
        <f>SUMIF(BoardingByRoute_ABM!$B:$B,O23,BoardingByRoute_ABM!$N:$N)</f>
        <v>112</v>
      </c>
      <c r="T23" s="32">
        <f t="shared" si="2"/>
        <v>3.2311109828924212E-3</v>
      </c>
      <c r="U23" s="51">
        <f>VLOOKUP($O23,ABM_RteName!$A:$D,4,FALSE)</f>
        <v>6</v>
      </c>
    </row>
    <row r="24" spans="1:21" x14ac:dyDescent="0.25">
      <c r="A24">
        <v>17</v>
      </c>
      <c r="B24">
        <v>25</v>
      </c>
      <c r="C24" s="52">
        <f>VLOOKUP($B24,Aggregated_Transit_Final_V2!$B:$H,7,FALSE)</f>
        <v>529.15000000000009</v>
      </c>
      <c r="D24" s="2"/>
      <c r="F24" s="51"/>
      <c r="G24" s="51"/>
      <c r="H24" s="51"/>
      <c r="I24" s="51"/>
      <c r="J24" s="52"/>
      <c r="K24" s="2"/>
      <c r="L24" s="51"/>
      <c r="M24" s="51">
        <f>VLOOKUP($O24,ABM_RteName!$A:$D,4,FALSE)</f>
        <v>1</v>
      </c>
      <c r="N24" s="30">
        <v>25</v>
      </c>
      <c r="O24" s="30">
        <v>25</v>
      </c>
      <c r="P24" s="5" t="str">
        <f>VLOOKUP($O24,ABM_RteName!$A:$C,3,FALSE)</f>
        <v>Rte 25 Midtown CW Loop</v>
      </c>
      <c r="Q24" s="9">
        <f t="shared" si="0"/>
        <v>529.15000000000009</v>
      </c>
      <c r="R24" s="33">
        <f t="shared" si="1"/>
        <v>1.5649163626352495E-2</v>
      </c>
      <c r="S24" s="3">
        <f>SUMIF(BoardingByRoute_ABM!$B:$B,O24,BoardingByRoute_ABM!$N:$N)</f>
        <v>801</v>
      </c>
      <c r="T24" s="32">
        <f t="shared" si="2"/>
        <v>2.3108213368721691E-2</v>
      </c>
      <c r="U24" s="51">
        <f>VLOOKUP($O24,ABM_RteName!$A:$D,4,FALSE)</f>
        <v>1</v>
      </c>
    </row>
    <row r="25" spans="1:21" x14ac:dyDescent="0.25">
      <c r="A25">
        <v>18</v>
      </c>
      <c r="B25">
        <v>26</v>
      </c>
      <c r="C25" s="52">
        <f>VLOOKUP($B25,Aggregated_Transit_Final_V2!$B:$H,7,FALSE)</f>
        <v>1203.3000000000002</v>
      </c>
      <c r="D25" s="2"/>
      <c r="F25" s="51"/>
      <c r="G25" s="51"/>
      <c r="H25" s="51"/>
      <c r="I25" s="51"/>
      <c r="J25" s="52"/>
      <c r="K25" s="2"/>
      <c r="L25" s="51"/>
      <c r="M25" s="51">
        <f>VLOOKUP($O25,ABM_RteName!$A:$D,4,FALSE)</f>
        <v>1</v>
      </c>
      <c r="N25" s="30">
        <v>26</v>
      </c>
      <c r="O25" s="30">
        <v>26</v>
      </c>
      <c r="P25" s="5" t="str">
        <f>VLOOKUP($O25,ABM_RteName!$A:$C,3,FALSE)</f>
        <v>Rte 26 Gallatin Rd</v>
      </c>
      <c r="Q25" s="9">
        <f t="shared" si="0"/>
        <v>1203.3000000000002</v>
      </c>
      <c r="R25" s="33">
        <f t="shared" si="1"/>
        <v>3.558657959291308E-2</v>
      </c>
      <c r="S25" s="3">
        <f>SUMIF(BoardingByRoute_ABM!$B:$B,O25,BoardingByRoute_ABM!$N:$N)</f>
        <v>768</v>
      </c>
      <c r="T25" s="32">
        <f t="shared" si="2"/>
        <v>2.2156189596976603E-2</v>
      </c>
      <c r="U25" s="51">
        <f>VLOOKUP($O25,ABM_RteName!$A:$D,4,FALSE)</f>
        <v>1</v>
      </c>
    </row>
    <row r="26" spans="1:21" x14ac:dyDescent="0.25">
      <c r="A26">
        <v>20</v>
      </c>
      <c r="B26">
        <v>27</v>
      </c>
      <c r="C26" s="52">
        <f>VLOOKUP($B26,Aggregated_Transit_Final_V2!$B:$H,7,FALSE)</f>
        <v>108.2</v>
      </c>
      <c r="D26" s="2"/>
      <c r="F26" s="51"/>
      <c r="G26" s="51"/>
      <c r="H26" s="51"/>
      <c r="I26" s="51"/>
      <c r="J26" s="52"/>
      <c r="K26" s="2"/>
      <c r="L26" s="51"/>
      <c r="M26" s="51">
        <f>VLOOKUP($O26,ABM_RteName!$A:$D,4,FALSE)</f>
        <v>1</v>
      </c>
      <c r="N26" s="30">
        <v>27</v>
      </c>
      <c r="O26" s="30">
        <v>27</v>
      </c>
      <c r="P26" s="5" t="str">
        <f>VLOOKUP($O26,ABM_RteName!$A:$C,3,FALSE)</f>
        <v>Rte 27 Old Hickory</v>
      </c>
      <c r="Q26" s="9">
        <f t="shared" si="0"/>
        <v>108.2</v>
      </c>
      <c r="R26" s="33">
        <f t="shared" si="1"/>
        <v>3.1999234704173482E-3</v>
      </c>
      <c r="S26" s="3">
        <f>SUMIF(BoardingByRoute_ABM!$B:$B,O26,BoardingByRoute_ABM!$N:$N)</f>
        <v>77</v>
      </c>
      <c r="T26" s="32">
        <f t="shared" si="2"/>
        <v>2.2213888007385396E-3</v>
      </c>
      <c r="U26" s="51">
        <f>VLOOKUP($O26,ABM_RteName!$A:$D,4,FALSE)</f>
        <v>1</v>
      </c>
    </row>
    <row r="27" spans="1:21" x14ac:dyDescent="0.25">
      <c r="A27">
        <v>22</v>
      </c>
      <c r="B27">
        <v>28</v>
      </c>
      <c r="C27" s="52">
        <f>VLOOKUP($B27,Aggregated_Transit_Final_V2!$B:$H,7,FALSE)</f>
        <v>484.79999999999995</v>
      </c>
      <c r="D27" s="2"/>
      <c r="F27" s="51"/>
      <c r="G27" s="51"/>
      <c r="H27" s="51"/>
      <c r="I27" s="51"/>
      <c r="J27" s="52"/>
      <c r="K27" s="2"/>
      <c r="L27" s="51"/>
      <c r="M27" s="51">
        <f>VLOOKUP($O27,ABM_RteName!$A:$D,4,FALSE)</f>
        <v>1</v>
      </c>
      <c r="N27" s="30">
        <v>28</v>
      </c>
      <c r="O27" s="30">
        <v>28</v>
      </c>
      <c r="P27" s="5" t="str">
        <f>VLOOKUP($O27,ABM_RteName!$A:$C,3,FALSE)</f>
        <v>Rte 28 Meridian</v>
      </c>
      <c r="Q27" s="9">
        <f t="shared" si="0"/>
        <v>484.79999999999995</v>
      </c>
      <c r="R27" s="33">
        <f t="shared" si="1"/>
        <v>1.4337549893330224E-2</v>
      </c>
      <c r="S27" s="3">
        <f>SUMIF(BoardingByRoute_ABM!$B:$B,O27,BoardingByRoute_ABM!$N:$N)</f>
        <v>355</v>
      </c>
      <c r="T27" s="32">
        <f t="shared" si="2"/>
        <v>1.02414678475608E-2</v>
      </c>
      <c r="U27" s="51">
        <f>VLOOKUP($O27,ABM_RteName!$A:$D,4,FALSE)</f>
        <v>1</v>
      </c>
    </row>
    <row r="28" spans="1:21" x14ac:dyDescent="0.25">
      <c r="A28">
        <v>28</v>
      </c>
      <c r="B28">
        <v>29</v>
      </c>
      <c r="C28" s="52">
        <f>VLOOKUP($B28,Aggregated_Transit_Final_V2!$B:$H,7,FALSE)</f>
        <v>729.25</v>
      </c>
      <c r="D28" s="2"/>
      <c r="F28" s="51"/>
      <c r="G28" s="51"/>
      <c r="H28" s="51"/>
      <c r="I28" s="51"/>
      <c r="J28" s="52"/>
      <c r="K28" s="2"/>
      <c r="L28" s="51"/>
      <c r="M28" s="51">
        <f>VLOOKUP($O28,ABM_RteName!$A:$D,4,FALSE)</f>
        <v>1</v>
      </c>
      <c r="N28" s="30">
        <v>29</v>
      </c>
      <c r="O28" s="30">
        <v>29</v>
      </c>
      <c r="P28" s="5" t="str">
        <f>VLOOKUP($O28,ABM_RteName!$A:$C,3,FALSE)</f>
        <v>Rte 29 Jefferson</v>
      </c>
      <c r="Q28" s="9">
        <f t="shared" si="0"/>
        <v>729.25</v>
      </c>
      <c r="R28" s="33">
        <f t="shared" si="1"/>
        <v>2.1566951855839657E-2</v>
      </c>
      <c r="S28" s="3">
        <f>SUMIF(BoardingByRoute_ABM!$B:$B,O28,BoardingByRoute_ABM!$N:$N)</f>
        <v>594</v>
      </c>
      <c r="T28" s="32">
        <f t="shared" si="2"/>
        <v>1.7136427891411593E-2</v>
      </c>
      <c r="U28" s="51">
        <f>VLOOKUP($O28,ABM_RteName!$A:$D,4,FALSE)</f>
        <v>1</v>
      </c>
    </row>
    <row r="29" spans="1:21" x14ac:dyDescent="0.25">
      <c r="A29">
        <v>29</v>
      </c>
      <c r="B29">
        <v>30</v>
      </c>
      <c r="C29" s="52">
        <f>VLOOKUP($B29,Aggregated_Transit_Final_V2!$B:$H,7,FALSE)</f>
        <v>288.25</v>
      </c>
      <c r="D29" s="2"/>
      <c r="F29" s="51"/>
      <c r="G29" s="51"/>
      <c r="H29" s="51"/>
      <c r="I29" s="51"/>
      <c r="J29" s="52"/>
      <c r="K29" s="2"/>
      <c r="L29" s="51"/>
      <c r="M29" s="51">
        <f>VLOOKUP($O29,ABM_RteName!$A:$D,4,FALSE)</f>
        <v>1</v>
      </c>
      <c r="N29" s="30">
        <v>30</v>
      </c>
      <c r="O29" s="30">
        <v>30</v>
      </c>
      <c r="P29" s="5" t="str">
        <f>VLOOKUP($O29,ABM_RteName!$A:$C,3,FALSE)</f>
        <v>Rte 30 McFerrin OB Ni</v>
      </c>
      <c r="Q29" s="9">
        <f t="shared" si="0"/>
        <v>288.25</v>
      </c>
      <c r="R29" s="33">
        <f t="shared" si="1"/>
        <v>8.5247499107929808E-3</v>
      </c>
      <c r="S29" s="3">
        <f>SUMIF(BoardingByRoute_ABM!$B:$B,O29,BoardingByRoute_ABM!$N:$N)</f>
        <v>201</v>
      </c>
      <c r="T29" s="32">
        <f t="shared" si="2"/>
        <v>5.7986902460837207E-3</v>
      </c>
      <c r="U29" s="51">
        <f>VLOOKUP($O29,ABM_RteName!$A:$D,4,FALSE)</f>
        <v>1</v>
      </c>
    </row>
    <row r="30" spans="1:21" x14ac:dyDescent="0.25">
      <c r="A30">
        <v>30</v>
      </c>
      <c r="B30">
        <v>33</v>
      </c>
      <c r="C30" s="52">
        <f>VLOOKUP($B30,Aggregated_Transit_Final_V2!$B:$H,7,FALSE)</f>
        <v>212.4</v>
      </c>
      <c r="D30" s="2"/>
      <c r="F30" s="51"/>
      <c r="G30" s="51"/>
      <c r="H30" s="51"/>
      <c r="I30" s="51"/>
      <c r="J30" s="52"/>
      <c r="K30" s="2"/>
      <c r="L30" s="51"/>
      <c r="M30" s="51">
        <f>VLOOKUP($O30,ABM_RteName!$A:$D,4,FALSE)</f>
        <v>6</v>
      </c>
      <c r="N30" s="30">
        <v>33</v>
      </c>
      <c r="O30" s="30">
        <v>33</v>
      </c>
      <c r="P30" s="5" t="str">
        <f>VLOOKUP($O30,ABM_RteName!$A:$C,3,FALSE)</f>
        <v>Rte 33 Old Hickory Exp</v>
      </c>
      <c r="Q30" s="9">
        <f t="shared" si="0"/>
        <v>212.4</v>
      </c>
      <c r="R30" s="33">
        <f t="shared" si="1"/>
        <v>6.2815503245530939E-3</v>
      </c>
      <c r="S30" s="3">
        <f>SUMIF(BoardingByRoute_ABM!$B:$B,O30,BoardingByRoute_ABM!$N:$N)</f>
        <v>251</v>
      </c>
      <c r="T30" s="32">
        <f t="shared" si="2"/>
        <v>7.2411505063035512E-3</v>
      </c>
      <c r="U30" s="51">
        <f>VLOOKUP($O30,ABM_RteName!$A:$D,4,FALSE)</f>
        <v>6</v>
      </c>
    </row>
    <row r="31" spans="1:21" x14ac:dyDescent="0.25">
      <c r="A31">
        <v>32</v>
      </c>
      <c r="B31">
        <v>34</v>
      </c>
      <c r="C31" s="52">
        <f>VLOOKUP($B31,Aggregated_Transit_Final_V2!$B:$H,7,FALSE)</f>
        <v>340.6</v>
      </c>
      <c r="D31" s="2"/>
      <c r="F31" s="51"/>
      <c r="G31" s="51"/>
      <c r="H31" s="51"/>
      <c r="I31" s="51"/>
      <c r="J31" s="52"/>
      <c r="K31" s="2"/>
      <c r="L31" s="51"/>
      <c r="M31" s="51">
        <f>VLOOKUP($O31,ABM_RteName!$A:$D,4,FALSE)</f>
        <v>1</v>
      </c>
      <c r="N31" s="30">
        <v>34</v>
      </c>
      <c r="O31" s="30">
        <v>34</v>
      </c>
      <c r="P31" s="5" t="str">
        <f>VLOOKUP($O31,ABM_RteName!$A:$C,3,FALSE)</f>
        <v>Rte 34 Opry Mills Loop</v>
      </c>
      <c r="Q31" s="9">
        <f t="shared" si="0"/>
        <v>340.6</v>
      </c>
      <c r="R31" s="33">
        <f t="shared" si="1"/>
        <v>1.0072956876378455E-2</v>
      </c>
      <c r="S31" s="3">
        <f>SUMIF(BoardingByRoute_ABM!$B:$B,O31,BoardingByRoute_ABM!$N:$N)</f>
        <v>174</v>
      </c>
      <c r="T31" s="32">
        <f t="shared" si="2"/>
        <v>5.019761705565012E-3</v>
      </c>
      <c r="U31" s="51">
        <f>VLOOKUP($O31,ABM_RteName!$A:$D,4,FALSE)</f>
        <v>1</v>
      </c>
    </row>
    <row r="32" spans="1:21" x14ac:dyDescent="0.25">
      <c r="A32">
        <v>33</v>
      </c>
      <c r="B32">
        <v>35</v>
      </c>
      <c r="C32" s="52">
        <f>VLOOKUP($B32,Aggregated_Transit_Final_V2!$B:$H,7,FALSE)</f>
        <v>217.5</v>
      </c>
      <c r="D32" s="2"/>
      <c r="F32" s="51"/>
      <c r="G32" s="51"/>
      <c r="H32" s="51"/>
      <c r="I32" s="51"/>
      <c r="J32" s="52"/>
      <c r="K32" s="2"/>
      <c r="L32" s="51"/>
      <c r="M32" s="51">
        <f>VLOOKUP($O32,ABM_RteName!$A:$D,4,FALSE)</f>
        <v>6</v>
      </c>
      <c r="N32" s="30">
        <v>35</v>
      </c>
      <c r="O32" s="30">
        <v>35</v>
      </c>
      <c r="P32" s="5" t="str">
        <f>VLOOKUP($O32,ABM_RteName!$A:$C,3,FALSE)</f>
        <v>Rte 35 Rivergate Exp</v>
      </c>
      <c r="Q32" s="9">
        <f t="shared" si="0"/>
        <v>217.5</v>
      </c>
      <c r="R32" s="33">
        <f t="shared" si="1"/>
        <v>6.432378510312137E-3</v>
      </c>
      <c r="S32" s="3">
        <f>SUMIF(BoardingByRoute_ABM!$B:$B,O32,BoardingByRoute_ABM!$N:$N)</f>
        <v>92</v>
      </c>
      <c r="T32" s="32">
        <f t="shared" si="2"/>
        <v>2.654126878804489E-3</v>
      </c>
      <c r="U32" s="51">
        <f>VLOOKUP($O32,ABM_RteName!$A:$D,4,FALSE)</f>
        <v>6</v>
      </c>
    </row>
    <row r="33" spans="1:21" x14ac:dyDescent="0.25">
      <c r="A33">
        <v>34</v>
      </c>
      <c r="B33">
        <v>36</v>
      </c>
      <c r="C33" s="52">
        <f>VLOOKUP($B33,Aggregated_Transit_Final_V2!$B:$H,7,FALSE)</f>
        <v>129.14999999999998</v>
      </c>
      <c r="D33" s="2"/>
      <c r="F33" s="51"/>
      <c r="G33" s="51"/>
      <c r="H33" s="51"/>
      <c r="I33" s="51"/>
      <c r="J33" s="52"/>
      <c r="K33" s="2"/>
      <c r="L33" s="51"/>
      <c r="M33" s="51">
        <f>VLOOKUP($O33,ABM_RteName!$A:$D,4,FALSE)</f>
        <v>6</v>
      </c>
      <c r="N33" s="30">
        <v>36</v>
      </c>
      <c r="O33" s="30">
        <v>36</v>
      </c>
      <c r="P33" s="5" t="str">
        <f>VLOOKUP($O33,ABM_RteName!$A:$C,3,FALSE)</f>
        <v>Rte 36 Madison Express</v>
      </c>
      <c r="Q33" s="9">
        <f t="shared" si="0"/>
        <v>129.14999999999998</v>
      </c>
      <c r="R33" s="33">
        <f t="shared" si="1"/>
        <v>3.8195019981922406E-3</v>
      </c>
      <c r="S33" s="3">
        <f>SUMIF(BoardingByRoute_ABM!$B:$B,O33,BoardingByRoute_ABM!$N:$N)</f>
        <v>201</v>
      </c>
      <c r="T33" s="32">
        <f t="shared" si="2"/>
        <v>5.7986902460837207E-3</v>
      </c>
      <c r="U33" s="51">
        <f>VLOOKUP($O33,ABM_RteName!$A:$D,4,FALSE)</f>
        <v>6</v>
      </c>
    </row>
    <row r="34" spans="1:21" x14ac:dyDescent="0.25">
      <c r="A34">
        <v>36</v>
      </c>
      <c r="B34">
        <v>37</v>
      </c>
      <c r="C34" s="52">
        <f>VLOOKUP($B34,Aggregated_Transit_Final_V2!$B:$H,7,FALSE)</f>
        <v>71.199999999999989</v>
      </c>
      <c r="D34" s="2"/>
      <c r="F34" s="51"/>
      <c r="G34" s="51"/>
      <c r="H34" s="51"/>
      <c r="I34" s="51"/>
      <c r="J34" s="52"/>
      <c r="K34" s="2"/>
      <c r="L34" s="51"/>
      <c r="M34" s="51">
        <f>VLOOKUP($O34,ABM_RteName!$A:$D,4,FALSE)</f>
        <v>6</v>
      </c>
      <c r="N34" s="30">
        <v>37</v>
      </c>
      <c r="O34" s="30">
        <v>37</v>
      </c>
      <c r="P34" s="5" t="str">
        <f>VLOOKUP($O34,ABM_RteName!$A:$C,3,FALSE)</f>
        <v>Rte 37X Tusculum/McMurray EXP</v>
      </c>
      <c r="Q34" s="9">
        <f t="shared" si="0"/>
        <v>71.199999999999989</v>
      </c>
      <c r="R34" s="33">
        <f t="shared" si="1"/>
        <v>2.1056797698125245E-3</v>
      </c>
      <c r="S34" s="3">
        <f>SUMIF(BoardingByRoute_ABM!$B:$B,O34,BoardingByRoute_ABM!$N:$N)</f>
        <v>226</v>
      </c>
      <c r="T34" s="32">
        <f t="shared" si="2"/>
        <v>6.5199203761936355E-3</v>
      </c>
      <c r="U34" s="51">
        <f>VLOOKUP($O34,ABM_RteName!$A:$D,4,FALSE)</f>
        <v>6</v>
      </c>
    </row>
    <row r="35" spans="1:21" x14ac:dyDescent="0.25">
      <c r="A35">
        <v>37</v>
      </c>
      <c r="B35">
        <v>38</v>
      </c>
      <c r="C35" s="52">
        <f>VLOOKUP($B35,Aggregated_Transit_Final_V2!$B:$H,7,FALSE)</f>
        <v>221.5</v>
      </c>
      <c r="D35" s="2"/>
      <c r="F35" s="51"/>
      <c r="G35" s="51"/>
      <c r="H35" s="51"/>
      <c r="I35" s="51"/>
      <c r="J35" s="52"/>
      <c r="K35" s="2"/>
      <c r="L35" s="51"/>
      <c r="M35" s="51">
        <f>VLOOKUP($O35,ABM_RteName!$A:$D,4,FALSE)</f>
        <v>6</v>
      </c>
      <c r="N35" s="30">
        <v>38</v>
      </c>
      <c r="O35" s="30">
        <v>38</v>
      </c>
      <c r="P35" s="5" t="str">
        <f>VLOOKUP($O35,ABM_RteName!$A:$C,3,FALSE)</f>
        <v>Rte 38 Antioch Exp</v>
      </c>
      <c r="Q35" s="9">
        <f t="shared" si="0"/>
        <v>221.5</v>
      </c>
      <c r="R35" s="33">
        <f t="shared" si="1"/>
        <v>6.5506751265937396E-3</v>
      </c>
      <c r="S35" s="3">
        <f>SUMIF(BoardingByRoute_ABM!$B:$B,O35,BoardingByRoute_ABM!$N:$N)</f>
        <v>123</v>
      </c>
      <c r="T35" s="32">
        <f t="shared" si="2"/>
        <v>3.5484522401407841E-3</v>
      </c>
      <c r="U35" s="51">
        <f>VLOOKUP($O35,ABM_RteName!$A:$D,4,FALSE)</f>
        <v>6</v>
      </c>
    </row>
    <row r="36" spans="1:21" x14ac:dyDescent="0.25">
      <c r="A36">
        <v>43</v>
      </c>
      <c r="B36">
        <v>41</v>
      </c>
      <c r="C36" s="52">
        <f>VLOOKUP($B36,Aggregated_Transit_Final_V2!$B:$H,7,FALSE)</f>
        <v>128.80000000000001</v>
      </c>
      <c r="D36" s="2"/>
      <c r="F36" s="51"/>
      <c r="G36" s="51"/>
      <c r="H36" s="51"/>
      <c r="I36" s="51"/>
      <c r="J36" s="52"/>
      <c r="K36" s="2"/>
      <c r="L36" s="51"/>
      <c r="M36" s="51">
        <f>VLOOKUP($O36,ABM_RteName!$A:$D,4,FALSE)</f>
        <v>1</v>
      </c>
      <c r="N36" s="30">
        <v>41</v>
      </c>
      <c r="O36" s="30">
        <v>41</v>
      </c>
      <c r="P36" s="5" t="str">
        <f>VLOOKUP($O36,ABM_RteName!$A:$C,3,FALSE)</f>
        <v>Rte 41 Golden Valley OB</v>
      </c>
      <c r="Q36" s="9">
        <f t="shared" ref="Q36:Q55" si="3">VLOOKUP(N36,$B:$C,2,FALSE)</f>
        <v>128.80000000000001</v>
      </c>
      <c r="R36" s="33">
        <f t="shared" ref="R36:R55" si="4">Q36/$Q$56</f>
        <v>3.8091510442676011E-3</v>
      </c>
      <c r="S36" s="3">
        <f>SUMIF(BoardingByRoute_ABM!$B:$B,O36,BoardingByRoute_ABM!$N:$N)</f>
        <v>13</v>
      </c>
      <c r="T36" s="32">
        <f t="shared" ref="T36:T55" si="5">S36/S$56</f>
        <v>3.7503966765715604E-4</v>
      </c>
      <c r="U36" s="51">
        <f>VLOOKUP($O36,ABM_RteName!$A:$D,4,FALSE)</f>
        <v>1</v>
      </c>
    </row>
    <row r="37" spans="1:21" x14ac:dyDescent="0.25">
      <c r="A37">
        <v>8</v>
      </c>
      <c r="B37">
        <v>42</v>
      </c>
      <c r="C37" s="52">
        <f>VLOOKUP($B37,Aggregated_Transit_Final_V2!$B:$H,7,FALSE)</f>
        <v>566.84999999999991</v>
      </c>
      <c r="D37" s="2"/>
      <c r="F37" s="51"/>
      <c r="G37" s="51"/>
      <c r="H37" s="51"/>
      <c r="I37" s="51"/>
      <c r="J37" s="52"/>
      <c r="K37" s="2"/>
      <c r="L37" s="51"/>
      <c r="M37" s="51">
        <f>VLOOKUP($O37,ABM_RteName!$A:$D,4,FALSE)</f>
        <v>1</v>
      </c>
      <c r="N37" s="30">
        <v>42</v>
      </c>
      <c r="O37" s="30">
        <v>42</v>
      </c>
      <c r="P37" s="5" t="str">
        <f>VLOOKUP($O37,ABM_RteName!$A:$C,3,FALSE)</f>
        <v>Rte 42 Cecilia/Cumberland</v>
      </c>
      <c r="Q37" s="9">
        <f t="shared" si="3"/>
        <v>566.84999999999991</v>
      </c>
      <c r="R37" s="33">
        <f t="shared" si="4"/>
        <v>1.6764109234806594E-2</v>
      </c>
      <c r="S37" s="3">
        <f>SUMIF(BoardingByRoute_ABM!$B:$B,O37,BoardingByRoute_ABM!$N:$N)</f>
        <v>448</v>
      </c>
      <c r="T37" s="32">
        <f t="shared" si="5"/>
        <v>1.2924443931569685E-2</v>
      </c>
      <c r="U37" s="51">
        <f>VLOOKUP($O37,ABM_RteName!$A:$D,4,FALSE)</f>
        <v>1</v>
      </c>
    </row>
    <row r="38" spans="1:21" x14ac:dyDescent="0.25">
      <c r="A38">
        <v>14</v>
      </c>
      <c r="B38">
        <v>43</v>
      </c>
      <c r="C38" s="52">
        <f>VLOOKUP($B38,Aggregated_Transit_Final_V2!$B:$H,7,FALSE)</f>
        <v>262.39999999999998</v>
      </c>
      <c r="D38" s="2"/>
      <c r="F38" s="51"/>
      <c r="G38" s="51"/>
      <c r="H38" s="51"/>
      <c r="I38" s="51"/>
      <c r="J38" s="52"/>
      <c r="K38" s="2"/>
      <c r="L38" s="51"/>
      <c r="M38" s="51">
        <f>VLOOKUP($O38,ABM_RteName!$A:$D,4,FALSE)</f>
        <v>1</v>
      </c>
      <c r="N38" s="30">
        <v>43</v>
      </c>
      <c r="O38" s="30">
        <v>43</v>
      </c>
      <c r="P38" s="5" t="str">
        <f>VLOOKUP($O38,ABM_RteName!$A:$C,3,FALSE)</f>
        <v>Rte 43 Hickory Hills</v>
      </c>
      <c r="Q38" s="9">
        <f t="shared" si="3"/>
        <v>262.39999999999998</v>
      </c>
      <c r="R38" s="33">
        <f t="shared" si="4"/>
        <v>7.7602580280731245E-3</v>
      </c>
      <c r="S38" s="3">
        <f>SUMIF(BoardingByRoute_ABM!$B:$B,O38,BoardingByRoute_ABM!$N:$N)</f>
        <v>82</v>
      </c>
      <c r="T38" s="32">
        <f t="shared" si="5"/>
        <v>2.3656348267605226E-3</v>
      </c>
      <c r="U38" s="51">
        <f>VLOOKUP($O38,ABM_RteName!$A:$D,4,FALSE)</f>
        <v>1</v>
      </c>
    </row>
    <row r="39" spans="1:21" x14ac:dyDescent="0.25">
      <c r="A39">
        <v>21</v>
      </c>
      <c r="B39">
        <v>52</v>
      </c>
      <c r="C39" s="52">
        <f>VLOOKUP($B39,Aggregated_Transit_Final_V2!$B:$H,7,FALSE)</f>
        <v>2496.4</v>
      </c>
      <c r="D39" s="2"/>
      <c r="F39" s="51"/>
      <c r="G39" s="51"/>
      <c r="H39" s="51"/>
      <c r="I39" s="51"/>
      <c r="J39" s="52"/>
      <c r="K39" s="2"/>
      <c r="L39" s="51"/>
      <c r="M39" s="51">
        <f>VLOOKUP($O39,ABM_RteName!$A:$D,4,FALSE)</f>
        <v>1</v>
      </c>
      <c r="N39" s="30">
        <v>52</v>
      </c>
      <c r="O39" s="30">
        <v>52</v>
      </c>
      <c r="P39" s="5" t="str">
        <f>VLOOKUP($O39,ABM_RteName!$A:$C,3,FALSE)</f>
        <v>Rte 12 Nolensville Rd (Hick)</v>
      </c>
      <c r="Q39" s="9">
        <f t="shared" si="3"/>
        <v>2496.4</v>
      </c>
      <c r="R39" s="33">
        <f t="shared" si="4"/>
        <v>7.3828918221348128E-2</v>
      </c>
      <c r="S39" s="3">
        <f>SUMIF(BoardingByRoute_ABM!$B:$B,O39,BoardingByRoute_ABM!$N:$N)</f>
        <v>2376</v>
      </c>
      <c r="T39" s="32">
        <f t="shared" si="5"/>
        <v>6.8545711565646372E-2</v>
      </c>
      <c r="U39" s="51">
        <f>VLOOKUP($O39,ABM_RteName!$A:$D,4,FALSE)</f>
        <v>1</v>
      </c>
    </row>
    <row r="40" spans="1:21" x14ac:dyDescent="0.25">
      <c r="A40">
        <v>23</v>
      </c>
      <c r="B40">
        <v>56</v>
      </c>
      <c r="C40" s="52">
        <f>VLOOKUP($B40,Aggregated_Transit_Final_V2!$B:$H,7,FALSE)</f>
        <v>2559.3000000000002</v>
      </c>
      <c r="D40" s="2"/>
      <c r="F40" s="51"/>
      <c r="G40" s="51"/>
      <c r="H40" s="51"/>
      <c r="I40" s="51"/>
      <c r="J40" s="52"/>
      <c r="K40" s="2"/>
      <c r="L40" s="51"/>
      <c r="M40" s="51">
        <f>VLOOKUP($O40,ABM_RteName!$A:$D,4,FALSE)</f>
        <v>8</v>
      </c>
      <c r="N40" s="30">
        <v>56</v>
      </c>
      <c r="O40" s="30">
        <v>56</v>
      </c>
      <c r="P40" s="5" t="str">
        <f>VLOOKUP($O40,ABM_RteName!$A:$C,3,FALSE)</f>
        <v>Rte 56 Gallatin Rd BRT</v>
      </c>
      <c r="Q40" s="9">
        <f t="shared" si="3"/>
        <v>2559.3000000000002</v>
      </c>
      <c r="R40" s="33">
        <f t="shared" si="4"/>
        <v>7.5689132512376328E-2</v>
      </c>
      <c r="S40" s="3">
        <f>SUMIF(BoardingByRoute_ABM!$B:$B,O40,BoardingByRoute_ABM!$N:$N)</f>
        <v>2716</v>
      </c>
      <c r="T40" s="32">
        <f t="shared" si="5"/>
        <v>7.8354441335141217E-2</v>
      </c>
      <c r="U40" s="51">
        <f>VLOOKUP($O40,ABM_RteName!$A:$D,4,FALSE)</f>
        <v>8</v>
      </c>
    </row>
    <row r="41" spans="1:21" x14ac:dyDescent="0.25">
      <c r="A41">
        <v>24</v>
      </c>
      <c r="B41">
        <v>60</v>
      </c>
      <c r="C41" s="52">
        <f>VLOOKUP($B41,Aggregated_Transit_Final_V2!$B:$H,7,FALSE)</f>
        <v>699.15</v>
      </c>
      <c r="D41" s="2"/>
      <c r="F41" s="51"/>
      <c r="G41" s="51"/>
      <c r="H41" s="51"/>
      <c r="I41" s="51"/>
      <c r="J41" s="52"/>
      <c r="K41" s="2"/>
      <c r="L41" s="51"/>
      <c r="M41" s="51">
        <f>VLOOKUP($O41,ABM_RteName!$A:$D,4,FALSE)</f>
        <v>1</v>
      </c>
      <c r="N41" s="30">
        <v>60</v>
      </c>
      <c r="O41" s="30">
        <v>60</v>
      </c>
      <c r="P41" s="5" t="str">
        <f>VLOOKUP($O41,ABM_RteName!$A:$C,3,FALSE)</f>
        <v>Rte 60 Music City Blue Circuit</v>
      </c>
      <c r="Q41" s="9">
        <f t="shared" si="3"/>
        <v>699.15</v>
      </c>
      <c r="R41" s="33">
        <f t="shared" si="4"/>
        <v>2.06767698183206E-2</v>
      </c>
      <c r="S41" s="3">
        <f>SUMIF(BoardingByRoute_ABM!$B:$B,O41,BoardingByRoute_ABM!$N:$N)</f>
        <v>1488</v>
      </c>
      <c r="T41" s="32">
        <f t="shared" si="5"/>
        <v>4.2927617344142167E-2</v>
      </c>
      <c r="U41" s="51">
        <f>VLOOKUP($O41,ABM_RteName!$A:$D,4,FALSE)</f>
        <v>1</v>
      </c>
    </row>
    <row r="42" spans="1:21" x14ac:dyDescent="0.25">
      <c r="A42">
        <v>25</v>
      </c>
      <c r="B42">
        <v>61</v>
      </c>
      <c r="C42" s="52">
        <f>VLOOKUP($B42,Aggregated_Transit_Final_V2!$B:$H,7,FALSE)</f>
        <v>605.75</v>
      </c>
      <c r="D42" s="2"/>
      <c r="F42" s="51"/>
      <c r="G42" s="51"/>
      <c r="H42" s="51"/>
      <c r="I42" s="51"/>
      <c r="J42" s="52"/>
      <c r="K42" s="2"/>
      <c r="L42" s="51"/>
      <c r="M42" s="51">
        <f>VLOOKUP($O42,ABM_RteName!$A:$D,4,FALSE)</f>
        <v>1</v>
      </c>
      <c r="N42" s="30">
        <v>61</v>
      </c>
      <c r="O42" s="30">
        <v>61</v>
      </c>
      <c r="P42" s="5" t="str">
        <f>VLOOKUP($O42,ABM_RteName!$A:$C,3,FALSE)</f>
        <v>Rte 61 Music City Green Circuit</v>
      </c>
      <c r="Q42" s="9">
        <f t="shared" si="3"/>
        <v>605.75</v>
      </c>
      <c r="R42" s="33">
        <f t="shared" si="4"/>
        <v>1.7914543828145179E-2</v>
      </c>
      <c r="S42" s="3">
        <f>SUMIF(BoardingByRoute_ABM!$B:$B,O42,BoardingByRoute_ABM!$N:$N)</f>
        <v>493</v>
      </c>
      <c r="T42" s="32">
        <f t="shared" si="5"/>
        <v>1.4222658165767533E-2</v>
      </c>
      <c r="U42" s="51">
        <f>VLOOKUP($O42,ABM_RteName!$A:$D,4,FALSE)</f>
        <v>1</v>
      </c>
    </row>
    <row r="43" spans="1:21" x14ac:dyDescent="0.25">
      <c r="A43">
        <v>26</v>
      </c>
      <c r="B43">
        <v>72</v>
      </c>
      <c r="C43" s="52">
        <f>VLOOKUP($B43,Aggregated_Transit_Final_V2!$B:$H,7,FALSE)</f>
        <v>104.3</v>
      </c>
      <c r="D43" s="2"/>
      <c r="F43" s="51"/>
      <c r="G43" s="51"/>
      <c r="H43" s="51"/>
      <c r="I43" s="51"/>
      <c r="J43" s="52"/>
      <c r="K43" s="2"/>
      <c r="L43" s="51"/>
      <c r="M43" s="51">
        <f>VLOOKUP($O43,ABM_RteName!$A:$D,4,FALSE)</f>
        <v>1</v>
      </c>
      <c r="N43" s="30">
        <v>72</v>
      </c>
      <c r="O43" s="30">
        <v>72</v>
      </c>
      <c r="P43" s="5" t="str">
        <f>VLOOKUP($O43,ABM_RteName!$A:$C,3,FALSE)</f>
        <v>Rte 72 Edmondson Pike Conn Loop</v>
      </c>
      <c r="Q43" s="9">
        <f t="shared" si="3"/>
        <v>104.3</v>
      </c>
      <c r="R43" s="33">
        <f t="shared" si="4"/>
        <v>3.0845842695427853E-3</v>
      </c>
      <c r="S43" s="3">
        <f>SUMIF(BoardingByRoute_ABM!$B:$B,O43,BoardingByRoute_ABM!$N:$N)</f>
        <v>28</v>
      </c>
      <c r="T43" s="32">
        <f t="shared" si="5"/>
        <v>8.0777774572310531E-4</v>
      </c>
      <c r="U43" s="51">
        <f>VLOOKUP($O43,ABM_RteName!$A:$D,4,FALSE)</f>
        <v>1</v>
      </c>
    </row>
    <row r="44" spans="1:21" x14ac:dyDescent="0.25">
      <c r="A44">
        <v>39</v>
      </c>
      <c r="B44">
        <v>76</v>
      </c>
      <c r="C44" s="52">
        <f>VLOOKUP($B44,Aggregated_Transit_Final_V2!$B:$H,7,FALSE)</f>
        <v>419.15</v>
      </c>
      <c r="D44" s="2"/>
      <c r="F44" s="51"/>
      <c r="G44" s="51"/>
      <c r="H44" s="51"/>
      <c r="I44" s="51"/>
      <c r="J44" s="52"/>
      <c r="K44" s="2"/>
      <c r="L44" s="51"/>
      <c r="M44" s="51">
        <f>VLOOKUP($O44,ABM_RteName!$A:$D,4,FALSE)</f>
        <v>1</v>
      </c>
      <c r="N44" s="30">
        <v>76</v>
      </c>
      <c r="O44" s="30">
        <v>76</v>
      </c>
      <c r="P44" s="5" t="str">
        <f>VLOOKUP($O44,ABM_RteName!$A:$C,3,FALSE)</f>
        <v>Rte 76 Madison Conn Anderson</v>
      </c>
      <c r="Q44" s="9">
        <f t="shared" si="3"/>
        <v>419.15</v>
      </c>
      <c r="R44" s="33">
        <f t="shared" si="4"/>
        <v>1.2396006678608422E-2</v>
      </c>
      <c r="S44" s="3">
        <f>SUMIF(BoardingByRoute_ABM!$B:$B,O44,BoardingByRoute_ABM!$N:$N)</f>
        <v>46</v>
      </c>
      <c r="T44" s="32">
        <f t="shared" si="5"/>
        <v>1.3270634394022445E-3</v>
      </c>
      <c r="U44" s="51">
        <f>VLOOKUP($O44,ABM_RteName!$A:$D,4,FALSE)</f>
        <v>1</v>
      </c>
    </row>
    <row r="45" spans="1:21" x14ac:dyDescent="0.25">
      <c r="A45">
        <v>41</v>
      </c>
      <c r="B45">
        <v>77</v>
      </c>
      <c r="C45" s="52">
        <f>VLOOKUP($B45,Aggregated_Transit_Final_V2!$B:$H,7,FALSE)</f>
        <v>86.3</v>
      </c>
      <c r="D45" s="2"/>
      <c r="F45" s="51"/>
      <c r="G45" s="51"/>
      <c r="H45" s="51"/>
      <c r="I45" s="51"/>
      <c r="J45" s="52"/>
      <c r="K45" s="2"/>
      <c r="L45" s="51"/>
      <c r="M45" s="51">
        <f>VLOOKUP($O45,ABM_RteName!$A:$D,4,FALSE)</f>
        <v>1</v>
      </c>
      <c r="N45" s="30">
        <v>77</v>
      </c>
      <c r="O45" s="30">
        <v>77</v>
      </c>
      <c r="P45" s="5" t="str">
        <f>VLOOKUP($O45,ABM_RteName!$A:$C,3,FALSE)</f>
        <v>Rte 77 Thompson Connector EB</v>
      </c>
      <c r="Q45" s="9">
        <f t="shared" si="3"/>
        <v>86.3</v>
      </c>
      <c r="R45" s="33">
        <f t="shared" si="4"/>
        <v>2.5522494962755739E-3</v>
      </c>
      <c r="S45" s="3">
        <f>SUMIF(BoardingByRoute_ABM!$B:$B,O45,BoardingByRoute_ABM!$N:$N)</f>
        <v>34</v>
      </c>
      <c r="T45" s="32">
        <f t="shared" si="5"/>
        <v>9.8087297694948511E-4</v>
      </c>
      <c r="U45" s="51">
        <f>VLOOKUP($O45,ABM_RteName!$A:$D,4,FALSE)</f>
        <v>1</v>
      </c>
    </row>
    <row r="46" spans="1:21" x14ac:dyDescent="0.25">
      <c r="A46">
        <v>42</v>
      </c>
      <c r="B46">
        <v>84</v>
      </c>
      <c r="C46" s="52">
        <f>VLOOKUP($B46,Aggregated_Transit_Final_V2!$B:$H,7,FALSE)</f>
        <v>147.10000000000002</v>
      </c>
      <c r="D46" s="2"/>
      <c r="F46" s="51"/>
      <c r="G46" s="51"/>
      <c r="H46" s="51"/>
      <c r="I46" s="51"/>
      <c r="J46" s="52"/>
      <c r="K46" s="2"/>
      <c r="L46" s="51"/>
      <c r="M46" s="51">
        <f>VLOOKUP($O46,ABM_RteName!$A:$D,4,FALSE)</f>
        <v>6</v>
      </c>
      <c r="N46" s="30">
        <v>84</v>
      </c>
      <c r="O46" s="30">
        <v>84</v>
      </c>
      <c r="P46" s="5" t="str">
        <f>VLOOKUP($O46,ABM_RteName!$A:$C,3,FALSE)</f>
        <v>Rte 84</v>
      </c>
      <c r="Q46" s="9">
        <f t="shared" si="3"/>
        <v>147.10000000000002</v>
      </c>
      <c r="R46" s="33">
        <f t="shared" si="4"/>
        <v>4.3503580637559332E-3</v>
      </c>
      <c r="S46" s="3">
        <f>SUMIF(BoardingByRoute_ABM!$B:$B,O46,BoardingByRoute_ABM!$N:$N)</f>
        <v>249</v>
      </c>
      <c r="T46" s="32">
        <f t="shared" si="5"/>
        <v>7.1834520958947582E-3</v>
      </c>
      <c r="U46" s="51">
        <f>VLOOKUP($O46,ABM_RteName!$A:$D,4,FALSE)</f>
        <v>6</v>
      </c>
    </row>
    <row r="47" spans="1:21" x14ac:dyDescent="0.25">
      <c r="A47">
        <v>44</v>
      </c>
      <c r="B47">
        <v>86</v>
      </c>
      <c r="C47" s="52">
        <f>VLOOKUP($B47,Aggregated_Transit_Final_V2!$B:$H,7,FALSE)</f>
        <v>104.85</v>
      </c>
      <c r="D47" s="2"/>
      <c r="F47" s="51"/>
      <c r="G47" s="51"/>
      <c r="H47" s="51"/>
      <c r="I47" s="51"/>
      <c r="J47" s="52"/>
      <c r="K47" s="2"/>
      <c r="L47" s="51"/>
      <c r="M47" s="51">
        <f>VLOOKUP($O47,ABM_RteName!$A:$D,4,FALSE)</f>
        <v>6</v>
      </c>
      <c r="N47" s="30">
        <v>86</v>
      </c>
      <c r="O47" s="30">
        <v>86</v>
      </c>
      <c r="P47" s="5" t="str">
        <f>VLOOKUP($O47,ABM_RteName!$A:$C,3,FALSE)</f>
        <v>Rte 86 Smyrna Lavergne Exp</v>
      </c>
      <c r="Q47" s="9">
        <f t="shared" si="3"/>
        <v>104.85</v>
      </c>
      <c r="R47" s="33">
        <f t="shared" si="4"/>
        <v>3.1008500542815056E-3</v>
      </c>
      <c r="S47" s="3">
        <f>SUMIF(BoardingByRoute_ABM!$B:$B,O47,BoardingByRoute_ABM!$N:$N)</f>
        <v>14</v>
      </c>
      <c r="T47" s="32">
        <f t="shared" si="5"/>
        <v>4.0388887286155266E-4</v>
      </c>
      <c r="U47" s="51">
        <f>VLOOKUP($O47,ABM_RteName!$A:$D,4,FALSE)</f>
        <v>6</v>
      </c>
    </row>
    <row r="48" spans="1:21" x14ac:dyDescent="0.25">
      <c r="A48">
        <v>45</v>
      </c>
      <c r="B48">
        <v>87</v>
      </c>
      <c r="C48" s="52">
        <f>VLOOKUP($B48,Aggregated_Transit_Final_V2!$B:$H,7,FALSE)</f>
        <v>86.271653999999998</v>
      </c>
      <c r="D48" s="2"/>
      <c r="F48" s="51"/>
      <c r="G48" s="51"/>
      <c r="H48" s="51"/>
      <c r="I48" s="51"/>
      <c r="J48" s="52"/>
      <c r="K48" s="2"/>
      <c r="L48" s="51"/>
      <c r="M48" s="51">
        <f>VLOOKUP($O48,ABM_RteName!$A:$D,4,FALSE)</f>
        <v>7</v>
      </c>
      <c r="N48" s="30">
        <v>87</v>
      </c>
      <c r="O48" s="30">
        <v>87</v>
      </c>
      <c r="P48" s="5" t="str">
        <f>VLOOKUP($O48,ABM_RteName!$A:$C,3,FALSE)</f>
        <v>Rte 87 Gallatin Comm Bus</v>
      </c>
      <c r="Q48" s="9">
        <f t="shared" si="3"/>
        <v>86.271653999999998</v>
      </c>
      <c r="R48" s="33">
        <f t="shared" si="4"/>
        <v>2.5514111873042944E-3</v>
      </c>
      <c r="S48" s="3">
        <f>SUMIF(BoardingByRoute_ABM!$B:$B,O48,BoardingByRoute_ABM!$N:$N)</f>
        <v>24</v>
      </c>
      <c r="T48" s="32">
        <f t="shared" si="5"/>
        <v>6.9238092490551885E-4</v>
      </c>
      <c r="U48" s="51">
        <f>VLOOKUP($O48,ABM_RteName!$A:$D,4,FALSE)</f>
        <v>7</v>
      </c>
    </row>
    <row r="49" spans="1:21" x14ac:dyDescent="0.25">
      <c r="A49">
        <v>46</v>
      </c>
      <c r="B49">
        <v>89</v>
      </c>
      <c r="C49" s="52">
        <f>VLOOKUP($B49,Aggregated_Transit_Final_V2!$B:$H,7,FALSE)</f>
        <v>65.456693000000001</v>
      </c>
      <c r="D49" s="2"/>
      <c r="F49" s="51"/>
      <c r="G49" s="51"/>
      <c r="H49" s="51"/>
      <c r="I49" s="51"/>
      <c r="J49" s="52"/>
      <c r="K49" s="2"/>
      <c r="L49" s="51"/>
      <c r="M49" s="51">
        <f>VLOOKUP($O49,ABM_RteName!$A:$D,4,FALSE)</f>
        <v>6</v>
      </c>
      <c r="N49" s="30">
        <v>89</v>
      </c>
      <c r="O49" s="30">
        <v>89</v>
      </c>
      <c r="P49" s="5" t="str">
        <f>VLOOKUP($O49,ABM_RteName!$A:$C,3,FALSE)</f>
        <v>Rte 89 Sprgfield/Joelton Exp</v>
      </c>
      <c r="Q49" s="9">
        <f t="shared" si="3"/>
        <v>65.456693000000001</v>
      </c>
      <c r="R49" s="33">
        <f t="shared" si="4"/>
        <v>1.9358263237209143E-3</v>
      </c>
      <c r="S49" s="3">
        <f>SUMIF(BoardingByRoute_ABM!$B:$B,O49,BoardingByRoute_ABM!$N:$N)</f>
        <v>45</v>
      </c>
      <c r="T49" s="32">
        <f t="shared" si="5"/>
        <v>1.2982142341978478E-3</v>
      </c>
      <c r="U49" s="51">
        <f>VLOOKUP($O49,ABM_RteName!$A:$D,4,FALSE)</f>
        <v>6</v>
      </c>
    </row>
    <row r="50" spans="1:21" x14ac:dyDescent="0.25">
      <c r="A50">
        <v>47</v>
      </c>
      <c r="B50">
        <v>90</v>
      </c>
      <c r="C50" s="52" t="e">
        <f>VLOOKUP($B50,Aggregated_Transit_Final_V2!$B:$H,7,FALSE)</f>
        <v>#N/A</v>
      </c>
      <c r="D50" s="2"/>
      <c r="F50" s="51"/>
      <c r="G50" s="51"/>
      <c r="H50" s="51"/>
      <c r="I50" s="51"/>
      <c r="J50" s="52"/>
      <c r="K50" s="2"/>
      <c r="L50" s="51"/>
      <c r="M50" s="51">
        <f>VLOOKUP($O50,ABM_RteName!$A:$D,4,FALSE)</f>
        <v>6</v>
      </c>
      <c r="N50" s="30">
        <v>91</v>
      </c>
      <c r="O50" s="30">
        <v>91</v>
      </c>
      <c r="P50" s="5" t="str">
        <f>VLOOKUP($O50,ABM_RteName!$A:$C,3,FALSE)</f>
        <v>Rte 91 Franklin/Brentwood Exp</v>
      </c>
      <c r="Q50" s="9">
        <f t="shared" si="3"/>
        <v>93.129920999999996</v>
      </c>
      <c r="R50" s="33">
        <f t="shared" si="4"/>
        <v>2.7542386322182387E-3</v>
      </c>
      <c r="S50" s="3">
        <f>SUMIF(BoardingByRoute_ABM!$B:$B,O50,BoardingByRoute_ABM!$N:$N)</f>
        <v>0</v>
      </c>
      <c r="T50" s="32">
        <f t="shared" si="5"/>
        <v>0</v>
      </c>
      <c r="U50" s="51">
        <f>VLOOKUP($O50,ABM_RteName!$A:$D,4,FALSE)</f>
        <v>6</v>
      </c>
    </row>
    <row r="51" spans="1:21" x14ac:dyDescent="0.25">
      <c r="A51">
        <v>48</v>
      </c>
      <c r="B51">
        <v>91</v>
      </c>
      <c r="C51" s="52">
        <f>VLOOKUP($B51,Aggregated_Transit_Final_V2!$B:$H,7,FALSE)</f>
        <v>93.129920999999996</v>
      </c>
      <c r="D51" s="2"/>
      <c r="F51" s="51"/>
      <c r="G51" s="51"/>
      <c r="H51" s="51"/>
      <c r="I51" s="51"/>
      <c r="J51" s="52"/>
      <c r="K51" s="2"/>
      <c r="L51" s="51"/>
      <c r="M51" s="51">
        <f>VLOOKUP($O51,ABM_RteName!$A:$D,4,FALSE)</f>
        <v>7</v>
      </c>
      <c r="N51" s="30">
        <v>92</v>
      </c>
      <c r="O51" s="30">
        <v>92</v>
      </c>
      <c r="P51" s="5" t="str">
        <f>VLOOKUP($O51,ABM_RteName!$A:$C,3,FALSE)</f>
        <v>Rte 92 Bus</v>
      </c>
      <c r="Q51" s="9">
        <f t="shared" si="3"/>
        <v>89.318898000000004</v>
      </c>
      <c r="R51" s="33">
        <f t="shared" si="4"/>
        <v>2.6415308508503988E-3</v>
      </c>
      <c r="S51" s="3">
        <f>SUMIF(BoardingByRoute_ABM!$B:$B,O51,BoardingByRoute_ABM!$N:$N)</f>
        <v>28</v>
      </c>
      <c r="T51" s="32">
        <f t="shared" si="5"/>
        <v>8.0777774572310531E-4</v>
      </c>
      <c r="U51" s="51">
        <f>VLOOKUP($O51,ABM_RteName!$A:$D,4,FALSE)</f>
        <v>7</v>
      </c>
    </row>
    <row r="52" spans="1:21" x14ac:dyDescent="0.25">
      <c r="A52">
        <v>49</v>
      </c>
      <c r="B52">
        <v>92</v>
      </c>
      <c r="C52" s="52">
        <f>VLOOKUP($B52,Aggregated_Transit_Final_V2!$B:$H,7,FALSE)</f>
        <v>89.318898000000004</v>
      </c>
      <c r="D52" s="2"/>
      <c r="F52" s="51"/>
      <c r="G52" s="51"/>
      <c r="H52" s="51"/>
      <c r="I52" s="51"/>
      <c r="J52" s="52"/>
      <c r="K52" s="2"/>
      <c r="L52" s="51"/>
      <c r="M52" s="51">
        <f>VLOOKUP($O52,ABM_RteName!$A:$D,4,FALSE)</f>
        <v>11</v>
      </c>
      <c r="N52" s="30">
        <v>93</v>
      </c>
      <c r="O52" s="30">
        <v>93</v>
      </c>
      <c r="P52" s="5" t="str">
        <f>VLOOKUP($O52,ABM_RteName!$A:$C,3,FALSE)</f>
        <v>Rte 201 MCS West End Shuttle</v>
      </c>
      <c r="Q52" s="9">
        <f t="shared" si="3"/>
        <v>287.35000000000002</v>
      </c>
      <c r="R52" s="33">
        <f t="shared" si="4"/>
        <v>8.498133172129621E-3</v>
      </c>
      <c r="S52" s="3">
        <f>SUMIF(BoardingByRoute_ABM!$B:$B,O52,BoardingByRoute_ABM!$N:$N)</f>
        <v>759</v>
      </c>
      <c r="T52" s="32">
        <f t="shared" si="5"/>
        <v>2.1896546750137035E-2</v>
      </c>
      <c r="U52" s="51">
        <f>VLOOKUP($O52,ABM_RteName!$A:$D,4,FALSE)</f>
        <v>11</v>
      </c>
    </row>
    <row r="53" spans="1:21" x14ac:dyDescent="0.25">
      <c r="A53">
        <v>50</v>
      </c>
      <c r="B53">
        <v>93</v>
      </c>
      <c r="C53" s="52">
        <f>VLOOKUP($B53,Aggregated_Transit_Final_V2!$B:$H,7,FALSE)</f>
        <v>287.35000000000002</v>
      </c>
      <c r="D53" s="2"/>
      <c r="F53" s="51"/>
      <c r="G53" s="51"/>
      <c r="H53" s="51"/>
      <c r="I53" s="51"/>
      <c r="J53" s="52"/>
      <c r="K53" s="2"/>
      <c r="L53" s="51"/>
      <c r="M53" s="51">
        <f>VLOOKUP($O53,ABM_RteName!$A:$D,4,FALSE)</f>
        <v>6</v>
      </c>
      <c r="N53" s="30">
        <v>95</v>
      </c>
      <c r="O53" s="30">
        <v>95</v>
      </c>
      <c r="P53" s="5" t="str">
        <f>VLOOKUP($O53,ABM_RteName!$A:$C,3,FALSE)</f>
        <v>Rte 95 Spring Hill Exp</v>
      </c>
      <c r="Q53" s="9">
        <f t="shared" si="3"/>
        <v>71.452755999999994</v>
      </c>
      <c r="R53" s="33">
        <f t="shared" si="4"/>
        <v>2.1131548146987428E-3</v>
      </c>
      <c r="S53" s="3">
        <f>SUMIF(BoardingByRoute_ABM!$B:$B,O53,BoardingByRoute_ABM!$N:$N)</f>
        <v>0</v>
      </c>
      <c r="T53" s="32">
        <f t="shared" si="5"/>
        <v>0</v>
      </c>
      <c r="U53" s="51">
        <f>VLOOKUP($O53,ABM_RteName!$A:$D,4,FALSE)</f>
        <v>6</v>
      </c>
    </row>
    <row r="54" spans="1:21" x14ac:dyDescent="0.25">
      <c r="A54">
        <v>51</v>
      </c>
      <c r="B54">
        <v>95</v>
      </c>
      <c r="C54" s="52">
        <f>VLOOKUP($B54,Aggregated_Transit_Final_V2!$B:$H,7,FALSE)</f>
        <v>71.452755999999994</v>
      </c>
      <c r="D54" s="2"/>
      <c r="F54" s="51"/>
      <c r="G54" s="51"/>
      <c r="H54" s="51"/>
      <c r="I54" s="51"/>
      <c r="J54" s="52"/>
      <c r="K54" s="2"/>
      <c r="L54" s="51"/>
      <c r="M54" s="51">
        <f>VLOOKUP($O54,ABM_RteName!$A:$D,4,FALSE)</f>
        <v>7</v>
      </c>
      <c r="N54" s="30">
        <v>96</v>
      </c>
      <c r="O54" s="30">
        <v>96</v>
      </c>
      <c r="P54" s="5" t="str">
        <f>VLOOKUP($O54,ABM_RteName!$A:$C,3,FALSE)</f>
        <v>Rte 96 Murfreesboro Comm Bus</v>
      </c>
      <c r="Q54" s="9">
        <f t="shared" si="3"/>
        <v>150.57874000000001</v>
      </c>
      <c r="R54" s="33">
        <f t="shared" si="4"/>
        <v>4.4532388564867981E-3</v>
      </c>
      <c r="S54" s="3">
        <f>SUMIF(BoardingByRoute_ABM!$B:$B,O54,BoardingByRoute_ABM!$N:$N)</f>
        <v>159</v>
      </c>
      <c r="T54" s="32">
        <f t="shared" si="5"/>
        <v>4.5870236274990622E-3</v>
      </c>
      <c r="U54" s="51">
        <f>VLOOKUP($O54,ABM_RteName!$A:$D,4,FALSE)</f>
        <v>7</v>
      </c>
    </row>
    <row r="55" spans="1:21" x14ac:dyDescent="0.25">
      <c r="B55">
        <v>96</v>
      </c>
      <c r="C55" s="52">
        <f>VLOOKUP($B55,Aggregated_Transit_Final_V2!$B:$H,7,FALSE)</f>
        <v>150.57874000000001</v>
      </c>
      <c r="D55" s="2"/>
      <c r="F55" s="51"/>
      <c r="G55" s="51"/>
      <c r="H55" s="51"/>
      <c r="I55" s="51"/>
      <c r="J55" s="51"/>
      <c r="K55" s="2"/>
      <c r="L55" s="51"/>
      <c r="M55" s="51"/>
      <c r="N55" s="30">
        <v>301</v>
      </c>
      <c r="O55" s="30">
        <v>301</v>
      </c>
      <c r="P55" s="5" t="str">
        <f>VLOOKUP($O55,ABM_RteName!$A:$C,3,FALSE)</f>
        <v>Rte 301 Music City Star</v>
      </c>
      <c r="Q55" s="9">
        <f t="shared" si="3"/>
        <v>1130.8858270000001</v>
      </c>
      <c r="R55" s="33">
        <f t="shared" si="4"/>
        <v>3.3444991683730434E-2</v>
      </c>
      <c r="S55" s="3">
        <f>SUMIF(BoardingByRoute_ABM!$B:$B,O55,BoardingByRoute_ABM!$N:$N)</f>
        <v>500</v>
      </c>
      <c r="T55" s="32">
        <f t="shared" si="5"/>
        <v>1.442460260219831E-2</v>
      </c>
      <c r="U55" s="51">
        <f>VLOOKUP($O55,ABM_RteName!$A:$D,4,FALSE)</f>
        <v>12</v>
      </c>
    </row>
    <row r="56" spans="1:21" x14ac:dyDescent="0.25">
      <c r="B56" s="51">
        <v>301</v>
      </c>
      <c r="C56" s="52">
        <f>VLOOKUP($B56,Aggregated_Transit_Final_V2!$B:$H,7,FALSE)</f>
        <v>1130.8858270000001</v>
      </c>
      <c r="D56" s="2"/>
      <c r="F56" s="51"/>
      <c r="G56" s="51"/>
      <c r="H56" s="51"/>
      <c r="I56" s="51"/>
      <c r="J56" s="51"/>
      <c r="K56" s="2"/>
      <c r="L56" s="51"/>
      <c r="M56" s="51"/>
      <c r="N56" s="81" t="s">
        <v>96</v>
      </c>
      <c r="O56" s="72"/>
      <c r="P56" s="72"/>
      <c r="Q56" s="95">
        <f>SUM(Q4:Q54)</f>
        <v>33813.308661999996</v>
      </c>
      <c r="R56" s="96">
        <f>SUM(R4:R54)</f>
        <v>1.0000000000000002</v>
      </c>
      <c r="S56" s="21">
        <f>SUM(S4:S54)</f>
        <v>34663</v>
      </c>
      <c r="T56" s="97">
        <f>SUM(T4:T54)</f>
        <v>1.0000000000000002</v>
      </c>
      <c r="U56" s="92"/>
    </row>
    <row r="57" spans="1:21" x14ac:dyDescent="0.25">
      <c r="F57" s="51"/>
      <c r="G57" s="51"/>
      <c r="H57" s="51"/>
      <c r="I57" s="51"/>
      <c r="J57" s="51"/>
      <c r="K57" s="2"/>
      <c r="L57" s="51"/>
      <c r="M57" s="51"/>
      <c r="N57" s="91"/>
      <c r="O57" s="91"/>
      <c r="P57" s="92"/>
      <c r="Q57" s="93"/>
      <c r="R57" s="94"/>
      <c r="S57" s="93"/>
      <c r="T57" s="94"/>
      <c r="U57" s="92"/>
    </row>
    <row r="58" spans="1:21" x14ac:dyDescent="0.25">
      <c r="F58" s="51"/>
      <c r="G58" s="51"/>
      <c r="H58" s="51"/>
      <c r="I58" s="51"/>
      <c r="J58" s="51"/>
      <c r="K58" s="2"/>
      <c r="L58" s="51"/>
      <c r="M58" s="51"/>
      <c r="N58" s="92"/>
      <c r="O58" s="92"/>
      <c r="P58" s="92"/>
      <c r="Q58" s="92"/>
      <c r="R58" s="92"/>
      <c r="S58" s="92"/>
      <c r="T58" s="92"/>
      <c r="U58" s="92"/>
    </row>
    <row r="59" spans="1:21" x14ac:dyDescent="0.25">
      <c r="C59" s="1"/>
      <c r="D59" s="2"/>
      <c r="F59" s="51"/>
      <c r="G59" s="51"/>
      <c r="H59" s="51"/>
      <c r="I59" s="51"/>
      <c r="J59" s="51"/>
      <c r="K59" s="2"/>
      <c r="L59" s="51"/>
      <c r="M59" s="51"/>
      <c r="N59" s="92"/>
      <c r="O59" s="92"/>
      <c r="P59" s="92"/>
      <c r="Q59" s="92"/>
      <c r="R59" s="92"/>
      <c r="S59" s="92"/>
      <c r="T59" s="92"/>
      <c r="U59" s="92"/>
    </row>
    <row r="60" spans="1:21" x14ac:dyDescent="0.25">
      <c r="C60" s="1"/>
      <c r="D60" s="2"/>
      <c r="F60" s="51"/>
      <c r="G60" s="51"/>
      <c r="H60" s="51"/>
      <c r="I60" s="51"/>
      <c r="J60" s="51"/>
      <c r="K60" s="2"/>
      <c r="L60" s="51"/>
      <c r="M60" s="51"/>
      <c r="N60" s="51"/>
    </row>
    <row r="61" spans="1:21" x14ac:dyDescent="0.25">
      <c r="C61" s="1"/>
      <c r="D61" s="2"/>
      <c r="F61" s="51"/>
      <c r="G61" s="51"/>
      <c r="H61" s="51"/>
      <c r="I61" s="51"/>
      <c r="J61" s="51"/>
      <c r="K61" s="2"/>
      <c r="L61" s="51"/>
      <c r="M61" s="51"/>
      <c r="N61" s="29"/>
    </row>
    <row r="62" spans="1:21" x14ac:dyDescent="0.25">
      <c r="D62" s="2"/>
      <c r="F62" s="51"/>
      <c r="G62" s="51"/>
      <c r="H62" s="51"/>
      <c r="I62" s="51"/>
      <c r="J62" s="51"/>
      <c r="K62" s="2"/>
      <c r="L62" s="51"/>
      <c r="M62" s="51"/>
      <c r="N62" s="51"/>
      <c r="P62" s="29" t="s">
        <v>108</v>
      </c>
    </row>
    <row r="63" spans="1:21" x14ac:dyDescent="0.25">
      <c r="F63" s="51"/>
      <c r="G63" s="51"/>
      <c r="H63" s="51"/>
      <c r="I63" s="51"/>
      <c r="J63" s="51"/>
      <c r="K63" s="2"/>
      <c r="L63" s="51"/>
      <c r="M63" s="51"/>
      <c r="N63" s="51"/>
      <c r="P63" s="29" t="s">
        <v>21</v>
      </c>
      <c r="Q63">
        <v>301</v>
      </c>
    </row>
    <row r="64" spans="1:21" x14ac:dyDescent="0.25">
      <c r="F64" s="51"/>
      <c r="G64" s="51"/>
      <c r="H64" s="51"/>
      <c r="I64" s="51"/>
      <c r="J64" s="51"/>
      <c r="K64" s="2"/>
      <c r="L64" s="51"/>
      <c r="M64" s="51"/>
      <c r="N64" s="51"/>
      <c r="P64" s="29" t="s">
        <v>22</v>
      </c>
      <c r="Q64">
        <v>301</v>
      </c>
    </row>
    <row r="65" spans="1:17" x14ac:dyDescent="0.25">
      <c r="F65" s="51"/>
      <c r="G65" s="51"/>
      <c r="H65" s="51"/>
      <c r="I65" s="51"/>
      <c r="J65" s="51"/>
      <c r="K65" s="2"/>
      <c r="L65" s="51"/>
      <c r="M65" s="51"/>
      <c r="N65" s="51"/>
      <c r="P65" s="29" t="s">
        <v>23</v>
      </c>
      <c r="Q65">
        <v>301</v>
      </c>
    </row>
    <row r="66" spans="1:17" x14ac:dyDescent="0.25">
      <c r="D66" s="23"/>
      <c r="F66" s="51"/>
      <c r="G66" s="51"/>
      <c r="H66" s="51"/>
      <c r="I66" s="51"/>
      <c r="J66" s="51"/>
      <c r="K66" s="2"/>
      <c r="L66" s="51"/>
      <c r="M66" s="51"/>
      <c r="N66" s="51"/>
      <c r="P66" s="29" t="s">
        <v>24</v>
      </c>
      <c r="Q66">
        <v>301</v>
      </c>
    </row>
    <row r="67" spans="1:17" x14ac:dyDescent="0.25">
      <c r="F67" s="51"/>
      <c r="G67" s="51"/>
      <c r="H67" s="51"/>
      <c r="I67" s="51"/>
      <c r="J67" s="51"/>
      <c r="K67" s="2"/>
      <c r="L67" s="51"/>
      <c r="M67" s="51"/>
      <c r="N67" s="51"/>
      <c r="P67" s="29" t="s">
        <v>25</v>
      </c>
      <c r="Q67">
        <v>301</v>
      </c>
    </row>
    <row r="68" spans="1:17" x14ac:dyDescent="0.25">
      <c r="F68" s="51"/>
      <c r="G68" s="51"/>
      <c r="H68" s="51"/>
      <c r="I68" s="51"/>
      <c r="J68" s="51"/>
      <c r="K68" s="2"/>
      <c r="L68" s="51"/>
      <c r="M68" s="51"/>
      <c r="N68" s="51"/>
      <c r="P68" t="s">
        <v>26</v>
      </c>
      <c r="Q68">
        <v>301</v>
      </c>
    </row>
    <row r="69" spans="1:17" x14ac:dyDescent="0.25">
      <c r="F69" s="51"/>
      <c r="G69" s="51"/>
      <c r="H69" s="51"/>
      <c r="I69" s="51"/>
      <c r="J69" s="51"/>
      <c r="K69" s="51"/>
      <c r="L69" s="51"/>
      <c r="M69" s="51"/>
      <c r="N69" s="51"/>
      <c r="P69" s="29" t="s">
        <v>9</v>
      </c>
      <c r="Q69">
        <v>18</v>
      </c>
    </row>
    <row r="71" spans="1:17" x14ac:dyDescent="0.25">
      <c r="J71" s="1"/>
      <c r="L71" s="20"/>
    </row>
    <row r="72" spans="1:17" x14ac:dyDescent="0.25">
      <c r="A72" t="s">
        <v>27</v>
      </c>
    </row>
    <row r="73" spans="1:17" x14ac:dyDescent="0.25">
      <c r="B73" s="19"/>
      <c r="C73" s="132" t="s">
        <v>0</v>
      </c>
      <c r="D73" s="132"/>
      <c r="E73" s="137" t="s">
        <v>1</v>
      </c>
      <c r="F73" s="137"/>
      <c r="G73" s="137" t="s">
        <v>107</v>
      </c>
      <c r="H73" s="137"/>
      <c r="I73" s="139"/>
      <c r="J73" s="139"/>
    </row>
    <row r="74" spans="1:17" x14ac:dyDescent="0.25">
      <c r="B74" s="6" t="s">
        <v>28</v>
      </c>
      <c r="C74" s="24" t="s">
        <v>2</v>
      </c>
      <c r="D74" s="24" t="s">
        <v>3</v>
      </c>
      <c r="E74" s="26" t="s">
        <v>2</v>
      </c>
      <c r="F74" s="26" t="s">
        <v>3</v>
      </c>
      <c r="G74" s="26" t="s">
        <v>105</v>
      </c>
      <c r="H74" s="26" t="s">
        <v>106</v>
      </c>
      <c r="I74" s="37"/>
      <c r="J74" s="37"/>
    </row>
    <row r="75" spans="1:17" x14ac:dyDescent="0.25">
      <c r="B75" s="5" t="s">
        <v>29</v>
      </c>
      <c r="C75" s="9">
        <f>25297-BoardingByRoute_All!E48</f>
        <v>24730.15</v>
      </c>
      <c r="D75" s="10">
        <f>C75/$C$79</f>
        <v>0.78954568673775627</v>
      </c>
      <c r="E75" s="11">
        <f>IF(ISNUMBER(TrnStat.asc!J26),TrnStat.asc!J26,CONCATENATE(LEFT(TrnStat.asc!J26,2),RIGHT(TrnStat.asc!J26,3)))</f>
        <v>29646</v>
      </c>
      <c r="F75" s="12">
        <f>E75/E$79</f>
        <v>0.84310212439211674</v>
      </c>
      <c r="G75" s="41">
        <v>-0.1</v>
      </c>
      <c r="H75" s="43">
        <f>G75/0.03</f>
        <v>-3.3333333333333335</v>
      </c>
      <c r="I75" s="38"/>
      <c r="J75" s="51"/>
    </row>
    <row r="76" spans="1:17" x14ac:dyDescent="0.25">
      <c r="B76" s="5" t="s">
        <v>30</v>
      </c>
      <c r="C76" s="9">
        <v>2122</v>
      </c>
      <c r="D76" s="10">
        <f t="shared" ref="D76:D79" si="6">C76/$C$79</f>
        <v>6.7747908818083138E-2</v>
      </c>
      <c r="E76" s="11">
        <f>IF(ISNUMBER(TrnStat.asc!K27),TrnStat.asc!K27,CONCATENATE(LEFT(TrnStat.asc!K27,2),RIGHT(TrnStat.asc!K27,3)))+IF(ISNUMBER(TrnStat.asc!K28),TrnStat.asc!K28,CONCATENATE(LEFT(TrnStat.asc!K28,2),RIGHT(TrnStat.asc!K28,3)))</f>
        <v>1542</v>
      </c>
      <c r="F76" s="12">
        <f t="shared" ref="F76:F78" si="7">E76/E$79</f>
        <v>4.3852913573927142E-2</v>
      </c>
      <c r="G76" s="41">
        <v>0.45</v>
      </c>
      <c r="H76" s="43">
        <f t="shared" ref="H76:H78" si="8">G76/0.03</f>
        <v>15.000000000000002</v>
      </c>
      <c r="I76" s="39"/>
      <c r="J76" s="51"/>
    </row>
    <row r="77" spans="1:17" x14ac:dyDescent="0.25">
      <c r="B77" s="5" t="s">
        <v>6</v>
      </c>
      <c r="C77" s="9">
        <v>2660</v>
      </c>
      <c r="D77" s="10">
        <f t="shared" si="6"/>
        <v>8.4924334333695173E-2</v>
      </c>
      <c r="E77" s="11">
        <f>IF(ISNUMBER(TrnStat.asc!K29),TrnStat.asc!K29,CONCATENATE(LEFT(TrnStat.asc!K29,2),RIGHT(TrnStat.asc!K29,3)))</f>
        <v>2716</v>
      </c>
      <c r="F77" s="12">
        <f t="shared" si="7"/>
        <v>7.7240280977163497E-2</v>
      </c>
      <c r="G77" s="41">
        <v>-0.1</v>
      </c>
      <c r="H77" s="43">
        <f t="shared" si="8"/>
        <v>-3.3333333333333335</v>
      </c>
      <c r="I77" s="39"/>
      <c r="J77" s="51"/>
    </row>
    <row r="78" spans="1:17" x14ac:dyDescent="0.25">
      <c r="B78" s="13" t="s">
        <v>31</v>
      </c>
      <c r="C78" s="14">
        <f>1243+BoardingByRoute_All!E48</f>
        <v>1809.85</v>
      </c>
      <c r="D78" s="10">
        <f t="shared" si="6"/>
        <v>5.7782070110465482E-2</v>
      </c>
      <c r="E78" s="11">
        <f>IF(ISNUMBER(TrnStat.asc!J30),TrnStat.asc!J30,CONCATENATE(LEFT(TrnStat.asc!J30,2),RIGHT(TrnStat.asc!J30,3)))+IF(ISNUMBER(TrnStat.asc!J31),TrnStat.asc!J31,CONCATENATE(LEFT(TrnStat.asc!J31,2),RIGHT(TrnStat.asc!J31,3)))</f>
        <v>1259</v>
      </c>
      <c r="F78" s="15">
        <f t="shared" si="7"/>
        <v>3.5804681056792652E-2</v>
      </c>
      <c r="G78" s="41">
        <v>1.3</v>
      </c>
      <c r="H78" s="43">
        <f t="shared" si="8"/>
        <v>43.333333333333336</v>
      </c>
      <c r="I78" s="39"/>
      <c r="J78" s="51"/>
    </row>
    <row r="79" spans="1:17" x14ac:dyDescent="0.25">
      <c r="B79" s="6" t="s">
        <v>4</v>
      </c>
      <c r="C79" s="16">
        <v>31322</v>
      </c>
      <c r="D79" s="82">
        <f t="shared" si="6"/>
        <v>1</v>
      </c>
      <c r="E79" s="17">
        <f>SUM(E75:E78)</f>
        <v>35163</v>
      </c>
      <c r="F79" s="18">
        <v>1</v>
      </c>
      <c r="G79" s="42"/>
      <c r="H79" s="22"/>
      <c r="I79" s="40"/>
      <c r="J79" s="51"/>
    </row>
    <row r="80" spans="1:17" x14ac:dyDescent="0.25">
      <c r="I80" s="5"/>
    </row>
    <row r="81" spans="2:5" x14ac:dyDescent="0.25">
      <c r="B81" t="s">
        <v>113</v>
      </c>
      <c r="C81" s="58">
        <v>0.59599999999999997</v>
      </c>
      <c r="E81" s="57">
        <f>-(TrnStat.asc!D46)</f>
        <v>0.48110000000000003</v>
      </c>
    </row>
  </sheetData>
  <mergeCells count="7">
    <mergeCell ref="S2:T2"/>
    <mergeCell ref="G73:H73"/>
    <mergeCell ref="C73:D73"/>
    <mergeCell ref="E73:F73"/>
    <mergeCell ref="J2:K2"/>
    <mergeCell ref="Q2:R2"/>
    <mergeCell ref="I73:J7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3" sqref="I13"/>
    </sheetView>
  </sheetViews>
  <sheetFormatPr defaultRowHeight="15" x14ac:dyDescent="0.25"/>
  <cols>
    <col min="1" max="1" width="14.7109375" style="51" bestFit="1" customWidth="1"/>
    <col min="2" max="2" width="15" style="51" bestFit="1" customWidth="1"/>
    <col min="3" max="3" width="9.7109375" style="51" bestFit="1" customWidth="1"/>
    <col min="4" max="4" width="3.85546875" style="51" bestFit="1" customWidth="1"/>
    <col min="5" max="5" width="9.7109375" style="51" bestFit="1" customWidth="1"/>
    <col min="6" max="6" width="12.140625" style="51" bestFit="1" customWidth="1"/>
    <col min="7" max="8" width="9.5703125" style="51" bestFit="1" customWidth="1"/>
    <col min="9" max="16384" width="9.140625" style="51"/>
  </cols>
  <sheetData>
    <row r="1" spans="1:9" x14ac:dyDescent="0.25">
      <c r="A1" s="51" t="s">
        <v>613</v>
      </c>
      <c r="B1" s="51" t="s">
        <v>612</v>
      </c>
      <c r="C1" s="51" t="s">
        <v>611</v>
      </c>
      <c r="D1" s="51" t="s">
        <v>610</v>
      </c>
      <c r="E1" s="51" t="s">
        <v>609</v>
      </c>
      <c r="F1" s="51" t="s">
        <v>608</v>
      </c>
      <c r="G1" s="51" t="s">
        <v>607</v>
      </c>
      <c r="H1" s="51" t="s">
        <v>614</v>
      </c>
    </row>
    <row r="2" spans="1:9" x14ac:dyDescent="0.25">
      <c r="A2" s="51">
        <v>15</v>
      </c>
      <c r="B2" s="51">
        <v>15</v>
      </c>
      <c r="C2" s="51" t="s">
        <v>555</v>
      </c>
      <c r="E2" s="51" t="s">
        <v>555</v>
      </c>
      <c r="F2" s="90">
        <v>3431.6</v>
      </c>
      <c r="G2" s="90">
        <v>3427.8</v>
      </c>
      <c r="H2" s="90">
        <f t="shared" ref="H2:H33" si="0">IF(AND(F2&gt;0,G2&gt;0),SUM(F2:G2)/2,F2)</f>
        <v>3429.7</v>
      </c>
    </row>
    <row r="3" spans="1:9" x14ac:dyDescent="0.25">
      <c r="A3" s="51">
        <v>56</v>
      </c>
      <c r="B3" s="51">
        <v>56</v>
      </c>
      <c r="C3" s="51" t="s">
        <v>559</v>
      </c>
      <c r="E3" s="51" t="s">
        <v>559</v>
      </c>
      <c r="F3" s="90">
        <v>2562.4</v>
      </c>
      <c r="G3" s="90">
        <v>2556.1999999999998</v>
      </c>
      <c r="H3" s="90">
        <f t="shared" si="0"/>
        <v>2559.3000000000002</v>
      </c>
    </row>
    <row r="4" spans="1:9" x14ac:dyDescent="0.25">
      <c r="A4" s="51">
        <v>52</v>
      </c>
      <c r="B4" s="51">
        <v>52</v>
      </c>
      <c r="C4" s="51" t="s">
        <v>558</v>
      </c>
      <c r="E4" s="51" t="s">
        <v>558</v>
      </c>
      <c r="F4" s="90">
        <v>2495.8000000000002</v>
      </c>
      <c r="G4" s="90">
        <v>2497</v>
      </c>
      <c r="H4" s="90">
        <f t="shared" si="0"/>
        <v>2496.4</v>
      </c>
    </row>
    <row r="5" spans="1:9" x14ac:dyDescent="0.25">
      <c r="A5" s="51">
        <v>10</v>
      </c>
      <c r="B5" s="51">
        <v>10</v>
      </c>
      <c r="C5" s="51" t="s">
        <v>556</v>
      </c>
      <c r="E5" s="51" t="s">
        <v>556</v>
      </c>
      <c r="F5" s="90">
        <v>2142.5</v>
      </c>
      <c r="G5" s="90">
        <v>2147.1999999999998</v>
      </c>
      <c r="H5" s="90">
        <f t="shared" si="0"/>
        <v>2144.85</v>
      </c>
    </row>
    <row r="6" spans="1:9" x14ac:dyDescent="0.25">
      <c r="A6" s="51">
        <v>23</v>
      </c>
      <c r="B6" s="51">
        <v>23</v>
      </c>
      <c r="C6" s="51" t="s">
        <v>564</v>
      </c>
      <c r="E6" s="51" t="s">
        <v>564</v>
      </c>
      <c r="F6" s="90">
        <v>1757.5</v>
      </c>
      <c r="G6" s="90">
        <v>1755.9</v>
      </c>
      <c r="H6" s="90">
        <f t="shared" si="0"/>
        <v>1756.7</v>
      </c>
    </row>
    <row r="7" spans="1:9" x14ac:dyDescent="0.25">
      <c r="A7" s="51">
        <v>22</v>
      </c>
      <c r="B7" s="51">
        <v>22</v>
      </c>
      <c r="C7" s="51" t="s">
        <v>565</v>
      </c>
      <c r="E7" s="51" t="s">
        <v>565</v>
      </c>
      <c r="F7" s="90">
        <v>1619.2</v>
      </c>
      <c r="G7" s="90">
        <v>1591.6</v>
      </c>
      <c r="H7" s="90">
        <f t="shared" si="0"/>
        <v>1605.4</v>
      </c>
    </row>
    <row r="8" spans="1:9" x14ac:dyDescent="0.25">
      <c r="A8" s="51">
        <v>7</v>
      </c>
      <c r="B8" s="51">
        <v>7</v>
      </c>
      <c r="C8" s="51" t="s">
        <v>557</v>
      </c>
      <c r="E8" s="51" t="s">
        <v>557</v>
      </c>
      <c r="F8" s="90">
        <v>1496.2</v>
      </c>
      <c r="G8" s="90">
        <v>1521</v>
      </c>
      <c r="H8" s="90">
        <f t="shared" si="0"/>
        <v>1508.6</v>
      </c>
    </row>
    <row r="9" spans="1:9" x14ac:dyDescent="0.25">
      <c r="A9" s="51">
        <v>4</v>
      </c>
      <c r="B9" s="51">
        <v>4</v>
      </c>
      <c r="C9" s="51" t="s">
        <v>569</v>
      </c>
      <c r="E9" s="51" t="s">
        <v>569</v>
      </c>
      <c r="F9" s="90">
        <v>1249.0999999999999</v>
      </c>
      <c r="G9" s="90">
        <v>1247.0999999999999</v>
      </c>
      <c r="H9" s="90">
        <f t="shared" si="0"/>
        <v>1248.0999999999999</v>
      </c>
    </row>
    <row r="10" spans="1:9" x14ac:dyDescent="0.25">
      <c r="A10" s="51">
        <v>3</v>
      </c>
      <c r="B10" s="51">
        <v>3</v>
      </c>
      <c r="C10" s="51" t="s">
        <v>560</v>
      </c>
      <c r="E10" s="51" t="s">
        <v>560</v>
      </c>
      <c r="F10" s="90">
        <v>1216.0999999999999</v>
      </c>
      <c r="G10" s="90">
        <v>1215.8</v>
      </c>
      <c r="H10" s="90">
        <f t="shared" si="0"/>
        <v>1215.9499999999998</v>
      </c>
    </row>
    <row r="11" spans="1:9" x14ac:dyDescent="0.25">
      <c r="A11" s="51">
        <v>26</v>
      </c>
      <c r="B11" s="51">
        <v>26</v>
      </c>
      <c r="C11" s="51" t="s">
        <v>570</v>
      </c>
      <c r="E11" s="51" t="s">
        <v>570</v>
      </c>
      <c r="F11" s="90">
        <v>1200.7</v>
      </c>
      <c r="G11" s="90">
        <v>1205.9000000000001</v>
      </c>
      <c r="H11" s="90">
        <f t="shared" si="0"/>
        <v>1203.3000000000002</v>
      </c>
    </row>
    <row r="12" spans="1:9" x14ac:dyDescent="0.25">
      <c r="A12" s="51">
        <v>5</v>
      </c>
      <c r="B12" s="51">
        <v>5</v>
      </c>
      <c r="C12" s="51" t="s">
        <v>561</v>
      </c>
      <c r="E12" s="51" t="s">
        <v>561</v>
      </c>
      <c r="F12" s="90">
        <v>1189</v>
      </c>
      <c r="G12" s="90">
        <v>1189.0999999999999</v>
      </c>
      <c r="H12" s="90">
        <f t="shared" si="0"/>
        <v>1189.05</v>
      </c>
    </row>
    <row r="13" spans="1:9" x14ac:dyDescent="0.25">
      <c r="A13" s="51">
        <v>301</v>
      </c>
      <c r="B13" s="51">
        <v>301</v>
      </c>
      <c r="C13" s="51" t="s">
        <v>441</v>
      </c>
      <c r="E13" s="51" t="s">
        <v>573</v>
      </c>
      <c r="F13" s="90">
        <v>1130.8858270000001</v>
      </c>
      <c r="G13" s="90"/>
      <c r="H13" s="90">
        <f t="shared" si="0"/>
        <v>1130.8858270000001</v>
      </c>
      <c r="I13" s="51" t="s">
        <v>767</v>
      </c>
    </row>
    <row r="14" spans="1:9" x14ac:dyDescent="0.25">
      <c r="A14" s="51">
        <v>19</v>
      </c>
      <c r="B14" s="51">
        <v>19</v>
      </c>
      <c r="C14" s="51" t="s">
        <v>562</v>
      </c>
      <c r="E14" s="51" t="s">
        <v>562</v>
      </c>
      <c r="F14" s="90">
        <v>1121.8</v>
      </c>
      <c r="G14" s="90">
        <v>1090.8</v>
      </c>
      <c r="H14" s="90">
        <f t="shared" si="0"/>
        <v>1106.3</v>
      </c>
    </row>
    <row r="15" spans="1:9" x14ac:dyDescent="0.25">
      <c r="A15" s="51">
        <v>6</v>
      </c>
      <c r="B15" s="51">
        <v>6</v>
      </c>
      <c r="C15" s="51" t="s">
        <v>568</v>
      </c>
      <c r="E15" s="51" t="s">
        <v>568</v>
      </c>
      <c r="F15" s="90">
        <v>883.9</v>
      </c>
      <c r="G15" s="90">
        <v>856.4</v>
      </c>
      <c r="H15" s="90">
        <f t="shared" si="0"/>
        <v>870.15</v>
      </c>
    </row>
    <row r="16" spans="1:9" x14ac:dyDescent="0.25">
      <c r="A16" s="51">
        <v>17</v>
      </c>
      <c r="B16" s="51">
        <v>17</v>
      </c>
      <c r="C16" s="51" t="s">
        <v>567</v>
      </c>
      <c r="E16" s="51" t="s">
        <v>567</v>
      </c>
      <c r="F16" s="90">
        <v>798.7</v>
      </c>
      <c r="G16" s="90">
        <v>798.6</v>
      </c>
      <c r="H16" s="90">
        <f t="shared" si="0"/>
        <v>798.65000000000009</v>
      </c>
    </row>
    <row r="17" spans="1:8" x14ac:dyDescent="0.25">
      <c r="A17" s="51">
        <v>29</v>
      </c>
      <c r="B17" s="51">
        <v>29</v>
      </c>
      <c r="C17" s="51" t="s">
        <v>571</v>
      </c>
      <c r="E17" s="51" t="s">
        <v>571</v>
      </c>
      <c r="F17" s="90">
        <v>713.4</v>
      </c>
      <c r="G17" s="90">
        <v>745.1</v>
      </c>
      <c r="H17" s="90">
        <f t="shared" si="0"/>
        <v>729.25</v>
      </c>
    </row>
    <row r="18" spans="1:8" x14ac:dyDescent="0.25">
      <c r="A18" s="51">
        <v>60</v>
      </c>
      <c r="B18" s="51">
        <v>60</v>
      </c>
      <c r="C18" s="51" t="s">
        <v>566</v>
      </c>
      <c r="E18" s="51" t="s">
        <v>566</v>
      </c>
      <c r="F18" s="90">
        <v>694</v>
      </c>
      <c r="G18" s="90">
        <v>704.3</v>
      </c>
      <c r="H18" s="90">
        <f t="shared" si="0"/>
        <v>699.15</v>
      </c>
    </row>
    <row r="19" spans="1:8" x14ac:dyDescent="0.25">
      <c r="A19" s="51">
        <v>61</v>
      </c>
      <c r="B19" s="51">
        <v>61</v>
      </c>
      <c r="C19" s="51" t="s">
        <v>575</v>
      </c>
      <c r="E19" s="51" t="s">
        <v>575</v>
      </c>
      <c r="F19" s="90">
        <v>593.1</v>
      </c>
      <c r="G19" s="90">
        <v>618.4</v>
      </c>
      <c r="H19" s="90">
        <f t="shared" si="0"/>
        <v>605.75</v>
      </c>
    </row>
    <row r="20" spans="1:8" x14ac:dyDescent="0.25">
      <c r="A20" s="51">
        <v>14</v>
      </c>
      <c r="B20" s="51">
        <v>14</v>
      </c>
      <c r="C20" s="51" t="s">
        <v>581</v>
      </c>
      <c r="E20" s="51" t="s">
        <v>581</v>
      </c>
      <c r="F20" s="90">
        <v>601.6</v>
      </c>
      <c r="G20" s="90">
        <v>597.6</v>
      </c>
      <c r="H20" s="90">
        <f t="shared" si="0"/>
        <v>599.6</v>
      </c>
    </row>
    <row r="21" spans="1:8" x14ac:dyDescent="0.25">
      <c r="A21" s="51">
        <v>9</v>
      </c>
      <c r="B21" s="51">
        <v>9</v>
      </c>
      <c r="C21" s="51" t="s">
        <v>579</v>
      </c>
      <c r="E21" s="51" t="s">
        <v>579</v>
      </c>
      <c r="F21" s="90">
        <v>568.4</v>
      </c>
      <c r="G21" s="90">
        <v>575.79999999999995</v>
      </c>
      <c r="H21" s="90">
        <f t="shared" si="0"/>
        <v>572.09999999999991</v>
      </c>
    </row>
    <row r="22" spans="1:8" x14ac:dyDescent="0.25">
      <c r="A22" s="51">
        <v>8</v>
      </c>
      <c r="B22" s="51">
        <v>8</v>
      </c>
      <c r="C22" s="51" t="s">
        <v>572</v>
      </c>
      <c r="E22" s="51" t="s">
        <v>572</v>
      </c>
      <c r="F22" s="90">
        <v>569.20000000000005</v>
      </c>
      <c r="G22" s="90">
        <v>569.6</v>
      </c>
      <c r="H22" s="90">
        <f t="shared" si="0"/>
        <v>569.40000000000009</v>
      </c>
    </row>
    <row r="23" spans="1:8" x14ac:dyDescent="0.25">
      <c r="A23" s="51">
        <v>42</v>
      </c>
      <c r="B23" s="51">
        <v>42</v>
      </c>
      <c r="C23" s="51" t="s">
        <v>576</v>
      </c>
      <c r="E23" s="51" t="s">
        <v>576</v>
      </c>
      <c r="F23" s="90">
        <v>565.9</v>
      </c>
      <c r="G23" s="90">
        <v>567.79999999999995</v>
      </c>
      <c r="H23" s="90">
        <f t="shared" si="0"/>
        <v>566.84999999999991</v>
      </c>
    </row>
    <row r="24" spans="1:8" x14ac:dyDescent="0.25">
      <c r="A24" s="51">
        <v>25</v>
      </c>
      <c r="B24" s="51">
        <v>25</v>
      </c>
      <c r="C24" s="51" t="s">
        <v>563</v>
      </c>
      <c r="E24" s="51" t="s">
        <v>563</v>
      </c>
      <c r="F24" s="90">
        <v>529.20000000000005</v>
      </c>
      <c r="G24" s="90">
        <v>529.1</v>
      </c>
      <c r="H24" s="90">
        <f t="shared" si="0"/>
        <v>529.15000000000009</v>
      </c>
    </row>
    <row r="25" spans="1:8" x14ac:dyDescent="0.25">
      <c r="A25" s="51">
        <v>28</v>
      </c>
      <c r="B25" s="51">
        <v>28</v>
      </c>
      <c r="C25" s="51" t="s">
        <v>574</v>
      </c>
      <c r="E25" s="51" t="s">
        <v>574</v>
      </c>
      <c r="F25" s="90">
        <v>484.4</v>
      </c>
      <c r="G25" s="90">
        <v>485.2</v>
      </c>
      <c r="H25" s="90">
        <f t="shared" si="0"/>
        <v>484.79999999999995</v>
      </c>
    </row>
    <row r="26" spans="1:8" x14ac:dyDescent="0.25">
      <c r="A26" s="51">
        <v>76</v>
      </c>
      <c r="B26" s="51">
        <v>76</v>
      </c>
      <c r="C26" s="51" t="s">
        <v>603</v>
      </c>
      <c r="E26" s="51" t="s">
        <v>603</v>
      </c>
      <c r="F26" s="90">
        <v>419.1</v>
      </c>
      <c r="G26" s="90">
        <v>419.2</v>
      </c>
      <c r="H26" s="90">
        <f t="shared" si="0"/>
        <v>419.15</v>
      </c>
    </row>
    <row r="27" spans="1:8" x14ac:dyDescent="0.25">
      <c r="A27" s="51">
        <v>18</v>
      </c>
      <c r="B27" s="51">
        <v>18</v>
      </c>
      <c r="C27" s="51" t="s">
        <v>580</v>
      </c>
      <c r="E27" s="51" t="s">
        <v>580</v>
      </c>
      <c r="F27" s="90">
        <v>375.5</v>
      </c>
      <c r="G27" s="90">
        <v>378.7</v>
      </c>
      <c r="H27" s="90">
        <f t="shared" si="0"/>
        <v>377.1</v>
      </c>
    </row>
    <row r="28" spans="1:8" x14ac:dyDescent="0.25">
      <c r="A28" s="51">
        <v>34</v>
      </c>
      <c r="B28" s="51">
        <v>34</v>
      </c>
      <c r="C28" s="51" t="s">
        <v>585</v>
      </c>
      <c r="E28" s="51" t="s">
        <v>585</v>
      </c>
      <c r="F28" s="90">
        <v>340.7</v>
      </c>
      <c r="G28" s="90">
        <v>340.5</v>
      </c>
      <c r="H28" s="90">
        <f t="shared" si="0"/>
        <v>340.6</v>
      </c>
    </row>
    <row r="29" spans="1:8" x14ac:dyDescent="0.25">
      <c r="A29" s="51">
        <v>21</v>
      </c>
      <c r="B29" s="51">
        <v>21</v>
      </c>
      <c r="C29" s="51" t="s">
        <v>594</v>
      </c>
      <c r="E29" s="51" t="s">
        <v>594</v>
      </c>
      <c r="F29" s="90">
        <v>332.1</v>
      </c>
      <c r="G29" s="90">
        <v>332.7</v>
      </c>
      <c r="H29" s="90">
        <f t="shared" si="0"/>
        <v>332.4</v>
      </c>
    </row>
    <row r="30" spans="1:8" x14ac:dyDescent="0.25">
      <c r="A30" s="51">
        <v>20</v>
      </c>
      <c r="B30" s="51">
        <v>20</v>
      </c>
      <c r="C30" s="51" t="s">
        <v>577</v>
      </c>
      <c r="E30" s="51" t="s">
        <v>577</v>
      </c>
      <c r="F30" s="90">
        <v>314.8</v>
      </c>
      <c r="G30" s="90">
        <v>314.5</v>
      </c>
      <c r="H30" s="90">
        <f t="shared" si="0"/>
        <v>314.64999999999998</v>
      </c>
    </row>
    <row r="31" spans="1:8" x14ac:dyDescent="0.25">
      <c r="A31" s="51">
        <v>24</v>
      </c>
      <c r="B31" s="51">
        <v>24</v>
      </c>
      <c r="C31" s="51" t="s">
        <v>590</v>
      </c>
      <c r="E31" s="51" t="s">
        <v>590</v>
      </c>
      <c r="F31" s="90">
        <v>298.2</v>
      </c>
      <c r="G31" s="90">
        <v>299.60000000000002</v>
      </c>
      <c r="H31" s="90">
        <f t="shared" si="0"/>
        <v>298.89999999999998</v>
      </c>
    </row>
    <row r="32" spans="1:8" x14ac:dyDescent="0.25">
      <c r="A32" s="51">
        <v>30</v>
      </c>
      <c r="B32" s="51">
        <v>30</v>
      </c>
      <c r="C32" s="51" t="s">
        <v>586</v>
      </c>
      <c r="E32" s="51" t="s">
        <v>586</v>
      </c>
      <c r="F32" s="90">
        <v>288.10000000000002</v>
      </c>
      <c r="G32" s="90">
        <v>288.39999999999998</v>
      </c>
      <c r="H32" s="90">
        <f t="shared" si="0"/>
        <v>288.25</v>
      </c>
    </row>
    <row r="33" spans="1:8" x14ac:dyDescent="0.25">
      <c r="A33" s="51">
        <v>93</v>
      </c>
      <c r="B33" s="51">
        <v>93</v>
      </c>
      <c r="C33" s="51" t="s">
        <v>600</v>
      </c>
      <c r="E33" s="51" t="s">
        <v>600</v>
      </c>
      <c r="F33" s="90">
        <v>287.10000000000002</v>
      </c>
      <c r="G33" s="90">
        <v>287.60000000000002</v>
      </c>
      <c r="H33" s="90">
        <f t="shared" si="0"/>
        <v>287.35000000000002</v>
      </c>
    </row>
    <row r="34" spans="1:8" x14ac:dyDescent="0.25">
      <c r="A34" s="51">
        <v>43</v>
      </c>
      <c r="B34" s="51">
        <v>43</v>
      </c>
      <c r="C34" s="51" t="s">
        <v>598</v>
      </c>
      <c r="E34" s="51" t="s">
        <v>598</v>
      </c>
      <c r="F34" s="90">
        <v>263.3</v>
      </c>
      <c r="G34" s="90">
        <v>261.5</v>
      </c>
      <c r="H34" s="90">
        <f t="shared" ref="H34:H53" si="1">IF(AND(F34&gt;0,G34&gt;0),SUM(F34:G34)/2,F34)</f>
        <v>262.39999999999998</v>
      </c>
    </row>
    <row r="35" spans="1:8" x14ac:dyDescent="0.25">
      <c r="A35" s="51">
        <v>38</v>
      </c>
      <c r="B35" s="51">
        <v>38</v>
      </c>
      <c r="C35" s="51" t="s">
        <v>596</v>
      </c>
      <c r="E35" s="51" t="s">
        <v>596</v>
      </c>
      <c r="F35" s="90">
        <v>221.3</v>
      </c>
      <c r="G35" s="90">
        <v>221.7</v>
      </c>
      <c r="H35" s="90">
        <f t="shared" si="1"/>
        <v>221.5</v>
      </c>
    </row>
    <row r="36" spans="1:8" x14ac:dyDescent="0.25">
      <c r="A36" s="51">
        <v>35</v>
      </c>
      <c r="B36" s="51">
        <v>35</v>
      </c>
      <c r="C36" s="51" t="s">
        <v>595</v>
      </c>
      <c r="E36" s="51" t="s">
        <v>595</v>
      </c>
      <c r="F36" s="90">
        <v>217.4</v>
      </c>
      <c r="G36" s="90">
        <v>217.6</v>
      </c>
      <c r="H36" s="90">
        <f t="shared" si="1"/>
        <v>217.5</v>
      </c>
    </row>
    <row r="37" spans="1:8" x14ac:dyDescent="0.25">
      <c r="A37" s="51">
        <v>33</v>
      </c>
      <c r="B37" s="51">
        <v>33</v>
      </c>
      <c r="C37" s="51" t="s">
        <v>587</v>
      </c>
      <c r="E37" s="51" t="s">
        <v>587</v>
      </c>
      <c r="F37" s="90">
        <v>211.4</v>
      </c>
      <c r="G37" s="90">
        <v>213.4</v>
      </c>
      <c r="H37" s="90">
        <f t="shared" si="1"/>
        <v>212.4</v>
      </c>
    </row>
    <row r="38" spans="1:8" x14ac:dyDescent="0.25">
      <c r="A38" s="51">
        <v>2</v>
      </c>
      <c r="B38" s="51">
        <v>2</v>
      </c>
      <c r="C38" s="51" t="s">
        <v>578</v>
      </c>
      <c r="E38" s="51" t="s">
        <v>578</v>
      </c>
      <c r="F38" s="90">
        <v>197.4</v>
      </c>
      <c r="G38" s="90">
        <v>197.8</v>
      </c>
      <c r="H38" s="90">
        <f t="shared" si="1"/>
        <v>197.60000000000002</v>
      </c>
    </row>
    <row r="39" spans="1:8" x14ac:dyDescent="0.25">
      <c r="A39" s="51">
        <v>96</v>
      </c>
      <c r="B39" s="51">
        <v>96</v>
      </c>
      <c r="C39" s="51" t="s">
        <v>583</v>
      </c>
      <c r="E39" s="51" t="s">
        <v>583</v>
      </c>
      <c r="F39" s="90">
        <v>150.57874000000001</v>
      </c>
      <c r="G39" s="90"/>
      <c r="H39" s="90">
        <f t="shared" si="1"/>
        <v>150.57874000000001</v>
      </c>
    </row>
    <row r="40" spans="1:8" x14ac:dyDescent="0.25">
      <c r="A40" s="51">
        <v>84</v>
      </c>
      <c r="B40" s="51">
        <v>84</v>
      </c>
      <c r="C40" s="51" t="s">
        <v>582</v>
      </c>
      <c r="E40" s="51" t="s">
        <v>582</v>
      </c>
      <c r="F40" s="90">
        <v>146.80000000000001</v>
      </c>
      <c r="G40" s="90">
        <v>147.4</v>
      </c>
      <c r="H40" s="90">
        <f t="shared" si="1"/>
        <v>147.10000000000002</v>
      </c>
    </row>
    <row r="41" spans="1:8" x14ac:dyDescent="0.25">
      <c r="A41" s="51">
        <v>36</v>
      </c>
      <c r="B41" s="51">
        <v>36</v>
      </c>
      <c r="C41" s="51" t="s">
        <v>591</v>
      </c>
      <c r="E41" s="51" t="s">
        <v>591</v>
      </c>
      <c r="F41" s="90">
        <v>128.6</v>
      </c>
      <c r="G41" s="90">
        <v>129.69999999999999</v>
      </c>
      <c r="H41" s="90">
        <f t="shared" si="1"/>
        <v>129.14999999999998</v>
      </c>
    </row>
    <row r="42" spans="1:8" x14ac:dyDescent="0.25">
      <c r="A42" s="51">
        <v>41</v>
      </c>
      <c r="B42" s="51">
        <v>41</v>
      </c>
      <c r="C42" s="51" t="s">
        <v>606</v>
      </c>
      <c r="E42" s="51" t="s">
        <v>606</v>
      </c>
      <c r="F42" s="90">
        <v>129.30000000000001</v>
      </c>
      <c r="G42" s="90">
        <v>128.30000000000001</v>
      </c>
      <c r="H42" s="90">
        <f t="shared" si="1"/>
        <v>128.80000000000001</v>
      </c>
    </row>
    <row r="43" spans="1:8" x14ac:dyDescent="0.25">
      <c r="A43" s="51">
        <v>1</v>
      </c>
      <c r="B43" s="51">
        <v>1</v>
      </c>
      <c r="C43" s="51" t="s">
        <v>584</v>
      </c>
      <c r="E43" s="51" t="s">
        <v>584</v>
      </c>
      <c r="F43" s="90">
        <v>118.9</v>
      </c>
      <c r="G43" s="90">
        <v>118.9</v>
      </c>
      <c r="H43" s="90">
        <f t="shared" si="1"/>
        <v>118.9</v>
      </c>
    </row>
    <row r="44" spans="1:8" x14ac:dyDescent="0.25">
      <c r="A44" s="51">
        <v>27</v>
      </c>
      <c r="B44" s="51">
        <v>27</v>
      </c>
      <c r="C44" s="51" t="s">
        <v>593</v>
      </c>
      <c r="E44" s="51" t="s">
        <v>593</v>
      </c>
      <c r="F44" s="90">
        <v>108</v>
      </c>
      <c r="G44" s="90">
        <v>108.4</v>
      </c>
      <c r="H44" s="90">
        <f t="shared" si="1"/>
        <v>108.2</v>
      </c>
    </row>
    <row r="45" spans="1:8" x14ac:dyDescent="0.25">
      <c r="A45" s="51">
        <v>86</v>
      </c>
      <c r="B45" s="51">
        <v>86</v>
      </c>
      <c r="C45" s="51" t="s">
        <v>599</v>
      </c>
      <c r="E45" s="51" t="s">
        <v>599</v>
      </c>
      <c r="F45" s="90">
        <v>105.9</v>
      </c>
      <c r="G45" s="90">
        <v>103.8</v>
      </c>
      <c r="H45" s="90">
        <f t="shared" si="1"/>
        <v>104.85</v>
      </c>
    </row>
    <row r="46" spans="1:8" x14ac:dyDescent="0.25">
      <c r="A46" s="51">
        <v>72</v>
      </c>
      <c r="B46" s="51">
        <v>72</v>
      </c>
      <c r="C46" s="51" t="s">
        <v>604</v>
      </c>
      <c r="E46" s="51" t="s">
        <v>604</v>
      </c>
      <c r="F46" s="90">
        <v>104.3</v>
      </c>
      <c r="G46" s="90"/>
      <c r="H46" s="90">
        <f t="shared" si="1"/>
        <v>104.3</v>
      </c>
    </row>
    <row r="47" spans="1:8" x14ac:dyDescent="0.25">
      <c r="A47" s="51">
        <v>91</v>
      </c>
      <c r="B47" s="51">
        <v>91</v>
      </c>
      <c r="C47" s="51" t="s">
        <v>601</v>
      </c>
      <c r="E47" s="51" t="s">
        <v>601</v>
      </c>
      <c r="F47" s="90">
        <v>93.129920999999996</v>
      </c>
      <c r="G47" s="90"/>
      <c r="H47" s="90">
        <f t="shared" si="1"/>
        <v>93.129920999999996</v>
      </c>
    </row>
    <row r="48" spans="1:8" x14ac:dyDescent="0.25">
      <c r="A48" s="51">
        <v>92</v>
      </c>
      <c r="B48" s="51">
        <v>92</v>
      </c>
      <c r="C48" s="51" t="s">
        <v>589</v>
      </c>
      <c r="E48" s="51" t="s">
        <v>589</v>
      </c>
      <c r="F48" s="90">
        <v>89.318898000000004</v>
      </c>
      <c r="G48" s="90"/>
      <c r="H48" s="90">
        <f t="shared" si="1"/>
        <v>89.318898000000004</v>
      </c>
    </row>
    <row r="49" spans="1:8" x14ac:dyDescent="0.25">
      <c r="A49" s="51">
        <v>77</v>
      </c>
      <c r="B49" s="51">
        <v>77</v>
      </c>
      <c r="C49" s="51" t="s">
        <v>602</v>
      </c>
      <c r="E49" s="51" t="s">
        <v>602</v>
      </c>
      <c r="F49" s="90">
        <v>86.3</v>
      </c>
      <c r="G49" s="90"/>
      <c r="H49" s="90">
        <f t="shared" si="1"/>
        <v>86.3</v>
      </c>
    </row>
    <row r="50" spans="1:8" x14ac:dyDescent="0.25">
      <c r="A50" s="51">
        <v>87</v>
      </c>
      <c r="B50" s="51">
        <v>87</v>
      </c>
      <c r="C50" s="51" t="s">
        <v>592</v>
      </c>
      <c r="E50" s="51" t="s">
        <v>592</v>
      </c>
      <c r="F50" s="90">
        <v>86.271653999999998</v>
      </c>
      <c r="G50" s="90"/>
      <c r="H50" s="90">
        <f t="shared" si="1"/>
        <v>86.271653999999998</v>
      </c>
    </row>
    <row r="51" spans="1:8" x14ac:dyDescent="0.25">
      <c r="A51" s="51">
        <v>95</v>
      </c>
      <c r="B51" s="51">
        <v>95</v>
      </c>
      <c r="C51" s="51" t="s">
        <v>605</v>
      </c>
      <c r="E51" s="51" t="s">
        <v>605</v>
      </c>
      <c r="F51" s="90">
        <v>71.452755999999994</v>
      </c>
      <c r="G51" s="90"/>
      <c r="H51" s="90">
        <f t="shared" si="1"/>
        <v>71.452755999999994</v>
      </c>
    </row>
    <row r="52" spans="1:8" x14ac:dyDescent="0.25">
      <c r="A52" s="51">
        <v>37</v>
      </c>
      <c r="B52" s="51">
        <v>37</v>
      </c>
      <c r="C52" s="51" t="s">
        <v>588</v>
      </c>
      <c r="E52" s="51" t="s">
        <v>588</v>
      </c>
      <c r="F52" s="90">
        <v>71.599999999999994</v>
      </c>
      <c r="G52" s="90">
        <v>70.8</v>
      </c>
      <c r="H52" s="90">
        <f t="shared" si="1"/>
        <v>71.199999999999989</v>
      </c>
    </row>
    <row r="53" spans="1:8" x14ac:dyDescent="0.25">
      <c r="A53" s="51">
        <v>89</v>
      </c>
      <c r="B53" s="51">
        <v>89</v>
      </c>
      <c r="C53" s="51" t="s">
        <v>597</v>
      </c>
      <c r="E53" s="51" t="s">
        <v>597</v>
      </c>
      <c r="F53" s="90">
        <v>65.456693000000001</v>
      </c>
      <c r="G53" s="90"/>
      <c r="H53" s="90">
        <f t="shared" si="1"/>
        <v>65.456693000000001</v>
      </c>
    </row>
  </sheetData>
  <sortState ref="A2:H53">
    <sortCondition descending="1" ref="H2:H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9" workbookViewId="0">
      <selection activeCell="P50" sqref="P50"/>
    </sheetView>
  </sheetViews>
  <sheetFormatPr defaultRowHeight="15" x14ac:dyDescent="0.25"/>
  <cols>
    <col min="5" max="5" width="9.140625" style="51"/>
  </cols>
  <sheetData>
    <row r="1" spans="1:14" x14ac:dyDescent="0.25">
      <c r="A1" s="51"/>
      <c r="B1" s="51" t="s">
        <v>35</v>
      </c>
      <c r="C1" s="51" t="s">
        <v>36</v>
      </c>
      <c r="D1" s="51" t="s">
        <v>39</v>
      </c>
      <c r="F1" s="51" t="s">
        <v>99</v>
      </c>
      <c r="G1" s="51" t="s">
        <v>100</v>
      </c>
      <c r="H1" s="51" t="s">
        <v>101</v>
      </c>
      <c r="I1" s="51" t="s">
        <v>102</v>
      </c>
      <c r="J1" s="51" t="s">
        <v>103</v>
      </c>
      <c r="K1" s="51" t="s">
        <v>104</v>
      </c>
      <c r="M1" t="s">
        <v>37</v>
      </c>
      <c r="N1" t="s">
        <v>34</v>
      </c>
    </row>
    <row r="2" spans="1:14" x14ac:dyDescent="0.25">
      <c r="A2" s="51"/>
      <c r="B2" s="51">
        <f>TrnStat.asc!B54</f>
        <v>1</v>
      </c>
      <c r="C2" s="51">
        <f>TrnStat.asc!C54</f>
        <v>1</v>
      </c>
      <c r="D2" s="51" t="str">
        <f>TrnStat.asc!D54</f>
        <v>Rte</v>
      </c>
      <c r="E2" s="51">
        <f>TrnStat.asc!E54</f>
        <v>1</v>
      </c>
      <c r="F2" s="51" t="str">
        <f>TrnStat.asc!F54</f>
        <v>00,101</v>
      </c>
      <c r="G2" s="51" t="str">
        <f>TrnStat.asc!G54</f>
        <v>0,000</v>
      </c>
      <c r="H2" s="51" t="str">
        <f>TrnStat.asc!H54</f>
        <v>0,102</v>
      </c>
      <c r="I2" s="51" t="str">
        <f>TrnStat.asc!I54</f>
        <v>0,000</v>
      </c>
      <c r="J2" s="51" t="str">
        <f>TrnStat.asc!J54</f>
        <v>|</v>
      </c>
      <c r="K2" s="51" t="str">
        <f>TrnStat.asc!K54</f>
        <v>00,203</v>
      </c>
      <c r="M2" t="str">
        <f>IF(ISNUMBER(K2),K2,CONCATENATE(LEFT(K2,2),RIGHT(K2,3)))</f>
        <v>00203</v>
      </c>
      <c r="N2">
        <f>VALUE(M2)</f>
        <v>203</v>
      </c>
    </row>
    <row r="3" spans="1:14" x14ac:dyDescent="0.25">
      <c r="A3" s="51"/>
      <c r="B3" s="51">
        <f>TrnStat.asc!B55</f>
        <v>2</v>
      </c>
      <c r="C3" s="51">
        <f>TrnStat.asc!C55</f>
        <v>1</v>
      </c>
      <c r="D3" s="51" t="str">
        <f>TrnStat.asc!D55</f>
        <v>Rte</v>
      </c>
      <c r="E3" s="51">
        <f>TrnStat.asc!E55</f>
        <v>2</v>
      </c>
      <c r="F3" s="51" t="str">
        <f>TrnStat.asc!F55</f>
        <v>00,144</v>
      </c>
      <c r="G3" s="51" t="str">
        <f>TrnStat.asc!G55</f>
        <v>0,112</v>
      </c>
      <c r="H3" s="51" t="str">
        <f>TrnStat.asc!H55</f>
        <v>0,123</v>
      </c>
      <c r="I3" s="51" t="str">
        <f>TrnStat.asc!I55</f>
        <v>0,000</v>
      </c>
      <c r="J3" s="51" t="str">
        <f>TrnStat.asc!J55</f>
        <v>|</v>
      </c>
      <c r="K3" s="51" t="str">
        <f>TrnStat.asc!K55</f>
        <v>00,379</v>
      </c>
      <c r="M3" t="str">
        <f t="shared" ref="M3:M45" si="0">IF(ISNUMBER(K3),K3,CONCATENATE(LEFT(K3,2),RIGHT(K3,3)))</f>
        <v>00379</v>
      </c>
      <c r="N3">
        <f t="shared" ref="N3:N45" si="1">VALUE(M3)</f>
        <v>379</v>
      </c>
    </row>
    <row r="4" spans="1:14" x14ac:dyDescent="0.25">
      <c r="A4" s="51"/>
      <c r="B4" s="51">
        <f>TrnStat.asc!B56</f>
        <v>3</v>
      </c>
      <c r="C4" s="51">
        <f>TrnStat.asc!C56</f>
        <v>1</v>
      </c>
      <c r="D4" s="51" t="str">
        <f>TrnStat.asc!D56</f>
        <v>Rte</v>
      </c>
      <c r="E4" s="51">
        <f>TrnStat.asc!E56</f>
        <v>3</v>
      </c>
      <c r="F4" s="51" t="str">
        <f>TrnStat.asc!F56</f>
        <v>00,673</v>
      </c>
      <c r="G4" s="51" t="str">
        <f>TrnStat.asc!G56</f>
        <v>0,657</v>
      </c>
      <c r="H4" s="51" t="str">
        <f>TrnStat.asc!H56</f>
        <v>0,791</v>
      </c>
      <c r="I4" s="51" t="str">
        <f>TrnStat.asc!I56</f>
        <v>0,107</v>
      </c>
      <c r="J4" s="51" t="str">
        <f>TrnStat.asc!J56</f>
        <v>|</v>
      </c>
      <c r="K4" s="51">
        <f>TrnStat.asc!K56</f>
        <v>2227</v>
      </c>
      <c r="M4">
        <f t="shared" si="0"/>
        <v>2227</v>
      </c>
      <c r="N4">
        <f t="shared" si="1"/>
        <v>2227</v>
      </c>
    </row>
    <row r="5" spans="1:14" x14ac:dyDescent="0.25">
      <c r="A5" s="51"/>
      <c r="B5" s="51">
        <f>TrnStat.asc!B57</f>
        <v>4</v>
      </c>
      <c r="C5" s="51">
        <f>TrnStat.asc!C57</f>
        <v>1</v>
      </c>
      <c r="D5" s="51" t="str">
        <f>TrnStat.asc!D57</f>
        <v>Rte</v>
      </c>
      <c r="E5" s="51">
        <f>TrnStat.asc!E57</f>
        <v>4</v>
      </c>
      <c r="F5" s="51" t="str">
        <f>TrnStat.asc!F57</f>
        <v>00,300</v>
      </c>
      <c r="G5" s="51" t="str">
        <f>TrnStat.asc!G57</f>
        <v>0,356</v>
      </c>
      <c r="H5" s="51" t="str">
        <f>TrnStat.asc!H57</f>
        <v>0,384</v>
      </c>
      <c r="I5" s="51" t="str">
        <f>TrnStat.asc!I57</f>
        <v>0,072</v>
      </c>
      <c r="J5" s="51" t="str">
        <f>TrnStat.asc!J57</f>
        <v>|</v>
      </c>
      <c r="K5" s="51">
        <f>TrnStat.asc!K57</f>
        <v>1112</v>
      </c>
      <c r="M5">
        <f t="shared" si="0"/>
        <v>1112</v>
      </c>
      <c r="N5">
        <f t="shared" si="1"/>
        <v>1112</v>
      </c>
    </row>
    <row r="6" spans="1:14" x14ac:dyDescent="0.25">
      <c r="A6" s="51"/>
      <c r="B6" s="51">
        <f>TrnStat.asc!B58</f>
        <v>5</v>
      </c>
      <c r="C6" s="51">
        <f>TrnStat.asc!C58</f>
        <v>1</v>
      </c>
      <c r="D6" s="51" t="str">
        <f>TrnStat.asc!D58</f>
        <v>Rte</v>
      </c>
      <c r="E6" s="51">
        <f>TrnStat.asc!E58</f>
        <v>5</v>
      </c>
      <c r="F6" s="51" t="str">
        <f>TrnStat.asc!F58</f>
        <v>00,836</v>
      </c>
      <c r="G6" s="51" t="str">
        <f>TrnStat.asc!G58</f>
        <v>0,553</v>
      </c>
      <c r="H6" s="51" t="str">
        <f>TrnStat.asc!H58</f>
        <v>0,966</v>
      </c>
      <c r="I6" s="51" t="str">
        <f>TrnStat.asc!I58</f>
        <v>0,000</v>
      </c>
      <c r="J6" s="51" t="str">
        <f>TrnStat.asc!J58</f>
        <v>|</v>
      </c>
      <c r="K6" s="51">
        <f>TrnStat.asc!K58</f>
        <v>2356</v>
      </c>
      <c r="M6">
        <f t="shared" si="0"/>
        <v>2356</v>
      </c>
      <c r="N6">
        <f t="shared" si="1"/>
        <v>2356</v>
      </c>
    </row>
    <row r="7" spans="1:14" x14ac:dyDescent="0.25">
      <c r="A7" s="51"/>
      <c r="B7" s="51">
        <f>TrnStat.asc!B59</f>
        <v>6</v>
      </c>
      <c r="C7" s="51">
        <f>TrnStat.asc!C59</f>
        <v>1</v>
      </c>
      <c r="D7" s="51" t="str">
        <f>TrnStat.asc!D59</f>
        <v>Rte</v>
      </c>
      <c r="E7" s="51">
        <f>TrnStat.asc!E59</f>
        <v>6</v>
      </c>
      <c r="F7" s="51" t="str">
        <f>TrnStat.asc!F59</f>
        <v>00,326</v>
      </c>
      <c r="G7" s="51" t="str">
        <f>TrnStat.asc!G59</f>
        <v>0,087</v>
      </c>
      <c r="H7" s="51" t="str">
        <f>TrnStat.asc!H59</f>
        <v>0,501</v>
      </c>
      <c r="I7" s="51" t="str">
        <f>TrnStat.asc!I59</f>
        <v>0,000</v>
      </c>
      <c r="J7" s="51" t="str">
        <f>TrnStat.asc!J59</f>
        <v>|</v>
      </c>
      <c r="K7" s="51" t="str">
        <f>TrnStat.asc!K59</f>
        <v>00,914</v>
      </c>
      <c r="M7" t="str">
        <f t="shared" si="0"/>
        <v>00914</v>
      </c>
      <c r="N7">
        <f t="shared" si="1"/>
        <v>914</v>
      </c>
    </row>
    <row r="8" spans="1:14" x14ac:dyDescent="0.25">
      <c r="A8" s="51"/>
      <c r="B8" s="51">
        <f>TrnStat.asc!B60</f>
        <v>7</v>
      </c>
      <c r="C8" s="51">
        <f>TrnStat.asc!C60</f>
        <v>1</v>
      </c>
      <c r="D8" s="51" t="str">
        <f>TrnStat.asc!D60</f>
        <v>Rte</v>
      </c>
      <c r="E8" s="51">
        <f>TrnStat.asc!E60</f>
        <v>7</v>
      </c>
      <c r="F8" s="51" t="str">
        <f>TrnStat.asc!F60</f>
        <v>00,331</v>
      </c>
      <c r="G8" s="51" t="str">
        <f>TrnStat.asc!G60</f>
        <v>0,648</v>
      </c>
      <c r="H8" s="51" t="str">
        <f>TrnStat.asc!H60</f>
        <v>0,487</v>
      </c>
      <c r="I8" s="51" t="str">
        <f>TrnStat.asc!I60</f>
        <v>0,107</v>
      </c>
      <c r="J8" s="51" t="str">
        <f>TrnStat.asc!J60</f>
        <v>|</v>
      </c>
      <c r="K8" s="51">
        <f>TrnStat.asc!K60</f>
        <v>1574</v>
      </c>
      <c r="M8">
        <f t="shared" si="0"/>
        <v>1574</v>
      </c>
      <c r="N8">
        <f t="shared" si="1"/>
        <v>1574</v>
      </c>
    </row>
    <row r="9" spans="1:14" x14ac:dyDescent="0.25">
      <c r="A9" s="51"/>
      <c r="B9" s="51">
        <f>TrnStat.asc!B61</f>
        <v>8</v>
      </c>
      <c r="C9" s="51">
        <f>TrnStat.asc!C61</f>
        <v>1</v>
      </c>
      <c r="D9" s="51" t="str">
        <f>TrnStat.asc!D61</f>
        <v>Rte</v>
      </c>
      <c r="E9" s="51">
        <f>TrnStat.asc!E61</f>
        <v>8</v>
      </c>
      <c r="F9" s="51" t="str">
        <f>TrnStat.asc!F61</f>
        <v>00,218</v>
      </c>
      <c r="G9" s="51" t="str">
        <f>TrnStat.asc!G61</f>
        <v>0,234</v>
      </c>
      <c r="H9" s="51" t="str">
        <f>TrnStat.asc!H61</f>
        <v>0,167</v>
      </c>
      <c r="I9" s="51" t="str">
        <f>TrnStat.asc!I61</f>
        <v>0,109</v>
      </c>
      <c r="J9" s="51" t="str">
        <f>TrnStat.asc!J61</f>
        <v>|</v>
      </c>
      <c r="K9" s="51" t="str">
        <f>TrnStat.asc!K61</f>
        <v>00,728</v>
      </c>
      <c r="M9" t="str">
        <f t="shared" si="0"/>
        <v>00728</v>
      </c>
      <c r="N9">
        <f t="shared" si="1"/>
        <v>728</v>
      </c>
    </row>
    <row r="10" spans="1:14" x14ac:dyDescent="0.25">
      <c r="A10" s="51"/>
      <c r="B10" s="51">
        <f>TrnStat.asc!B62</f>
        <v>9</v>
      </c>
      <c r="C10" s="51">
        <f>TrnStat.asc!C62</f>
        <v>1</v>
      </c>
      <c r="D10" s="51" t="str">
        <f>TrnStat.asc!D62</f>
        <v>Rte</v>
      </c>
      <c r="E10" s="51">
        <f>TrnStat.asc!E62</f>
        <v>9</v>
      </c>
      <c r="F10" s="51" t="str">
        <f>TrnStat.asc!F62</f>
        <v>00,128</v>
      </c>
      <c r="G10" s="51" t="str">
        <f>TrnStat.asc!G62</f>
        <v>0,179</v>
      </c>
      <c r="H10" s="51" t="str">
        <f>TrnStat.asc!H62</f>
        <v>0,169</v>
      </c>
      <c r="I10" s="51" t="str">
        <f>TrnStat.asc!I62</f>
        <v>0,000</v>
      </c>
      <c r="J10" s="51" t="str">
        <f>TrnStat.asc!J62</f>
        <v>|</v>
      </c>
      <c r="K10" s="51" t="str">
        <f>TrnStat.asc!K62</f>
        <v>00,476</v>
      </c>
      <c r="M10" t="str">
        <f t="shared" si="0"/>
        <v>00476</v>
      </c>
      <c r="N10">
        <f t="shared" si="1"/>
        <v>476</v>
      </c>
    </row>
    <row r="11" spans="1:14" x14ac:dyDescent="0.25">
      <c r="A11" s="51"/>
      <c r="B11" s="51">
        <f>TrnStat.asc!B63</f>
        <v>10</v>
      </c>
      <c r="C11" s="51">
        <f>TrnStat.asc!C63</f>
        <v>1</v>
      </c>
      <c r="D11" s="51" t="str">
        <f>TrnStat.asc!D63</f>
        <v>Rte</v>
      </c>
      <c r="E11" s="51">
        <f>TrnStat.asc!E63</f>
        <v>10</v>
      </c>
      <c r="F11" s="51" t="str">
        <f>TrnStat.asc!F63</f>
        <v>00,617</v>
      </c>
      <c r="G11" s="51" t="str">
        <f>TrnStat.asc!G63</f>
        <v>0,714</v>
      </c>
      <c r="H11" s="51" t="str">
        <f>TrnStat.asc!H63</f>
        <v>0,648</v>
      </c>
      <c r="I11" s="51" t="str">
        <f>TrnStat.asc!I63</f>
        <v>0,253</v>
      </c>
      <c r="J11" s="51" t="str">
        <f>TrnStat.asc!J63</f>
        <v>|</v>
      </c>
      <c r="K11" s="51">
        <f>TrnStat.asc!K63</f>
        <v>2233</v>
      </c>
      <c r="M11">
        <f t="shared" si="0"/>
        <v>2233</v>
      </c>
      <c r="N11">
        <f t="shared" si="1"/>
        <v>2233</v>
      </c>
    </row>
    <row r="12" spans="1:14" x14ac:dyDescent="0.25">
      <c r="A12" s="51"/>
      <c r="B12" s="51">
        <f>TrnStat.asc!B64</f>
        <v>14</v>
      </c>
      <c r="C12" s="51">
        <f>TrnStat.asc!C64</f>
        <v>1</v>
      </c>
      <c r="D12" s="51" t="str">
        <f>TrnStat.asc!D64</f>
        <v>Rte</v>
      </c>
      <c r="E12" s="51">
        <f>TrnStat.asc!E64</f>
        <v>14</v>
      </c>
      <c r="F12" s="51" t="str">
        <f>TrnStat.asc!F64</f>
        <v>00,155</v>
      </c>
      <c r="G12" s="51" t="str">
        <f>TrnStat.asc!G64</f>
        <v>0,116</v>
      </c>
      <c r="H12" s="51" t="str">
        <f>TrnStat.asc!H64</f>
        <v>0,187</v>
      </c>
      <c r="I12" s="51" t="str">
        <f>TrnStat.asc!I64</f>
        <v>0,049</v>
      </c>
      <c r="J12" s="51" t="str">
        <f>TrnStat.asc!J64</f>
        <v>|</v>
      </c>
      <c r="K12" s="51" t="str">
        <f>TrnStat.asc!K64</f>
        <v>00,508</v>
      </c>
      <c r="M12" t="str">
        <f t="shared" si="0"/>
        <v>00508</v>
      </c>
      <c r="N12">
        <f t="shared" si="1"/>
        <v>508</v>
      </c>
    </row>
    <row r="13" spans="1:14" x14ac:dyDescent="0.25">
      <c r="A13" s="51"/>
      <c r="B13" s="51">
        <f>TrnStat.asc!B65</f>
        <v>15</v>
      </c>
      <c r="C13" s="51">
        <f>TrnStat.asc!C65</f>
        <v>1</v>
      </c>
      <c r="D13" s="51" t="str">
        <f>TrnStat.asc!D65</f>
        <v>Rte</v>
      </c>
      <c r="E13" s="51">
        <f>TrnStat.asc!E65</f>
        <v>15</v>
      </c>
      <c r="F13" s="51" t="str">
        <f>TrnStat.asc!F65</f>
        <v>00,924</v>
      </c>
      <c r="G13" s="51">
        <f>TrnStat.asc!G65</f>
        <v>1125</v>
      </c>
      <c r="H13" s="51">
        <f>TrnStat.asc!H65</f>
        <v>1294</v>
      </c>
      <c r="I13" s="51" t="str">
        <f>TrnStat.asc!I65</f>
        <v>0,124</v>
      </c>
      <c r="J13" s="51" t="str">
        <f>TrnStat.asc!J65</f>
        <v>|</v>
      </c>
      <c r="K13" s="51">
        <f>TrnStat.asc!K65</f>
        <v>3467</v>
      </c>
      <c r="M13">
        <f t="shared" si="0"/>
        <v>3467</v>
      </c>
      <c r="N13">
        <f t="shared" si="1"/>
        <v>3467</v>
      </c>
    </row>
    <row r="14" spans="1:14" x14ac:dyDescent="0.25">
      <c r="A14" s="51"/>
      <c r="B14" s="51">
        <f>TrnStat.asc!B66</f>
        <v>17</v>
      </c>
      <c r="C14" s="51">
        <f>TrnStat.asc!C66</f>
        <v>1</v>
      </c>
      <c r="D14" s="51" t="str">
        <f>TrnStat.asc!D66</f>
        <v>Rte</v>
      </c>
      <c r="E14" s="51">
        <f>TrnStat.asc!E66</f>
        <v>17</v>
      </c>
      <c r="F14" s="51" t="str">
        <f>TrnStat.asc!F66</f>
        <v>00,243</v>
      </c>
      <c r="G14" s="51" t="str">
        <f>TrnStat.asc!G66</f>
        <v>0,389</v>
      </c>
      <c r="H14" s="51" t="str">
        <f>TrnStat.asc!H66</f>
        <v>0,287</v>
      </c>
      <c r="I14" s="51" t="str">
        <f>TrnStat.asc!I66</f>
        <v>0,132</v>
      </c>
      <c r="J14" s="51" t="str">
        <f>TrnStat.asc!J66</f>
        <v>|</v>
      </c>
      <c r="K14" s="51">
        <f>TrnStat.asc!K66</f>
        <v>1050</v>
      </c>
      <c r="M14">
        <f t="shared" si="0"/>
        <v>1050</v>
      </c>
      <c r="N14">
        <f t="shared" si="1"/>
        <v>1050</v>
      </c>
    </row>
    <row r="15" spans="1:14" x14ac:dyDescent="0.25">
      <c r="A15" s="51"/>
      <c r="B15" s="51">
        <f>TrnStat.asc!B67</f>
        <v>18</v>
      </c>
      <c r="C15" s="51">
        <f>TrnStat.asc!C67</f>
        <v>1</v>
      </c>
      <c r="D15" s="51" t="str">
        <f>TrnStat.asc!D67</f>
        <v>Rte</v>
      </c>
      <c r="E15" s="51">
        <f>TrnStat.asc!E67</f>
        <v>18</v>
      </c>
      <c r="F15" s="51" t="str">
        <f>TrnStat.asc!F67</f>
        <v>00,084</v>
      </c>
      <c r="G15" s="51" t="str">
        <f>TrnStat.asc!G67</f>
        <v>0,227</v>
      </c>
      <c r="H15" s="51" t="str">
        <f>TrnStat.asc!H67</f>
        <v>0,136</v>
      </c>
      <c r="I15" s="51" t="str">
        <f>TrnStat.asc!I67</f>
        <v>0,003</v>
      </c>
      <c r="J15" s="51" t="str">
        <f>TrnStat.asc!J67</f>
        <v>|</v>
      </c>
      <c r="K15" s="51" t="str">
        <f>TrnStat.asc!K67</f>
        <v>00,451</v>
      </c>
      <c r="M15" t="str">
        <f t="shared" si="0"/>
        <v>00451</v>
      </c>
      <c r="N15">
        <f t="shared" si="1"/>
        <v>451</v>
      </c>
    </row>
    <row r="16" spans="1:14" x14ac:dyDescent="0.25">
      <c r="A16" s="51"/>
      <c r="B16" s="51">
        <f>TrnStat.asc!B68</f>
        <v>19</v>
      </c>
      <c r="C16" s="51">
        <f>TrnStat.asc!C68</f>
        <v>1</v>
      </c>
      <c r="D16" s="51" t="str">
        <f>TrnStat.asc!D68</f>
        <v>Rte</v>
      </c>
      <c r="E16" s="51">
        <f>TrnStat.asc!E68</f>
        <v>19</v>
      </c>
      <c r="F16" s="51" t="str">
        <f>TrnStat.asc!F68</f>
        <v>00,255</v>
      </c>
      <c r="G16" s="51" t="str">
        <f>TrnStat.asc!G68</f>
        <v>0,176</v>
      </c>
      <c r="H16" s="51" t="str">
        <f>TrnStat.asc!H68</f>
        <v>0,370</v>
      </c>
      <c r="I16" s="51" t="str">
        <f>TrnStat.asc!I68</f>
        <v>0,010</v>
      </c>
      <c r="J16" s="51" t="str">
        <f>TrnStat.asc!J68</f>
        <v>|</v>
      </c>
      <c r="K16" s="51" t="str">
        <f>TrnStat.asc!K68</f>
        <v>00,812</v>
      </c>
      <c r="M16" t="str">
        <f t="shared" si="0"/>
        <v>00812</v>
      </c>
      <c r="N16">
        <f t="shared" si="1"/>
        <v>812</v>
      </c>
    </row>
    <row r="17" spans="1:14" x14ac:dyDescent="0.25">
      <c r="A17" s="51"/>
      <c r="B17" s="51">
        <f>TrnStat.asc!B69</f>
        <v>20</v>
      </c>
      <c r="C17" s="51">
        <f>TrnStat.asc!C69</f>
        <v>1</v>
      </c>
      <c r="D17" s="51" t="str">
        <f>TrnStat.asc!D69</f>
        <v>Rte</v>
      </c>
      <c r="E17" s="51">
        <f>TrnStat.asc!E69</f>
        <v>20</v>
      </c>
      <c r="F17" s="51" t="str">
        <f>TrnStat.asc!F69</f>
        <v>00,157</v>
      </c>
      <c r="G17" s="51" t="str">
        <f>TrnStat.asc!G69</f>
        <v>0,097</v>
      </c>
      <c r="H17" s="51" t="str">
        <f>TrnStat.asc!H69</f>
        <v>0,275</v>
      </c>
      <c r="I17" s="51" t="str">
        <f>TrnStat.asc!I69</f>
        <v>0,000</v>
      </c>
      <c r="J17" s="51" t="str">
        <f>TrnStat.asc!J69</f>
        <v>|</v>
      </c>
      <c r="K17" s="51" t="str">
        <f>TrnStat.asc!K69</f>
        <v>00,529</v>
      </c>
      <c r="M17" t="str">
        <f t="shared" si="0"/>
        <v>00529</v>
      </c>
      <c r="N17">
        <f t="shared" si="1"/>
        <v>529</v>
      </c>
    </row>
    <row r="18" spans="1:14" x14ac:dyDescent="0.25">
      <c r="A18" s="51"/>
      <c r="B18" s="51">
        <f>TrnStat.asc!B70</f>
        <v>21</v>
      </c>
      <c r="C18" s="51">
        <f>TrnStat.asc!C70</f>
        <v>1</v>
      </c>
      <c r="D18" s="51" t="str">
        <f>TrnStat.asc!D70</f>
        <v>Rte</v>
      </c>
      <c r="E18" s="51">
        <f>TrnStat.asc!E70</f>
        <v>21</v>
      </c>
      <c r="F18" s="51" t="str">
        <f>TrnStat.asc!F70</f>
        <v>00,027</v>
      </c>
      <c r="G18" s="51" t="str">
        <f>TrnStat.asc!G70</f>
        <v>0,033</v>
      </c>
      <c r="H18" s="51" t="str">
        <f>TrnStat.asc!H70</f>
        <v>0,034</v>
      </c>
      <c r="I18" s="51" t="str">
        <f>TrnStat.asc!I70</f>
        <v>0,022</v>
      </c>
      <c r="J18" s="51" t="str">
        <f>TrnStat.asc!J70</f>
        <v>|</v>
      </c>
      <c r="K18" s="51" t="str">
        <f>TrnStat.asc!K70</f>
        <v>00,117</v>
      </c>
      <c r="M18" t="str">
        <f t="shared" si="0"/>
        <v>00117</v>
      </c>
      <c r="N18">
        <f t="shared" si="1"/>
        <v>117</v>
      </c>
    </row>
    <row r="19" spans="1:14" x14ac:dyDescent="0.25">
      <c r="A19" s="51"/>
      <c r="B19" s="51">
        <f>TrnStat.asc!B71</f>
        <v>22</v>
      </c>
      <c r="C19" s="51">
        <f>TrnStat.asc!C71</f>
        <v>1</v>
      </c>
      <c r="D19" s="51" t="str">
        <f>TrnStat.asc!D71</f>
        <v>Rte</v>
      </c>
      <c r="E19" s="51">
        <f>TrnStat.asc!E71</f>
        <v>22</v>
      </c>
      <c r="F19" s="51" t="str">
        <f>TrnStat.asc!F71</f>
        <v>00,383</v>
      </c>
      <c r="G19" s="51" t="str">
        <f>TrnStat.asc!G71</f>
        <v>0,410</v>
      </c>
      <c r="H19" s="51" t="str">
        <f>TrnStat.asc!H71</f>
        <v>0,487</v>
      </c>
      <c r="I19" s="51" t="str">
        <f>TrnStat.asc!I71</f>
        <v>0,085</v>
      </c>
      <c r="J19" s="51" t="str">
        <f>TrnStat.asc!J71</f>
        <v>|</v>
      </c>
      <c r="K19" s="51">
        <f>TrnStat.asc!K71</f>
        <v>1364</v>
      </c>
      <c r="M19">
        <f t="shared" si="0"/>
        <v>1364</v>
      </c>
      <c r="N19">
        <f t="shared" si="1"/>
        <v>1364</v>
      </c>
    </row>
    <row r="20" spans="1:14" x14ac:dyDescent="0.25">
      <c r="A20" s="51"/>
      <c r="B20" s="51">
        <f>TrnStat.asc!B72</f>
        <v>23</v>
      </c>
      <c r="C20" s="51">
        <f>TrnStat.asc!C72</f>
        <v>1</v>
      </c>
      <c r="D20" s="51" t="str">
        <f>TrnStat.asc!D72</f>
        <v>Rte</v>
      </c>
      <c r="E20" s="51">
        <f>TrnStat.asc!E72</f>
        <v>23</v>
      </c>
      <c r="F20" s="51" t="str">
        <f>TrnStat.asc!F72</f>
        <v>00,298</v>
      </c>
      <c r="G20" s="51" t="str">
        <f>TrnStat.asc!G72</f>
        <v>0,394</v>
      </c>
      <c r="H20" s="51" t="str">
        <f>TrnStat.asc!H72</f>
        <v>0,436</v>
      </c>
      <c r="I20" s="51" t="str">
        <f>TrnStat.asc!I72</f>
        <v>0,058</v>
      </c>
      <c r="J20" s="51" t="str">
        <f>TrnStat.asc!J72</f>
        <v>|</v>
      </c>
      <c r="K20" s="51">
        <f>TrnStat.asc!K72</f>
        <v>1186</v>
      </c>
      <c r="M20">
        <f t="shared" si="0"/>
        <v>1186</v>
      </c>
      <c r="N20">
        <f t="shared" si="1"/>
        <v>1186</v>
      </c>
    </row>
    <row r="21" spans="1:14" x14ac:dyDescent="0.25">
      <c r="A21" s="51"/>
      <c r="B21" s="51">
        <f>TrnStat.asc!B73</f>
        <v>24</v>
      </c>
      <c r="C21" s="51">
        <f>TrnStat.asc!C73</f>
        <v>6</v>
      </c>
      <c r="D21" s="51" t="str">
        <f>TrnStat.asc!D73</f>
        <v>Rte</v>
      </c>
      <c r="E21" s="51">
        <f>TrnStat.asc!E73</f>
        <v>24</v>
      </c>
      <c r="F21" s="51" t="str">
        <f>TrnStat.asc!F73</f>
        <v>00,040</v>
      </c>
      <c r="G21" s="51" t="str">
        <f>TrnStat.asc!G73</f>
        <v>0,000</v>
      </c>
      <c r="H21" s="51" t="str">
        <f>TrnStat.asc!H73</f>
        <v>0,072</v>
      </c>
      <c r="I21" s="51" t="str">
        <f>TrnStat.asc!I73</f>
        <v>0,000</v>
      </c>
      <c r="J21" s="51" t="str">
        <f>TrnStat.asc!J73</f>
        <v>|</v>
      </c>
      <c r="K21" s="51" t="str">
        <f>TrnStat.asc!K73</f>
        <v>00,112</v>
      </c>
      <c r="M21" t="str">
        <f t="shared" si="0"/>
        <v>00112</v>
      </c>
      <c r="N21">
        <f t="shared" si="1"/>
        <v>112</v>
      </c>
    </row>
    <row r="22" spans="1:14" x14ac:dyDescent="0.25">
      <c r="A22" s="51"/>
      <c r="B22" s="51">
        <f>TrnStat.asc!B74</f>
        <v>25</v>
      </c>
      <c r="C22" s="51">
        <f>TrnStat.asc!C74</f>
        <v>1</v>
      </c>
      <c r="D22" s="51" t="str">
        <f>TrnStat.asc!D74</f>
        <v>Rte</v>
      </c>
      <c r="E22" s="51">
        <f>TrnStat.asc!E74</f>
        <v>25</v>
      </c>
      <c r="F22" s="51" t="str">
        <f>TrnStat.asc!F74</f>
        <v>00,280</v>
      </c>
      <c r="G22" s="51" t="str">
        <f>TrnStat.asc!G74</f>
        <v>0,148</v>
      </c>
      <c r="H22" s="51" t="str">
        <f>TrnStat.asc!H74</f>
        <v>0,292</v>
      </c>
      <c r="I22" s="51" t="str">
        <f>TrnStat.asc!I74</f>
        <v>0,082</v>
      </c>
      <c r="J22" s="51" t="str">
        <f>TrnStat.asc!J74</f>
        <v>|</v>
      </c>
      <c r="K22" s="51" t="str">
        <f>TrnStat.asc!K74</f>
        <v>00,801</v>
      </c>
      <c r="M22" t="str">
        <f t="shared" si="0"/>
        <v>00801</v>
      </c>
      <c r="N22">
        <f t="shared" si="1"/>
        <v>801</v>
      </c>
    </row>
    <row r="23" spans="1:14" x14ac:dyDescent="0.25">
      <c r="A23" s="51"/>
      <c r="B23" s="51">
        <f>TrnStat.asc!B75</f>
        <v>26</v>
      </c>
      <c r="C23" s="51">
        <f>TrnStat.asc!C75</f>
        <v>1</v>
      </c>
      <c r="D23" s="51" t="str">
        <f>TrnStat.asc!D75</f>
        <v>Rte</v>
      </c>
      <c r="E23" s="51">
        <f>TrnStat.asc!E75</f>
        <v>26</v>
      </c>
      <c r="F23" s="51" t="str">
        <f>TrnStat.asc!F75</f>
        <v>00,143</v>
      </c>
      <c r="G23" s="51" t="str">
        <f>TrnStat.asc!G75</f>
        <v>0,220</v>
      </c>
      <c r="H23" s="51" t="str">
        <f>TrnStat.asc!H75</f>
        <v>0,318</v>
      </c>
      <c r="I23" s="51" t="str">
        <f>TrnStat.asc!I75</f>
        <v>0,086</v>
      </c>
      <c r="J23" s="51" t="str">
        <f>TrnStat.asc!J75</f>
        <v>|</v>
      </c>
      <c r="K23" s="51" t="str">
        <f>TrnStat.asc!K75</f>
        <v>00,768</v>
      </c>
      <c r="M23" t="str">
        <f t="shared" si="0"/>
        <v>00768</v>
      </c>
      <c r="N23">
        <f t="shared" si="1"/>
        <v>768</v>
      </c>
    </row>
    <row r="24" spans="1:14" x14ac:dyDescent="0.25">
      <c r="A24" s="51"/>
      <c r="B24" s="51">
        <f>TrnStat.asc!B76</f>
        <v>27</v>
      </c>
      <c r="C24" s="51">
        <f>TrnStat.asc!C76</f>
        <v>1</v>
      </c>
      <c r="D24" s="51" t="str">
        <f>TrnStat.asc!D76</f>
        <v>Rte</v>
      </c>
      <c r="E24" s="51">
        <f>TrnStat.asc!E76</f>
        <v>27</v>
      </c>
      <c r="F24" s="51" t="str">
        <f>TrnStat.asc!F76</f>
        <v>00,011</v>
      </c>
      <c r="G24" s="51" t="str">
        <f>TrnStat.asc!G76</f>
        <v>0,024</v>
      </c>
      <c r="H24" s="51" t="str">
        <f>TrnStat.asc!H76</f>
        <v>0,019</v>
      </c>
      <c r="I24" s="51" t="str">
        <f>TrnStat.asc!I76</f>
        <v>0,024</v>
      </c>
      <c r="J24" s="51" t="str">
        <f>TrnStat.asc!J76</f>
        <v>|</v>
      </c>
      <c r="K24" s="51" t="str">
        <f>TrnStat.asc!K76</f>
        <v>00,077</v>
      </c>
      <c r="M24" t="str">
        <f t="shared" si="0"/>
        <v>00077</v>
      </c>
      <c r="N24">
        <f t="shared" si="1"/>
        <v>77</v>
      </c>
    </row>
    <row r="25" spans="1:14" x14ac:dyDescent="0.25">
      <c r="A25" s="51"/>
      <c r="B25" s="51">
        <f>TrnStat.asc!B77</f>
        <v>28</v>
      </c>
      <c r="C25" s="51">
        <f>TrnStat.asc!C77</f>
        <v>1</v>
      </c>
      <c r="D25" s="51" t="str">
        <f>TrnStat.asc!D77</f>
        <v>Rte</v>
      </c>
      <c r="E25" s="51">
        <f>TrnStat.asc!E77</f>
        <v>28</v>
      </c>
      <c r="F25" s="51" t="str">
        <f>TrnStat.asc!F77</f>
        <v>00,094</v>
      </c>
      <c r="G25" s="51" t="str">
        <f>TrnStat.asc!G77</f>
        <v>0,048</v>
      </c>
      <c r="H25" s="51" t="str">
        <f>TrnStat.asc!H77</f>
        <v>0,136</v>
      </c>
      <c r="I25" s="51" t="str">
        <f>TrnStat.asc!I77</f>
        <v>0,077</v>
      </c>
      <c r="J25" s="51" t="str">
        <f>TrnStat.asc!J77</f>
        <v>|</v>
      </c>
      <c r="K25" s="51" t="str">
        <f>TrnStat.asc!K77</f>
        <v>00,355</v>
      </c>
      <c r="M25" t="str">
        <f t="shared" si="0"/>
        <v>00355</v>
      </c>
      <c r="N25">
        <f t="shared" si="1"/>
        <v>355</v>
      </c>
    </row>
    <row r="26" spans="1:14" x14ac:dyDescent="0.25">
      <c r="A26" s="51"/>
      <c r="B26" s="51">
        <f>TrnStat.asc!B78</f>
        <v>29</v>
      </c>
      <c r="C26" s="51">
        <f>TrnStat.asc!C78</f>
        <v>1</v>
      </c>
      <c r="D26" s="51" t="str">
        <f>TrnStat.asc!D78</f>
        <v>Rte</v>
      </c>
      <c r="E26" s="51">
        <f>TrnStat.asc!E78</f>
        <v>29</v>
      </c>
      <c r="F26" s="51" t="str">
        <f>TrnStat.asc!F78</f>
        <v>00,101</v>
      </c>
      <c r="G26" s="51" t="str">
        <f>TrnStat.asc!G78</f>
        <v>0,171</v>
      </c>
      <c r="H26" s="51" t="str">
        <f>TrnStat.asc!H78</f>
        <v>0,275</v>
      </c>
      <c r="I26" s="51" t="str">
        <f>TrnStat.asc!I78</f>
        <v>0,047</v>
      </c>
      <c r="J26" s="51" t="str">
        <f>TrnStat.asc!J78</f>
        <v>|</v>
      </c>
      <c r="K26" s="51" t="str">
        <f>TrnStat.asc!K78</f>
        <v>00,594</v>
      </c>
      <c r="M26" t="str">
        <f t="shared" si="0"/>
        <v>00594</v>
      </c>
      <c r="N26">
        <f t="shared" si="1"/>
        <v>594</v>
      </c>
    </row>
    <row r="27" spans="1:14" x14ac:dyDescent="0.25">
      <c r="A27" s="51"/>
      <c r="B27" s="51">
        <f>TrnStat.asc!B79</f>
        <v>30</v>
      </c>
      <c r="C27" s="51">
        <f>TrnStat.asc!C79</f>
        <v>1</v>
      </c>
      <c r="D27" s="51" t="str">
        <f>TrnStat.asc!D79</f>
        <v>Rte</v>
      </c>
      <c r="E27" s="51">
        <f>TrnStat.asc!E79</f>
        <v>30</v>
      </c>
      <c r="F27" s="51" t="str">
        <f>TrnStat.asc!F79</f>
        <v>00,028</v>
      </c>
      <c r="G27" s="51" t="str">
        <f>TrnStat.asc!G79</f>
        <v>0,058</v>
      </c>
      <c r="H27" s="51" t="str">
        <f>TrnStat.asc!H79</f>
        <v>0,087</v>
      </c>
      <c r="I27" s="51" t="str">
        <f>TrnStat.asc!I79</f>
        <v>0,029</v>
      </c>
      <c r="J27" s="51" t="str">
        <f>TrnStat.asc!J79</f>
        <v>|</v>
      </c>
      <c r="K27" s="51" t="str">
        <f>TrnStat.asc!K79</f>
        <v>00,201</v>
      </c>
      <c r="M27" t="str">
        <f t="shared" si="0"/>
        <v>00201</v>
      </c>
      <c r="N27">
        <f t="shared" si="1"/>
        <v>201</v>
      </c>
    </row>
    <row r="28" spans="1:14" x14ac:dyDescent="0.25">
      <c r="A28" s="51"/>
      <c r="B28" s="51">
        <f>TrnStat.asc!B80</f>
        <v>33</v>
      </c>
      <c r="C28" s="51">
        <f>TrnStat.asc!C80</f>
        <v>6</v>
      </c>
      <c r="D28" s="51" t="str">
        <f>TrnStat.asc!D80</f>
        <v>Rte</v>
      </c>
      <c r="E28" s="51">
        <f>TrnStat.asc!E80</f>
        <v>33</v>
      </c>
      <c r="F28" s="51" t="str">
        <f>TrnStat.asc!F80</f>
        <v>00,062</v>
      </c>
      <c r="G28" s="51" t="str">
        <f>TrnStat.asc!G80</f>
        <v>0,081</v>
      </c>
      <c r="H28" s="51" t="str">
        <f>TrnStat.asc!H80</f>
        <v>0,108</v>
      </c>
      <c r="I28" s="51" t="str">
        <f>TrnStat.asc!I80</f>
        <v>0,000</v>
      </c>
      <c r="J28" s="51" t="str">
        <f>TrnStat.asc!J80</f>
        <v>|</v>
      </c>
      <c r="K28" s="51" t="str">
        <f>TrnStat.asc!K80</f>
        <v>00,251</v>
      </c>
      <c r="M28" t="str">
        <f t="shared" si="0"/>
        <v>00251</v>
      </c>
      <c r="N28">
        <f t="shared" si="1"/>
        <v>251</v>
      </c>
    </row>
    <row r="29" spans="1:14" x14ac:dyDescent="0.25">
      <c r="A29" s="51"/>
      <c r="B29" s="51">
        <f>TrnStat.asc!B81</f>
        <v>34</v>
      </c>
      <c r="C29" s="51">
        <f>TrnStat.asc!C81</f>
        <v>1</v>
      </c>
      <c r="D29" s="51" t="str">
        <f>TrnStat.asc!D81</f>
        <v>Rte</v>
      </c>
      <c r="E29" s="51">
        <f>TrnStat.asc!E81</f>
        <v>34</v>
      </c>
      <c r="F29" s="51" t="str">
        <f>TrnStat.asc!F81</f>
        <v>00,033</v>
      </c>
      <c r="G29" s="51" t="str">
        <f>TrnStat.asc!G81</f>
        <v>0,057</v>
      </c>
      <c r="H29" s="51" t="str">
        <f>TrnStat.asc!H81</f>
        <v>0,063</v>
      </c>
      <c r="I29" s="51" t="str">
        <f>TrnStat.asc!I81</f>
        <v>0,021</v>
      </c>
      <c r="J29" s="51" t="str">
        <f>TrnStat.asc!J81</f>
        <v>|</v>
      </c>
      <c r="K29" s="51" t="str">
        <f>TrnStat.asc!K81</f>
        <v>00,174</v>
      </c>
      <c r="M29" t="str">
        <f t="shared" si="0"/>
        <v>00174</v>
      </c>
      <c r="N29">
        <f t="shared" si="1"/>
        <v>174</v>
      </c>
    </row>
    <row r="30" spans="1:14" x14ac:dyDescent="0.25">
      <c r="A30" s="51"/>
      <c r="B30" s="51">
        <f>TrnStat.asc!B82</f>
        <v>35</v>
      </c>
      <c r="C30" s="51">
        <f>TrnStat.asc!C82</f>
        <v>6</v>
      </c>
      <c r="D30" s="51" t="str">
        <f>TrnStat.asc!D82</f>
        <v>Rte</v>
      </c>
      <c r="E30" s="51">
        <f>TrnStat.asc!E82</f>
        <v>35</v>
      </c>
      <c r="F30" s="51" t="str">
        <f>TrnStat.asc!F82</f>
        <v>00,022</v>
      </c>
      <c r="G30" s="51" t="str">
        <f>TrnStat.asc!G82</f>
        <v>0,000</v>
      </c>
      <c r="H30" s="51" t="str">
        <f>TrnStat.asc!H82</f>
        <v>0,070</v>
      </c>
      <c r="I30" s="51" t="str">
        <f>TrnStat.asc!I82</f>
        <v>0,000</v>
      </c>
      <c r="J30" s="51" t="str">
        <f>TrnStat.asc!J82</f>
        <v>|</v>
      </c>
      <c r="K30" s="51" t="str">
        <f>TrnStat.asc!K82</f>
        <v>00,092</v>
      </c>
      <c r="M30" t="str">
        <f t="shared" si="0"/>
        <v>00092</v>
      </c>
      <c r="N30">
        <f t="shared" si="1"/>
        <v>92</v>
      </c>
    </row>
    <row r="31" spans="1:14" x14ac:dyDescent="0.25">
      <c r="A31" s="51"/>
      <c r="B31" s="51">
        <f>TrnStat.asc!B83</f>
        <v>36</v>
      </c>
      <c r="C31" s="51">
        <f>TrnStat.asc!C83</f>
        <v>6</v>
      </c>
      <c r="D31" s="51" t="str">
        <f>TrnStat.asc!D83</f>
        <v>Rte</v>
      </c>
      <c r="E31" s="51">
        <f>TrnStat.asc!E83</f>
        <v>36</v>
      </c>
      <c r="F31" s="51" t="str">
        <f>TrnStat.asc!F83</f>
        <v>00,064</v>
      </c>
      <c r="G31" s="51" t="str">
        <f>TrnStat.asc!G83</f>
        <v>0,046</v>
      </c>
      <c r="H31" s="51" t="str">
        <f>TrnStat.asc!H83</f>
        <v>0,065</v>
      </c>
      <c r="I31" s="51" t="str">
        <f>TrnStat.asc!I83</f>
        <v>0,027</v>
      </c>
      <c r="J31" s="51" t="str">
        <f>TrnStat.asc!J83</f>
        <v>|</v>
      </c>
      <c r="K31" s="51" t="str">
        <f>TrnStat.asc!K83</f>
        <v>00,201</v>
      </c>
      <c r="M31" t="str">
        <f t="shared" si="0"/>
        <v>00201</v>
      </c>
      <c r="N31">
        <f t="shared" si="1"/>
        <v>201</v>
      </c>
    </row>
    <row r="32" spans="1:14" x14ac:dyDescent="0.25">
      <c r="A32" s="51"/>
      <c r="B32" s="51">
        <f>TrnStat.asc!B84</f>
        <v>37</v>
      </c>
      <c r="C32" s="51">
        <f>TrnStat.asc!C84</f>
        <v>6</v>
      </c>
      <c r="D32" s="51" t="str">
        <f>TrnStat.asc!D84</f>
        <v>Rte</v>
      </c>
      <c r="E32" s="51">
        <f>TrnStat.asc!E84</f>
        <v>37</v>
      </c>
      <c r="F32" s="51" t="str">
        <f>TrnStat.asc!F84</f>
        <v>00,100</v>
      </c>
      <c r="G32" s="51" t="str">
        <f>TrnStat.asc!G84</f>
        <v>0,000</v>
      </c>
      <c r="H32" s="51" t="str">
        <f>TrnStat.asc!H84</f>
        <v>0,125</v>
      </c>
      <c r="I32" s="51" t="str">
        <f>TrnStat.asc!I84</f>
        <v>0,000</v>
      </c>
      <c r="J32" s="51" t="str">
        <f>TrnStat.asc!J84</f>
        <v>|</v>
      </c>
      <c r="K32" s="51" t="str">
        <f>TrnStat.asc!K84</f>
        <v>00,226</v>
      </c>
      <c r="M32" t="str">
        <f t="shared" si="0"/>
        <v>00226</v>
      </c>
      <c r="N32">
        <f t="shared" si="1"/>
        <v>226</v>
      </c>
    </row>
    <row r="33" spans="1:14" x14ac:dyDescent="0.25">
      <c r="A33" s="51"/>
      <c r="B33" s="51">
        <f>TrnStat.asc!B85</f>
        <v>38</v>
      </c>
      <c r="C33" s="51">
        <f>TrnStat.asc!C85</f>
        <v>6</v>
      </c>
      <c r="D33" s="51" t="str">
        <f>TrnStat.asc!D85</f>
        <v>Rte</v>
      </c>
      <c r="E33" s="51">
        <f>TrnStat.asc!E85</f>
        <v>38</v>
      </c>
      <c r="F33" s="51" t="str">
        <f>TrnStat.asc!F85</f>
        <v>00,063</v>
      </c>
      <c r="G33" s="51" t="str">
        <f>TrnStat.asc!G85</f>
        <v>0,000</v>
      </c>
      <c r="H33" s="51" t="str">
        <f>TrnStat.asc!H85</f>
        <v>0,060</v>
      </c>
      <c r="I33" s="51" t="str">
        <f>TrnStat.asc!I85</f>
        <v>0,000</v>
      </c>
      <c r="J33" s="51" t="str">
        <f>TrnStat.asc!J85</f>
        <v>|</v>
      </c>
      <c r="K33" s="51" t="str">
        <f>TrnStat.asc!K85</f>
        <v>00,123</v>
      </c>
      <c r="M33" t="str">
        <f t="shared" si="0"/>
        <v>00123</v>
      </c>
      <c r="N33">
        <f t="shared" si="1"/>
        <v>123</v>
      </c>
    </row>
    <row r="34" spans="1:14" x14ac:dyDescent="0.25">
      <c r="A34" s="51"/>
      <c r="B34" s="51">
        <f>TrnStat.asc!B86</f>
        <v>41</v>
      </c>
      <c r="C34" s="51">
        <f>TrnStat.asc!C86</f>
        <v>1</v>
      </c>
      <c r="D34" s="51" t="str">
        <f>TrnStat.asc!D86</f>
        <v>Rte</v>
      </c>
      <c r="E34" s="51">
        <f>TrnStat.asc!E86</f>
        <v>41</v>
      </c>
      <c r="F34" s="51" t="str">
        <f>TrnStat.asc!F86</f>
        <v>00,007</v>
      </c>
      <c r="G34" s="51" t="str">
        <f>TrnStat.asc!G86</f>
        <v>0,000</v>
      </c>
      <c r="H34" s="51" t="str">
        <f>TrnStat.asc!H86</f>
        <v>0,005</v>
      </c>
      <c r="I34" s="51" t="str">
        <f>TrnStat.asc!I86</f>
        <v>0,000</v>
      </c>
      <c r="J34" s="51" t="str">
        <f>TrnStat.asc!J86</f>
        <v>|</v>
      </c>
      <c r="K34" s="51" t="str">
        <f>TrnStat.asc!K86</f>
        <v>00,013</v>
      </c>
      <c r="M34" t="str">
        <f t="shared" si="0"/>
        <v>00013</v>
      </c>
      <c r="N34">
        <f t="shared" si="1"/>
        <v>13</v>
      </c>
    </row>
    <row r="35" spans="1:14" x14ac:dyDescent="0.25">
      <c r="A35" s="51"/>
      <c r="B35" s="51">
        <f>TrnStat.asc!B87</f>
        <v>42</v>
      </c>
      <c r="C35" s="51">
        <f>TrnStat.asc!C87</f>
        <v>1</v>
      </c>
      <c r="D35" s="51" t="str">
        <f>TrnStat.asc!D87</f>
        <v>Rte</v>
      </c>
      <c r="E35" s="51">
        <f>TrnStat.asc!E87</f>
        <v>42</v>
      </c>
      <c r="F35" s="51" t="str">
        <f>TrnStat.asc!F87</f>
        <v>00,069</v>
      </c>
      <c r="G35" s="51" t="str">
        <f>TrnStat.asc!G87</f>
        <v>0,078</v>
      </c>
      <c r="H35" s="51" t="str">
        <f>TrnStat.asc!H87</f>
        <v>0,224</v>
      </c>
      <c r="I35" s="51" t="str">
        <f>TrnStat.asc!I87</f>
        <v>0,078</v>
      </c>
      <c r="J35" s="51" t="str">
        <f>TrnStat.asc!J87</f>
        <v>|</v>
      </c>
      <c r="K35" s="51" t="str">
        <f>TrnStat.asc!K87</f>
        <v>00,448</v>
      </c>
      <c r="M35" t="str">
        <f t="shared" si="0"/>
        <v>00448</v>
      </c>
      <c r="N35">
        <f t="shared" si="1"/>
        <v>448</v>
      </c>
    </row>
    <row r="36" spans="1:14" x14ac:dyDescent="0.25">
      <c r="A36" s="51"/>
      <c r="B36" s="51">
        <f>TrnStat.asc!B88</f>
        <v>43</v>
      </c>
      <c r="C36" s="51">
        <f>TrnStat.asc!C88</f>
        <v>1</v>
      </c>
      <c r="D36" s="51" t="str">
        <f>TrnStat.asc!D88</f>
        <v>Rte</v>
      </c>
      <c r="E36" s="51">
        <f>TrnStat.asc!E88</f>
        <v>43</v>
      </c>
      <c r="F36" s="51" t="str">
        <f>TrnStat.asc!F88</f>
        <v>00,014</v>
      </c>
      <c r="G36" s="51" t="str">
        <f>TrnStat.asc!G88</f>
        <v>0,020</v>
      </c>
      <c r="H36" s="51" t="str">
        <f>TrnStat.asc!H88</f>
        <v>0,036</v>
      </c>
      <c r="I36" s="51" t="str">
        <f>TrnStat.asc!I88</f>
        <v>0,012</v>
      </c>
      <c r="J36" s="51" t="str">
        <f>TrnStat.asc!J88</f>
        <v>|</v>
      </c>
      <c r="K36" s="51" t="str">
        <f>TrnStat.asc!K88</f>
        <v>00,082</v>
      </c>
      <c r="M36" t="str">
        <f t="shared" si="0"/>
        <v>00082</v>
      </c>
      <c r="N36">
        <f t="shared" si="1"/>
        <v>82</v>
      </c>
    </row>
    <row r="37" spans="1:14" x14ac:dyDescent="0.25">
      <c r="A37" s="51"/>
      <c r="B37" s="51">
        <f>TrnStat.asc!B89</f>
        <v>52</v>
      </c>
      <c r="C37" s="51">
        <f>TrnStat.asc!C89</f>
        <v>1</v>
      </c>
      <c r="D37" s="51" t="str">
        <f>TrnStat.asc!D89</f>
        <v>Rte</v>
      </c>
      <c r="E37" s="51">
        <f>TrnStat.asc!E89</f>
        <v>52</v>
      </c>
      <c r="F37" s="51" t="str">
        <f>TrnStat.asc!F89</f>
        <v>00,634</v>
      </c>
      <c r="G37" s="51" t="str">
        <f>TrnStat.asc!G89</f>
        <v>0,621</v>
      </c>
      <c r="H37" s="51" t="str">
        <f>TrnStat.asc!H89</f>
        <v>0,784</v>
      </c>
      <c r="I37" s="51" t="str">
        <f>TrnStat.asc!I89</f>
        <v>0,337</v>
      </c>
      <c r="J37" s="51" t="str">
        <f>TrnStat.asc!J89</f>
        <v>|</v>
      </c>
      <c r="K37" s="51">
        <f>TrnStat.asc!K89</f>
        <v>2376</v>
      </c>
      <c r="M37">
        <f t="shared" si="0"/>
        <v>2376</v>
      </c>
      <c r="N37">
        <f t="shared" si="1"/>
        <v>2376</v>
      </c>
    </row>
    <row r="38" spans="1:14" x14ac:dyDescent="0.25">
      <c r="A38" s="51"/>
      <c r="B38" s="51">
        <f>TrnStat.asc!B90</f>
        <v>56</v>
      </c>
      <c r="C38" s="51">
        <f>TrnStat.asc!C90</f>
        <v>8</v>
      </c>
      <c r="D38" s="51" t="str">
        <f>TrnStat.asc!D90</f>
        <v>Rte</v>
      </c>
      <c r="E38" s="51">
        <f>TrnStat.asc!E90</f>
        <v>56</v>
      </c>
      <c r="F38" s="51" t="str">
        <f>TrnStat.asc!F90</f>
        <v>00,852</v>
      </c>
      <c r="G38" s="51" t="str">
        <f>TrnStat.asc!G90</f>
        <v>0,687</v>
      </c>
      <c r="H38" s="51" t="str">
        <f>TrnStat.asc!H90</f>
        <v>0,911</v>
      </c>
      <c r="I38" s="51" t="str">
        <f>TrnStat.asc!I90</f>
        <v>0,266</v>
      </c>
      <c r="J38" s="51" t="str">
        <f>TrnStat.asc!J90</f>
        <v>|</v>
      </c>
      <c r="K38" s="51">
        <f>TrnStat.asc!K90</f>
        <v>2716</v>
      </c>
      <c r="M38">
        <f t="shared" si="0"/>
        <v>2716</v>
      </c>
      <c r="N38">
        <f t="shared" si="1"/>
        <v>2716</v>
      </c>
    </row>
    <row r="39" spans="1:14" x14ac:dyDescent="0.25">
      <c r="A39" s="51"/>
      <c r="B39" s="51">
        <f>TrnStat.asc!B91</f>
        <v>60</v>
      </c>
      <c r="C39" s="51">
        <f>TrnStat.asc!C91</f>
        <v>1</v>
      </c>
      <c r="D39" s="51" t="str">
        <f>TrnStat.asc!D91</f>
        <v>Rte</v>
      </c>
      <c r="E39" s="51">
        <f>TrnStat.asc!E91</f>
        <v>60</v>
      </c>
      <c r="F39" s="51" t="str">
        <f>TrnStat.asc!F91</f>
        <v>00,131</v>
      </c>
      <c r="G39" s="51" t="str">
        <f>TrnStat.asc!G91</f>
        <v>0,803</v>
      </c>
      <c r="H39" s="51" t="str">
        <f>TrnStat.asc!H91</f>
        <v>0,554</v>
      </c>
      <c r="I39" s="51" t="str">
        <f>TrnStat.asc!I91</f>
        <v>0,000</v>
      </c>
      <c r="J39" s="51" t="str">
        <f>TrnStat.asc!J91</f>
        <v>|</v>
      </c>
      <c r="K39" s="51">
        <f>TrnStat.asc!K91</f>
        <v>1488</v>
      </c>
      <c r="M39">
        <f t="shared" si="0"/>
        <v>1488</v>
      </c>
      <c r="N39">
        <f t="shared" si="1"/>
        <v>1488</v>
      </c>
    </row>
    <row r="40" spans="1:14" x14ac:dyDescent="0.25">
      <c r="A40" s="51"/>
      <c r="B40" s="51">
        <f>TrnStat.asc!B92</f>
        <v>61</v>
      </c>
      <c r="C40" s="51">
        <f>TrnStat.asc!C92</f>
        <v>1</v>
      </c>
      <c r="D40" s="51" t="str">
        <f>TrnStat.asc!D92</f>
        <v>Rte</v>
      </c>
      <c r="E40" s="51">
        <f>TrnStat.asc!E92</f>
        <v>61</v>
      </c>
      <c r="F40" s="51" t="str">
        <f>TrnStat.asc!F92</f>
        <v>00,005</v>
      </c>
      <c r="G40" s="51" t="str">
        <f>TrnStat.asc!G92</f>
        <v>0,252</v>
      </c>
      <c r="H40" s="51" t="str">
        <f>TrnStat.asc!H92</f>
        <v>0,126</v>
      </c>
      <c r="I40" s="51" t="str">
        <f>TrnStat.asc!I92</f>
        <v>0,110</v>
      </c>
      <c r="J40" s="51" t="str">
        <f>TrnStat.asc!J92</f>
        <v>|</v>
      </c>
      <c r="K40" s="51" t="str">
        <f>TrnStat.asc!K92</f>
        <v>00,493</v>
      </c>
      <c r="M40" t="str">
        <f t="shared" si="0"/>
        <v>00493</v>
      </c>
      <c r="N40">
        <f t="shared" si="1"/>
        <v>493</v>
      </c>
    </row>
    <row r="41" spans="1:14" x14ac:dyDescent="0.25">
      <c r="A41" s="51"/>
      <c r="B41" s="51">
        <f>TrnStat.asc!B93</f>
        <v>72</v>
      </c>
      <c r="C41" s="51">
        <f>TrnStat.asc!C93</f>
        <v>1</v>
      </c>
      <c r="D41" s="51" t="str">
        <f>TrnStat.asc!D93</f>
        <v>Rte</v>
      </c>
      <c r="E41" s="51">
        <f>TrnStat.asc!E93</f>
        <v>72</v>
      </c>
      <c r="F41" s="51" t="str">
        <f>TrnStat.asc!F93</f>
        <v>00,011</v>
      </c>
      <c r="G41" s="51" t="str">
        <f>TrnStat.asc!G93</f>
        <v>0,007</v>
      </c>
      <c r="H41" s="51" t="str">
        <f>TrnStat.asc!H93</f>
        <v>0,011</v>
      </c>
      <c r="I41" s="51" t="str">
        <f>TrnStat.asc!I93</f>
        <v>0,000</v>
      </c>
      <c r="J41" s="51" t="str">
        <f>TrnStat.asc!J93</f>
        <v>|</v>
      </c>
      <c r="K41" s="51" t="str">
        <f>TrnStat.asc!K93</f>
        <v>00,028</v>
      </c>
      <c r="M41" t="str">
        <f t="shared" si="0"/>
        <v>00028</v>
      </c>
      <c r="N41">
        <f t="shared" si="1"/>
        <v>28</v>
      </c>
    </row>
    <row r="42" spans="1:14" x14ac:dyDescent="0.25">
      <c r="A42" s="51"/>
      <c r="B42" s="51">
        <f>TrnStat.asc!B94</f>
        <v>76</v>
      </c>
      <c r="C42" s="51">
        <f>TrnStat.asc!C94</f>
        <v>1</v>
      </c>
      <c r="D42" s="51" t="str">
        <f>TrnStat.asc!D94</f>
        <v>Rte</v>
      </c>
      <c r="E42" s="51">
        <f>TrnStat.asc!E94</f>
        <v>76</v>
      </c>
      <c r="F42" s="51" t="str">
        <f>TrnStat.asc!F94</f>
        <v>00,014</v>
      </c>
      <c r="G42" s="51" t="str">
        <f>TrnStat.asc!G94</f>
        <v>0,009</v>
      </c>
      <c r="H42" s="51" t="str">
        <f>TrnStat.asc!H94</f>
        <v>0,015</v>
      </c>
      <c r="I42" s="51" t="str">
        <f>TrnStat.asc!I94</f>
        <v>0,008</v>
      </c>
      <c r="J42" s="51" t="str">
        <f>TrnStat.asc!J94</f>
        <v>|</v>
      </c>
      <c r="K42" s="51" t="str">
        <f>TrnStat.asc!K94</f>
        <v>00,046</v>
      </c>
      <c r="M42" t="str">
        <f t="shared" si="0"/>
        <v>00046</v>
      </c>
      <c r="N42">
        <f t="shared" si="1"/>
        <v>46</v>
      </c>
    </row>
    <row r="43" spans="1:14" x14ac:dyDescent="0.25">
      <c r="A43" s="51"/>
      <c r="B43" s="51">
        <f>TrnStat.asc!B95</f>
        <v>77</v>
      </c>
      <c r="C43" s="51">
        <f>TrnStat.asc!C95</f>
        <v>1</v>
      </c>
      <c r="D43" s="51" t="str">
        <f>TrnStat.asc!D95</f>
        <v>Rte</v>
      </c>
      <c r="E43" s="51">
        <f>TrnStat.asc!E95</f>
        <v>77</v>
      </c>
      <c r="F43" s="51" t="str">
        <f>TrnStat.asc!F95</f>
        <v>00,005</v>
      </c>
      <c r="G43" s="51" t="str">
        <f>TrnStat.asc!G95</f>
        <v>0,006</v>
      </c>
      <c r="H43" s="51" t="str">
        <f>TrnStat.asc!H95</f>
        <v>0,014</v>
      </c>
      <c r="I43" s="51" t="str">
        <f>TrnStat.asc!I95</f>
        <v>0,010</v>
      </c>
      <c r="J43" s="51" t="str">
        <f>TrnStat.asc!J95</f>
        <v>|</v>
      </c>
      <c r="K43" s="51" t="str">
        <f>TrnStat.asc!K95</f>
        <v>00,034</v>
      </c>
      <c r="M43" t="str">
        <f t="shared" si="0"/>
        <v>00034</v>
      </c>
      <c r="N43">
        <f t="shared" si="1"/>
        <v>34</v>
      </c>
    </row>
    <row r="44" spans="1:14" x14ac:dyDescent="0.25">
      <c r="A44" s="51"/>
      <c r="B44" s="51">
        <f>TrnStat.asc!B96</f>
        <v>84</v>
      </c>
      <c r="C44" s="51">
        <f>TrnStat.asc!C96</f>
        <v>6</v>
      </c>
      <c r="D44" s="51" t="str">
        <f>TrnStat.asc!D96</f>
        <v>Rte</v>
      </c>
      <c r="E44" s="51">
        <f>TrnStat.asc!E96</f>
        <v>84</v>
      </c>
      <c r="F44" s="51" t="str">
        <f>TrnStat.asc!F96</f>
        <v>00,061</v>
      </c>
      <c r="G44" s="51" t="str">
        <f>TrnStat.asc!G96</f>
        <v>0,062</v>
      </c>
      <c r="H44" s="51" t="str">
        <f>TrnStat.asc!H96</f>
        <v>0,108</v>
      </c>
      <c r="I44" s="51" t="str">
        <f>TrnStat.asc!I96</f>
        <v>0,018</v>
      </c>
      <c r="J44" s="51" t="str">
        <f>TrnStat.asc!J96</f>
        <v>|</v>
      </c>
      <c r="K44" s="51" t="str">
        <f>TrnStat.asc!K96</f>
        <v>00,249</v>
      </c>
      <c r="M44" t="str">
        <f t="shared" si="0"/>
        <v>00249</v>
      </c>
      <c r="N44">
        <f t="shared" si="1"/>
        <v>249</v>
      </c>
    </row>
    <row r="45" spans="1:14" x14ac:dyDescent="0.25">
      <c r="A45" s="51"/>
      <c r="B45" s="51">
        <f>TrnStat.asc!B97</f>
        <v>86</v>
      </c>
      <c r="C45" s="51">
        <f>TrnStat.asc!C97</f>
        <v>6</v>
      </c>
      <c r="D45" s="51" t="str">
        <f>TrnStat.asc!D97</f>
        <v>Rte</v>
      </c>
      <c r="E45" s="51">
        <f>TrnStat.asc!E97</f>
        <v>86</v>
      </c>
      <c r="F45" s="51" t="str">
        <f>TrnStat.asc!F97</f>
        <v>00,003</v>
      </c>
      <c r="G45" s="51" t="str">
        <f>TrnStat.asc!G97</f>
        <v>0,000</v>
      </c>
      <c r="H45" s="51" t="str">
        <f>TrnStat.asc!H97</f>
        <v>0,004</v>
      </c>
      <c r="I45" s="51" t="str">
        <f>TrnStat.asc!I97</f>
        <v>0,007</v>
      </c>
      <c r="J45" s="51" t="str">
        <f>TrnStat.asc!J97</f>
        <v>|</v>
      </c>
      <c r="K45" s="51" t="str">
        <f>TrnStat.asc!K97</f>
        <v>00,014</v>
      </c>
      <c r="M45" t="str">
        <f t="shared" si="0"/>
        <v>00014</v>
      </c>
      <c r="N45">
        <f t="shared" si="1"/>
        <v>14</v>
      </c>
    </row>
    <row r="46" spans="1:14" x14ac:dyDescent="0.25">
      <c r="A46" s="51"/>
      <c r="B46" s="51">
        <f>TrnStat.asc!B98</f>
        <v>87</v>
      </c>
      <c r="C46" s="51">
        <f>TrnStat.asc!C98</f>
        <v>7</v>
      </c>
      <c r="D46" s="51" t="str">
        <f>TrnStat.asc!D98</f>
        <v>Rte</v>
      </c>
      <c r="E46" s="51">
        <f>TrnStat.asc!E98</f>
        <v>87</v>
      </c>
      <c r="F46" s="51" t="str">
        <f>TrnStat.asc!F98</f>
        <v>00,000</v>
      </c>
      <c r="G46" s="51" t="str">
        <f>TrnStat.asc!G98</f>
        <v>0,000</v>
      </c>
      <c r="H46" s="51" t="str">
        <f>TrnStat.asc!H98</f>
        <v>0,024</v>
      </c>
      <c r="I46" s="51" t="str">
        <f>TrnStat.asc!I98</f>
        <v>0,000</v>
      </c>
      <c r="J46" s="51" t="str">
        <f>TrnStat.asc!J98</f>
        <v>|</v>
      </c>
      <c r="K46" s="51" t="str">
        <f>TrnStat.asc!K98</f>
        <v>00,024</v>
      </c>
      <c r="M46" t="str">
        <f t="shared" ref="M46" si="2">IF(ISNUMBER(K46),K46,CONCATENATE(LEFT(K46,2),RIGHT(K46,3)))</f>
        <v>00024</v>
      </c>
      <c r="N46">
        <f t="shared" ref="N46" si="3">VALUE(M46)</f>
        <v>24</v>
      </c>
    </row>
    <row r="47" spans="1:14" x14ac:dyDescent="0.25">
      <c r="A47" s="51"/>
      <c r="B47" s="51">
        <f>TrnStat.asc!B99</f>
        <v>89</v>
      </c>
      <c r="C47" s="51">
        <f>TrnStat.asc!C99</f>
        <v>6</v>
      </c>
      <c r="D47" s="51" t="str">
        <f>TrnStat.asc!D99</f>
        <v>Rte</v>
      </c>
      <c r="E47" s="51">
        <f>TrnStat.asc!E99</f>
        <v>89</v>
      </c>
      <c r="F47" s="51" t="str">
        <f>TrnStat.asc!F99</f>
        <v>00,010</v>
      </c>
      <c r="G47" s="51" t="str">
        <f>TrnStat.asc!G99</f>
        <v>0,000</v>
      </c>
      <c r="H47" s="51" t="str">
        <f>TrnStat.asc!H99</f>
        <v>0,035</v>
      </c>
      <c r="I47" s="51" t="str">
        <f>TrnStat.asc!I99</f>
        <v>0,000</v>
      </c>
      <c r="J47" s="51" t="str">
        <f>TrnStat.asc!J99</f>
        <v>|</v>
      </c>
      <c r="K47" s="51" t="str">
        <f>TrnStat.asc!K99</f>
        <v>00,045</v>
      </c>
      <c r="M47" s="51" t="str">
        <f t="shared" ref="M47" si="4">IF(ISNUMBER(K47),K47,CONCATENATE(LEFT(K47,2),RIGHT(K47,3)))</f>
        <v>00045</v>
      </c>
      <c r="N47" s="51">
        <f t="shared" ref="N47" si="5">VALUE(M47)</f>
        <v>45</v>
      </c>
    </row>
    <row r="48" spans="1:14" x14ac:dyDescent="0.25">
      <c r="A48" s="51"/>
      <c r="B48" s="51">
        <f>TrnStat.asc!B100</f>
        <v>92</v>
      </c>
      <c r="C48" s="51">
        <f>TrnStat.asc!C100</f>
        <v>7</v>
      </c>
      <c r="D48" s="51" t="str">
        <f>TrnStat.asc!D100</f>
        <v>Rte</v>
      </c>
      <c r="E48" s="51">
        <f>TrnStat.asc!E100</f>
        <v>92</v>
      </c>
      <c r="F48" s="51" t="str">
        <f>TrnStat.asc!F100</f>
        <v>00,003</v>
      </c>
      <c r="G48" s="51" t="str">
        <f>TrnStat.asc!G100</f>
        <v>0,000</v>
      </c>
      <c r="H48" s="51" t="str">
        <f>TrnStat.asc!H100</f>
        <v>0,025</v>
      </c>
      <c r="I48" s="51" t="str">
        <f>TrnStat.asc!I100</f>
        <v>0,000</v>
      </c>
      <c r="J48" s="51" t="str">
        <f>TrnStat.asc!J100</f>
        <v>|</v>
      </c>
      <c r="K48" s="51" t="str">
        <f>TrnStat.asc!K100</f>
        <v>00,028</v>
      </c>
      <c r="L48" s="51"/>
      <c r="M48" s="51" t="str">
        <f t="shared" ref="M48:M49" si="6">IF(ISNUMBER(K48),K48,CONCATENATE(LEFT(K48,2),RIGHT(K48,3)))</f>
        <v>00028</v>
      </c>
      <c r="N48" s="51">
        <f t="shared" ref="N48:N49" si="7">VALUE(M48)</f>
        <v>28</v>
      </c>
    </row>
    <row r="49" spans="2:14" x14ac:dyDescent="0.25">
      <c r="B49" s="51">
        <f>TrnStat.asc!B101</f>
        <v>93</v>
      </c>
      <c r="C49" s="51">
        <f>TrnStat.asc!C101</f>
        <v>11</v>
      </c>
      <c r="D49" s="51" t="str">
        <f>TrnStat.asc!D101</f>
        <v>Rte</v>
      </c>
      <c r="E49" s="51">
        <f>TrnStat.asc!E101</f>
        <v>93</v>
      </c>
      <c r="F49" s="51" t="str">
        <f>TrnStat.asc!F101</f>
        <v>00,242</v>
      </c>
      <c r="G49" s="51" t="str">
        <f>TrnStat.asc!G101</f>
        <v>0,000</v>
      </c>
      <c r="H49" s="51" t="str">
        <f>TrnStat.asc!H101</f>
        <v>0,518</v>
      </c>
      <c r="I49" s="51" t="str">
        <f>TrnStat.asc!I101</f>
        <v>0,000</v>
      </c>
      <c r="J49" s="51" t="str">
        <f>TrnStat.asc!J101</f>
        <v>|</v>
      </c>
      <c r="K49" s="51" t="str">
        <f>TrnStat.asc!K101</f>
        <v>00,759</v>
      </c>
      <c r="L49" s="51"/>
      <c r="M49" s="51" t="str">
        <f t="shared" si="6"/>
        <v>00759</v>
      </c>
      <c r="N49" s="51">
        <f t="shared" si="7"/>
        <v>759</v>
      </c>
    </row>
    <row r="50" spans="2:14" x14ac:dyDescent="0.25">
      <c r="B50" s="51">
        <f>TrnStat.asc!B102</f>
        <v>96</v>
      </c>
      <c r="C50" s="51">
        <f>TrnStat.asc!C102</f>
        <v>6</v>
      </c>
      <c r="D50" s="51" t="str">
        <f>TrnStat.asc!D102</f>
        <v>Rte</v>
      </c>
      <c r="E50" s="51">
        <f>TrnStat.asc!E102</f>
        <v>96</v>
      </c>
      <c r="F50" s="51" t="str">
        <f>TrnStat.asc!F102</f>
        <v>00,052</v>
      </c>
      <c r="G50" s="51" t="str">
        <f>TrnStat.asc!G102</f>
        <v>0,028</v>
      </c>
      <c r="H50" s="51" t="str">
        <f>TrnStat.asc!H102</f>
        <v>0,079</v>
      </c>
      <c r="I50" s="51" t="str">
        <f>TrnStat.asc!I102</f>
        <v>0,000</v>
      </c>
      <c r="J50" s="51" t="str">
        <f>TrnStat.asc!J102</f>
        <v>|</v>
      </c>
      <c r="K50" s="51" t="str">
        <f>TrnStat.asc!K102</f>
        <v>00,159</v>
      </c>
      <c r="L50" s="51"/>
      <c r="M50" s="51" t="str">
        <f t="shared" ref="M50" si="8">IF(ISNUMBER(K50),K50,CONCATENATE(LEFT(K50,2),RIGHT(K50,3)))</f>
        <v>00159</v>
      </c>
      <c r="N50" s="51">
        <f t="shared" ref="N50" si="9">VALUE(M50)</f>
        <v>159</v>
      </c>
    </row>
    <row r="51" spans="2:14" x14ac:dyDescent="0.25">
      <c r="B51" s="51">
        <f>TrnStat.asc!B103</f>
        <v>301</v>
      </c>
      <c r="C51" s="51">
        <f>TrnStat.asc!C103</f>
        <v>12</v>
      </c>
      <c r="D51" s="51" t="str">
        <f>TrnStat.asc!D103</f>
        <v>Rte</v>
      </c>
      <c r="E51" s="51">
        <f>TrnStat.asc!E103</f>
        <v>301</v>
      </c>
      <c r="F51" s="51" t="str">
        <f>TrnStat.asc!F103</f>
        <v>00,297</v>
      </c>
      <c r="G51" s="51" t="str">
        <f>TrnStat.asc!G103</f>
        <v>0,000</v>
      </c>
      <c r="H51" s="51" t="str">
        <f>TrnStat.asc!H103</f>
        <v>0,203</v>
      </c>
      <c r="I51" s="51" t="str">
        <f>TrnStat.asc!I103</f>
        <v>0,000</v>
      </c>
      <c r="J51" s="51" t="str">
        <f>TrnStat.asc!J103</f>
        <v>|</v>
      </c>
      <c r="K51" s="51" t="str">
        <f>TrnStat.asc!K103</f>
        <v>00,500</v>
      </c>
      <c r="L51" s="51"/>
      <c r="M51" s="51" t="str">
        <f t="shared" ref="M51" si="10">IF(ISNUMBER(K51),K51,CONCATENATE(LEFT(K51,2),RIGHT(K51,3)))</f>
        <v>00500</v>
      </c>
      <c r="N51" s="51">
        <f t="shared" ref="N51" si="11">VALUE(M51)</f>
        <v>500</v>
      </c>
    </row>
    <row r="52" spans="2:14" x14ac:dyDescent="0.25">
      <c r="B52" s="51">
        <f>TrnStat.asc!B104</f>
        <v>0</v>
      </c>
      <c r="C52" s="51">
        <f>TrnStat.asc!C104</f>
        <v>0</v>
      </c>
      <c r="D52" s="51">
        <f>TrnStat.asc!D104</f>
        <v>0</v>
      </c>
      <c r="E52" s="51">
        <f>TrnStat.asc!E104</f>
        <v>0</v>
      </c>
      <c r="F52" s="51">
        <f>TrnStat.asc!F104</f>
        <v>0</v>
      </c>
      <c r="G52" s="51">
        <f>TrnStat.asc!G104</f>
        <v>0</v>
      </c>
      <c r="H52" s="51">
        <f>TrnStat.asc!H104</f>
        <v>0</v>
      </c>
      <c r="I52" s="51">
        <f>TrnStat.asc!I104</f>
        <v>0</v>
      </c>
      <c r="J52" s="51">
        <f>TrnStat.asc!J104</f>
        <v>0</v>
      </c>
      <c r="K52" s="51">
        <f>TrnStat.asc!K104</f>
        <v>0</v>
      </c>
      <c r="L52" s="51"/>
      <c r="M52" s="51">
        <f t="shared" ref="M52" si="12">IF(ISNUMBER(K52),K52,CONCATENATE(LEFT(K52,2),RIGHT(K52,3)))</f>
        <v>0</v>
      </c>
      <c r="N52" s="51">
        <f t="shared" ref="N52" si="13">VALUE(M52)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U257"/>
  <sheetViews>
    <sheetView workbookViewId="0">
      <selection sqref="A1:DU256"/>
    </sheetView>
  </sheetViews>
  <sheetFormatPr defaultRowHeight="15" x14ac:dyDescent="0.25"/>
  <sheetData>
    <row r="2" spans="1:25" x14ac:dyDescent="0.25">
      <c r="B2" t="s">
        <v>119</v>
      </c>
      <c r="C2" t="s">
        <v>120</v>
      </c>
      <c r="D2" t="s">
        <v>845</v>
      </c>
      <c r="E2" t="s">
        <v>846</v>
      </c>
      <c r="F2">
        <v>1</v>
      </c>
      <c r="G2">
        <v>2020</v>
      </c>
      <c r="H2" t="s">
        <v>847</v>
      </c>
    </row>
    <row r="3" spans="1:25" x14ac:dyDescent="0.25">
      <c r="B3" t="s">
        <v>121</v>
      </c>
      <c r="C3" t="s">
        <v>122</v>
      </c>
      <c r="D3" t="s">
        <v>123</v>
      </c>
      <c r="E3" t="s">
        <v>124</v>
      </c>
    </row>
    <row r="5" spans="1:25" x14ac:dyDescent="0.25">
      <c r="B5" t="s">
        <v>125</v>
      </c>
    </row>
    <row r="9" spans="1:25" x14ac:dyDescent="0.25">
      <c r="A9" t="s">
        <v>126</v>
      </c>
      <c r="B9" t="s">
        <v>127</v>
      </c>
      <c r="C9" t="s">
        <v>128</v>
      </c>
      <c r="D9" t="s">
        <v>129</v>
      </c>
      <c r="E9" t="s">
        <v>130</v>
      </c>
      <c r="F9" t="s">
        <v>131</v>
      </c>
      <c r="G9" t="s">
        <v>132</v>
      </c>
      <c r="H9" t="s">
        <v>133</v>
      </c>
      <c r="I9" t="s">
        <v>134</v>
      </c>
    </row>
    <row r="10" spans="1:25" x14ac:dyDescent="0.25">
      <c r="A10" t="s">
        <v>114</v>
      </c>
    </row>
    <row r="11" spans="1:25" x14ac:dyDescent="0.25">
      <c r="B11" t="s">
        <v>135</v>
      </c>
      <c r="C11" t="s">
        <v>136</v>
      </c>
      <c r="D11" t="s">
        <v>137</v>
      </c>
      <c r="E11">
        <v>2</v>
      </c>
      <c r="F11" t="s">
        <v>137</v>
      </c>
      <c r="G11" t="s">
        <v>138</v>
      </c>
      <c r="H11" t="s">
        <v>139</v>
      </c>
      <c r="I11" t="s">
        <v>140</v>
      </c>
      <c r="J11" t="s">
        <v>141</v>
      </c>
      <c r="K11" t="s">
        <v>142</v>
      </c>
      <c r="L11" t="s">
        <v>143</v>
      </c>
      <c r="M11" t="s">
        <v>144</v>
      </c>
      <c r="N11" t="s">
        <v>145</v>
      </c>
      <c r="O11" t="s">
        <v>146</v>
      </c>
      <c r="P11" t="s">
        <v>147</v>
      </c>
      <c r="Q11" t="s">
        <v>148</v>
      </c>
      <c r="R11" t="s">
        <v>149</v>
      </c>
      <c r="S11" t="s">
        <v>150</v>
      </c>
      <c r="T11" t="s">
        <v>151</v>
      </c>
      <c r="U11" t="s">
        <v>152</v>
      </c>
      <c r="V11" t="s">
        <v>153</v>
      </c>
      <c r="W11" t="s">
        <v>97</v>
      </c>
      <c r="X11" t="s">
        <v>4</v>
      </c>
      <c r="Y11" t="s">
        <v>154</v>
      </c>
    </row>
    <row r="12" spans="1:25" x14ac:dyDescent="0.25">
      <c r="A12" t="s">
        <v>114</v>
      </c>
    </row>
    <row r="13" spans="1:25" x14ac:dyDescent="0.25">
      <c r="B13" t="s">
        <v>99</v>
      </c>
      <c r="C13" t="s">
        <v>155</v>
      </c>
      <c r="D13" t="s">
        <v>155</v>
      </c>
      <c r="E13" t="s">
        <v>155</v>
      </c>
      <c r="F13" s="52">
        <v>3574</v>
      </c>
      <c r="G13" t="s">
        <v>848</v>
      </c>
      <c r="H13" s="52" t="s">
        <v>849</v>
      </c>
      <c r="I13" t="s">
        <v>33</v>
      </c>
      <c r="J13" t="s">
        <v>850</v>
      </c>
      <c r="K13" s="52" t="s">
        <v>829</v>
      </c>
      <c r="L13" t="s">
        <v>831</v>
      </c>
      <c r="M13" s="52" t="s">
        <v>851</v>
      </c>
      <c r="N13" t="s">
        <v>33</v>
      </c>
      <c r="O13" t="s">
        <v>852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97</v>
      </c>
      <c r="V13" t="s">
        <v>155</v>
      </c>
    </row>
    <row r="14" spans="1:25" x14ac:dyDescent="0.25">
      <c r="B14" t="s">
        <v>100</v>
      </c>
      <c r="C14" t="s">
        <v>155</v>
      </c>
      <c r="D14" t="s">
        <v>155</v>
      </c>
      <c r="E14" t="s">
        <v>155</v>
      </c>
      <c r="F14" s="52">
        <v>5471</v>
      </c>
      <c r="G14" s="52" t="s">
        <v>853</v>
      </c>
      <c r="H14" t="s">
        <v>854</v>
      </c>
      <c r="I14" t="s">
        <v>33</v>
      </c>
      <c r="J14" t="s">
        <v>33</v>
      </c>
      <c r="K14" s="52" t="s">
        <v>855</v>
      </c>
      <c r="L14" t="s">
        <v>856</v>
      </c>
      <c r="M14" t="s">
        <v>857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97</v>
      </c>
      <c r="V14" t="s">
        <v>155</v>
      </c>
    </row>
    <row r="15" spans="1:25" x14ac:dyDescent="0.25">
      <c r="B15" t="s">
        <v>101</v>
      </c>
      <c r="C15" t="s">
        <v>155</v>
      </c>
      <c r="D15" t="s">
        <v>155</v>
      </c>
      <c r="E15" t="s">
        <v>155</v>
      </c>
      <c r="F15" s="52">
        <v>5282</v>
      </c>
      <c r="G15" s="52" t="s">
        <v>858</v>
      </c>
      <c r="H15" s="52" t="s">
        <v>859</v>
      </c>
      <c r="I15" t="s">
        <v>33</v>
      </c>
      <c r="J15" s="52" t="s">
        <v>860</v>
      </c>
      <c r="K15" s="52" t="s">
        <v>861</v>
      </c>
      <c r="L15" t="s">
        <v>862</v>
      </c>
      <c r="M15" s="52" t="s">
        <v>863</v>
      </c>
      <c r="N15" t="s">
        <v>33</v>
      </c>
      <c r="O15" t="s">
        <v>864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97</v>
      </c>
      <c r="V15" t="s">
        <v>155</v>
      </c>
    </row>
    <row r="16" spans="1:25" x14ac:dyDescent="0.25">
      <c r="B16" t="s">
        <v>156</v>
      </c>
      <c r="C16" t="s">
        <v>155</v>
      </c>
      <c r="D16" t="s">
        <v>155</v>
      </c>
      <c r="E16" t="s">
        <v>155</v>
      </c>
      <c r="F16" s="52">
        <v>1373</v>
      </c>
      <c r="G16" t="s">
        <v>833</v>
      </c>
      <c r="H16" t="s">
        <v>865</v>
      </c>
      <c r="I16" t="s">
        <v>33</v>
      </c>
      <c r="J16" t="s">
        <v>33</v>
      </c>
      <c r="K16" t="s">
        <v>866</v>
      </c>
      <c r="L16" t="s">
        <v>867</v>
      </c>
      <c r="M16" t="s">
        <v>868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97</v>
      </c>
      <c r="V16" t="s">
        <v>155</v>
      </c>
    </row>
    <row r="17" spans="1:21" x14ac:dyDescent="0.25">
      <c r="A17" t="s">
        <v>114</v>
      </c>
    </row>
    <row r="18" spans="1:21" x14ac:dyDescent="0.25">
      <c r="A18" t="s">
        <v>96</v>
      </c>
      <c r="B18" t="s">
        <v>155</v>
      </c>
      <c r="C18" t="s">
        <v>155</v>
      </c>
      <c r="D18" t="s">
        <v>155</v>
      </c>
      <c r="E18" s="52">
        <v>15700</v>
      </c>
      <c r="F18" s="52">
        <v>1906</v>
      </c>
      <c r="G18" s="52">
        <v>1068</v>
      </c>
      <c r="H18" t="s">
        <v>33</v>
      </c>
      <c r="I18" s="52" t="s">
        <v>869</v>
      </c>
      <c r="J18" s="52">
        <v>1874</v>
      </c>
      <c r="K18" s="52" t="s">
        <v>870</v>
      </c>
      <c r="L18" s="52">
        <v>1246</v>
      </c>
      <c r="M18" t="s">
        <v>33</v>
      </c>
      <c r="N18" t="s">
        <v>871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97</v>
      </c>
      <c r="U18" t="s">
        <v>155</v>
      </c>
    </row>
    <row r="22" spans="1:21" x14ac:dyDescent="0.25">
      <c r="A22" t="s">
        <v>157</v>
      </c>
      <c r="B22" t="s">
        <v>158</v>
      </c>
      <c r="C22" t="s">
        <v>127</v>
      </c>
      <c r="D22" t="s">
        <v>130</v>
      </c>
      <c r="E22" t="s">
        <v>159</v>
      </c>
      <c r="F22" t="s">
        <v>160</v>
      </c>
      <c r="G22" t="s">
        <v>134</v>
      </c>
    </row>
    <row r="23" spans="1:21" x14ac:dyDescent="0.25">
      <c r="A23" t="s">
        <v>115</v>
      </c>
    </row>
    <row r="24" spans="1:21" x14ac:dyDescent="0.25">
      <c r="B24" t="s">
        <v>36</v>
      </c>
      <c r="C24" t="s">
        <v>36</v>
      </c>
      <c r="D24" t="s">
        <v>161</v>
      </c>
      <c r="E24" t="s">
        <v>503</v>
      </c>
      <c r="F24" t="s">
        <v>502</v>
      </c>
      <c r="G24" t="s">
        <v>99</v>
      </c>
      <c r="H24" t="s">
        <v>100</v>
      </c>
      <c r="I24" t="s">
        <v>101</v>
      </c>
      <c r="J24" t="s">
        <v>156</v>
      </c>
      <c r="K24" t="s">
        <v>97</v>
      </c>
      <c r="L24" t="s">
        <v>4</v>
      </c>
    </row>
    <row r="25" spans="1:21" x14ac:dyDescent="0.25">
      <c r="A25" t="s">
        <v>115</v>
      </c>
    </row>
    <row r="26" spans="1:21" x14ac:dyDescent="0.25">
      <c r="B26">
        <v>1</v>
      </c>
      <c r="C26" t="s">
        <v>162</v>
      </c>
      <c r="D26">
        <v>2</v>
      </c>
      <c r="E26" s="52">
        <v>7776</v>
      </c>
      <c r="F26" s="52">
        <v>9026</v>
      </c>
      <c r="G26" s="52">
        <v>10793</v>
      </c>
      <c r="H26" s="52">
        <v>2048</v>
      </c>
      <c r="I26" t="s">
        <v>97</v>
      </c>
      <c r="J26" s="52">
        <v>29646</v>
      </c>
    </row>
    <row r="27" spans="1:21" x14ac:dyDescent="0.25">
      <c r="B27">
        <v>6</v>
      </c>
      <c r="C27" t="s">
        <v>163</v>
      </c>
      <c r="D27" t="s">
        <v>164</v>
      </c>
      <c r="E27">
        <v>1</v>
      </c>
      <c r="F27" s="52" t="s">
        <v>872</v>
      </c>
      <c r="G27" t="s">
        <v>873</v>
      </c>
      <c r="H27" s="52" t="s">
        <v>874</v>
      </c>
      <c r="I27" t="s">
        <v>868</v>
      </c>
      <c r="J27" t="s">
        <v>97</v>
      </c>
      <c r="K27" s="52">
        <v>1380</v>
      </c>
    </row>
    <row r="28" spans="1:21" x14ac:dyDescent="0.25">
      <c r="B28">
        <v>7</v>
      </c>
      <c r="C28" t="s">
        <v>165</v>
      </c>
      <c r="D28" t="s">
        <v>164</v>
      </c>
      <c r="E28">
        <v>1</v>
      </c>
      <c r="F28" t="s">
        <v>875</v>
      </c>
      <c r="G28" t="s">
        <v>876</v>
      </c>
      <c r="H28" t="s">
        <v>830</v>
      </c>
      <c r="I28" t="s">
        <v>33</v>
      </c>
      <c r="J28" t="s">
        <v>97</v>
      </c>
      <c r="K28" t="s">
        <v>877</v>
      </c>
      <c r="N28" s="51"/>
    </row>
    <row r="29" spans="1:21" x14ac:dyDescent="0.25">
      <c r="B29">
        <v>8</v>
      </c>
      <c r="C29" t="s">
        <v>166</v>
      </c>
      <c r="D29" t="s">
        <v>6</v>
      </c>
      <c r="E29">
        <v>1.5</v>
      </c>
      <c r="F29" s="52" t="s">
        <v>878</v>
      </c>
      <c r="G29" s="52" t="s">
        <v>879</v>
      </c>
      <c r="H29" s="52" t="s">
        <v>880</v>
      </c>
      <c r="I29" t="s">
        <v>881</v>
      </c>
      <c r="J29" t="s">
        <v>97</v>
      </c>
      <c r="K29" s="52">
        <v>2716</v>
      </c>
      <c r="N29" s="51"/>
    </row>
    <row r="30" spans="1:21" x14ac:dyDescent="0.25">
      <c r="B30">
        <v>11</v>
      </c>
      <c r="C30" t="s">
        <v>167</v>
      </c>
      <c r="D30">
        <v>2</v>
      </c>
      <c r="E30" t="s">
        <v>882</v>
      </c>
      <c r="F30" t="s">
        <v>33</v>
      </c>
      <c r="G30" t="s">
        <v>883</v>
      </c>
      <c r="H30" t="s">
        <v>33</v>
      </c>
      <c r="I30" t="s">
        <v>97</v>
      </c>
      <c r="J30" t="s">
        <v>884</v>
      </c>
    </row>
    <row r="31" spans="1:21" x14ac:dyDescent="0.25">
      <c r="B31">
        <v>12</v>
      </c>
      <c r="C31" t="s">
        <v>168</v>
      </c>
      <c r="D31">
        <v>0.5</v>
      </c>
      <c r="E31" t="s">
        <v>864</v>
      </c>
      <c r="F31" t="s">
        <v>33</v>
      </c>
      <c r="G31" t="s">
        <v>885</v>
      </c>
      <c r="H31" t="s">
        <v>33</v>
      </c>
      <c r="I31" t="s">
        <v>97</v>
      </c>
      <c r="J31" s="52" t="s">
        <v>863</v>
      </c>
    </row>
    <row r="32" spans="1:21" x14ac:dyDescent="0.25">
      <c r="A32" t="s">
        <v>116</v>
      </c>
    </row>
    <row r="33" spans="1:8" x14ac:dyDescent="0.25">
      <c r="B33" t="s">
        <v>96</v>
      </c>
      <c r="C33" s="52">
        <v>9649</v>
      </c>
      <c r="D33" s="52">
        <v>9930</v>
      </c>
      <c r="E33" s="52">
        <v>13208</v>
      </c>
      <c r="F33" s="52">
        <v>2368</v>
      </c>
      <c r="G33" t="s">
        <v>97</v>
      </c>
      <c r="H33" s="52">
        <v>35163</v>
      </c>
    </row>
    <row r="37" spans="1:8" x14ac:dyDescent="0.25">
      <c r="A37" t="s">
        <v>169</v>
      </c>
      <c r="B37" t="s">
        <v>170</v>
      </c>
      <c r="C37" t="s">
        <v>127</v>
      </c>
      <c r="D37" t="s">
        <v>128</v>
      </c>
    </row>
    <row r="38" spans="1:8" x14ac:dyDescent="0.25">
      <c r="A38" t="s">
        <v>117</v>
      </c>
    </row>
    <row r="39" spans="1:8" x14ac:dyDescent="0.25">
      <c r="B39" t="s">
        <v>171</v>
      </c>
      <c r="C39" t="s">
        <v>172</v>
      </c>
      <c r="D39" t="s">
        <v>173</v>
      </c>
    </row>
    <row r="40" spans="1:8" x14ac:dyDescent="0.25">
      <c r="A40" t="s">
        <v>117</v>
      </c>
    </row>
    <row r="41" spans="1:8" x14ac:dyDescent="0.25">
      <c r="B41" t="s">
        <v>99</v>
      </c>
      <c r="C41" s="52">
        <v>3320</v>
      </c>
      <c r="D41" s="2">
        <v>-0.52449999999999997</v>
      </c>
    </row>
    <row r="42" spans="1:8" x14ac:dyDescent="0.25">
      <c r="B42" t="s">
        <v>100</v>
      </c>
      <c r="C42" s="52">
        <v>2995</v>
      </c>
      <c r="D42" s="2">
        <v>-0.43190000000000001</v>
      </c>
    </row>
    <row r="43" spans="1:8" x14ac:dyDescent="0.25">
      <c r="B43" t="s">
        <v>101</v>
      </c>
      <c r="C43" s="52">
        <v>4586</v>
      </c>
      <c r="D43" s="2">
        <v>-0.53190000000000004</v>
      </c>
    </row>
    <row r="44" spans="1:8" x14ac:dyDescent="0.25">
      <c r="B44" t="s">
        <v>156</v>
      </c>
      <c r="C44" t="s">
        <v>886</v>
      </c>
      <c r="D44" s="2">
        <v>-0.27679999999999999</v>
      </c>
    </row>
    <row r="45" spans="1:8" x14ac:dyDescent="0.25">
      <c r="A45" t="s">
        <v>117</v>
      </c>
    </row>
    <row r="46" spans="1:8" x14ac:dyDescent="0.25">
      <c r="B46" t="s">
        <v>96</v>
      </c>
      <c r="C46" s="52">
        <v>11422</v>
      </c>
      <c r="D46" s="2">
        <v>-0.48110000000000003</v>
      </c>
    </row>
    <row r="50" spans="1:11" x14ac:dyDescent="0.25">
      <c r="A50" t="s">
        <v>157</v>
      </c>
      <c r="B50" t="s">
        <v>158</v>
      </c>
      <c r="C50" t="s">
        <v>127</v>
      </c>
      <c r="D50" t="s">
        <v>174</v>
      </c>
      <c r="E50" t="s">
        <v>159</v>
      </c>
      <c r="F50" t="s">
        <v>160</v>
      </c>
      <c r="G50" t="s">
        <v>134</v>
      </c>
    </row>
    <row r="51" spans="1:11" x14ac:dyDescent="0.25">
      <c r="A51" t="s">
        <v>111</v>
      </c>
    </row>
    <row r="52" spans="1:11" x14ac:dyDescent="0.25">
      <c r="B52" t="s">
        <v>35</v>
      </c>
      <c r="C52" t="s">
        <v>36</v>
      </c>
      <c r="D52" t="s">
        <v>35</v>
      </c>
      <c r="E52" t="s">
        <v>161</v>
      </c>
      <c r="F52" t="s">
        <v>99</v>
      </c>
      <c r="G52" t="s">
        <v>100</v>
      </c>
      <c r="H52" t="s">
        <v>101</v>
      </c>
      <c r="I52" t="s">
        <v>156</v>
      </c>
      <c r="J52" t="s">
        <v>97</v>
      </c>
      <c r="K52" t="s">
        <v>4</v>
      </c>
    </row>
    <row r="53" spans="1:11" x14ac:dyDescent="0.25">
      <c r="A53" t="s">
        <v>111</v>
      </c>
    </row>
    <row r="54" spans="1:11" x14ac:dyDescent="0.25">
      <c r="B54">
        <v>1</v>
      </c>
      <c r="C54">
        <v>1</v>
      </c>
      <c r="D54" t="s">
        <v>175</v>
      </c>
      <c r="E54">
        <v>1</v>
      </c>
      <c r="F54" t="s">
        <v>887</v>
      </c>
      <c r="G54" t="s">
        <v>32</v>
      </c>
      <c r="H54" t="s">
        <v>816</v>
      </c>
      <c r="I54" t="s">
        <v>32</v>
      </c>
      <c r="J54" t="s">
        <v>97</v>
      </c>
      <c r="K54" t="s">
        <v>885</v>
      </c>
    </row>
    <row r="55" spans="1:11" x14ac:dyDescent="0.25">
      <c r="B55">
        <v>2</v>
      </c>
      <c r="C55">
        <v>1</v>
      </c>
      <c r="D55" t="s">
        <v>175</v>
      </c>
      <c r="E55">
        <v>2</v>
      </c>
      <c r="F55" t="s">
        <v>888</v>
      </c>
      <c r="G55" t="s">
        <v>889</v>
      </c>
      <c r="H55" t="s">
        <v>810</v>
      </c>
      <c r="I55" t="s">
        <v>32</v>
      </c>
      <c r="J55" t="s">
        <v>97</v>
      </c>
      <c r="K55" t="s">
        <v>890</v>
      </c>
    </row>
    <row r="56" spans="1:11" x14ac:dyDescent="0.25">
      <c r="B56">
        <v>3</v>
      </c>
      <c r="C56">
        <v>1</v>
      </c>
      <c r="D56" t="s">
        <v>175</v>
      </c>
      <c r="E56">
        <v>3</v>
      </c>
      <c r="F56" s="52" t="s">
        <v>891</v>
      </c>
      <c r="G56" s="52" t="s">
        <v>892</v>
      </c>
      <c r="H56" s="52" t="s">
        <v>893</v>
      </c>
      <c r="I56" t="s">
        <v>894</v>
      </c>
      <c r="J56" t="s">
        <v>97</v>
      </c>
      <c r="K56" s="52">
        <v>2227</v>
      </c>
    </row>
    <row r="57" spans="1:11" x14ac:dyDescent="0.25">
      <c r="B57">
        <v>4</v>
      </c>
      <c r="C57">
        <v>1</v>
      </c>
      <c r="D57" t="s">
        <v>175</v>
      </c>
      <c r="E57">
        <v>4</v>
      </c>
      <c r="F57" t="s">
        <v>837</v>
      </c>
      <c r="G57" t="s">
        <v>895</v>
      </c>
      <c r="H57" t="s">
        <v>811</v>
      </c>
      <c r="I57" t="s">
        <v>896</v>
      </c>
      <c r="J57" t="s">
        <v>97</v>
      </c>
      <c r="K57" s="52">
        <v>1112</v>
      </c>
    </row>
    <row r="58" spans="1:11" x14ac:dyDescent="0.25">
      <c r="B58">
        <v>5</v>
      </c>
      <c r="C58">
        <v>1</v>
      </c>
      <c r="D58" t="s">
        <v>175</v>
      </c>
      <c r="E58">
        <v>5</v>
      </c>
      <c r="F58" s="52" t="s">
        <v>897</v>
      </c>
      <c r="G58" t="s">
        <v>898</v>
      </c>
      <c r="H58" s="52" t="s">
        <v>899</v>
      </c>
      <c r="I58" t="s">
        <v>32</v>
      </c>
      <c r="J58" t="s">
        <v>97</v>
      </c>
      <c r="K58" s="52">
        <v>2356</v>
      </c>
    </row>
    <row r="59" spans="1:11" x14ac:dyDescent="0.25">
      <c r="B59">
        <v>6</v>
      </c>
      <c r="C59">
        <v>1</v>
      </c>
      <c r="D59" t="s">
        <v>175</v>
      </c>
      <c r="E59">
        <v>6</v>
      </c>
      <c r="F59" t="s">
        <v>900</v>
      </c>
      <c r="G59" s="52" t="s">
        <v>901</v>
      </c>
      <c r="H59" t="s">
        <v>902</v>
      </c>
      <c r="I59" t="s">
        <v>32</v>
      </c>
      <c r="J59" t="s">
        <v>97</v>
      </c>
      <c r="K59" s="52" t="s">
        <v>903</v>
      </c>
    </row>
    <row r="60" spans="1:11" x14ac:dyDescent="0.25">
      <c r="B60">
        <v>7</v>
      </c>
      <c r="C60">
        <v>1</v>
      </c>
      <c r="D60" t="s">
        <v>175</v>
      </c>
      <c r="E60">
        <v>7</v>
      </c>
      <c r="F60" t="s">
        <v>904</v>
      </c>
      <c r="G60" t="s">
        <v>905</v>
      </c>
      <c r="H60" t="s">
        <v>906</v>
      </c>
      <c r="I60" t="s">
        <v>894</v>
      </c>
      <c r="J60" t="s">
        <v>97</v>
      </c>
      <c r="K60" s="52">
        <v>1574</v>
      </c>
    </row>
    <row r="61" spans="1:11" x14ac:dyDescent="0.25">
      <c r="B61">
        <v>8</v>
      </c>
      <c r="C61">
        <v>1</v>
      </c>
      <c r="D61" t="s">
        <v>175</v>
      </c>
      <c r="E61">
        <v>8</v>
      </c>
      <c r="F61" t="s">
        <v>841</v>
      </c>
      <c r="G61" t="s">
        <v>907</v>
      </c>
      <c r="H61" t="s">
        <v>908</v>
      </c>
      <c r="I61" t="s">
        <v>909</v>
      </c>
      <c r="J61" t="s">
        <v>97</v>
      </c>
      <c r="K61" t="s">
        <v>910</v>
      </c>
    </row>
    <row r="62" spans="1:11" x14ac:dyDescent="0.25">
      <c r="B62">
        <v>9</v>
      </c>
      <c r="C62">
        <v>1</v>
      </c>
      <c r="D62" t="s">
        <v>175</v>
      </c>
      <c r="E62">
        <v>9</v>
      </c>
      <c r="F62" t="s">
        <v>842</v>
      </c>
      <c r="G62" t="s">
        <v>835</v>
      </c>
      <c r="H62" t="s">
        <v>911</v>
      </c>
      <c r="I62" t="s">
        <v>32</v>
      </c>
      <c r="J62" t="s">
        <v>97</v>
      </c>
      <c r="K62" s="52" t="s">
        <v>912</v>
      </c>
    </row>
    <row r="63" spans="1:11" x14ac:dyDescent="0.25">
      <c r="B63">
        <v>10</v>
      </c>
      <c r="C63">
        <v>1</v>
      </c>
      <c r="D63" t="s">
        <v>175</v>
      </c>
      <c r="E63">
        <v>10</v>
      </c>
      <c r="F63" t="s">
        <v>913</v>
      </c>
      <c r="G63" t="s">
        <v>914</v>
      </c>
      <c r="H63" t="s">
        <v>905</v>
      </c>
      <c r="I63" t="s">
        <v>838</v>
      </c>
      <c r="J63" t="s">
        <v>97</v>
      </c>
      <c r="K63" s="52">
        <v>2233</v>
      </c>
    </row>
    <row r="64" spans="1:11" x14ac:dyDescent="0.25">
      <c r="B64">
        <v>14</v>
      </c>
      <c r="C64">
        <v>1</v>
      </c>
      <c r="D64" t="s">
        <v>175</v>
      </c>
      <c r="E64">
        <v>14</v>
      </c>
      <c r="F64" t="s">
        <v>814</v>
      </c>
      <c r="G64" t="s">
        <v>915</v>
      </c>
      <c r="H64" t="s">
        <v>916</v>
      </c>
      <c r="I64" t="s">
        <v>917</v>
      </c>
      <c r="J64" t="s">
        <v>97</v>
      </c>
      <c r="K64" t="s">
        <v>832</v>
      </c>
    </row>
    <row r="65" spans="2:11" x14ac:dyDescent="0.25">
      <c r="B65">
        <v>15</v>
      </c>
      <c r="C65">
        <v>1</v>
      </c>
      <c r="D65" t="s">
        <v>175</v>
      </c>
      <c r="E65">
        <v>15</v>
      </c>
      <c r="F65" s="52" t="s">
        <v>918</v>
      </c>
      <c r="G65" s="52">
        <v>1125</v>
      </c>
      <c r="H65" s="52">
        <v>1294</v>
      </c>
      <c r="I65" t="s">
        <v>919</v>
      </c>
      <c r="J65" t="s">
        <v>97</v>
      </c>
      <c r="K65" s="52">
        <v>3467</v>
      </c>
    </row>
    <row r="66" spans="2:11" x14ac:dyDescent="0.25">
      <c r="B66">
        <v>17</v>
      </c>
      <c r="C66">
        <v>1</v>
      </c>
      <c r="D66" t="s">
        <v>175</v>
      </c>
      <c r="E66">
        <v>17</v>
      </c>
      <c r="F66" t="s">
        <v>920</v>
      </c>
      <c r="G66" t="s">
        <v>921</v>
      </c>
      <c r="H66" t="s">
        <v>922</v>
      </c>
      <c r="I66" t="s">
        <v>923</v>
      </c>
      <c r="J66" t="s">
        <v>97</v>
      </c>
      <c r="K66" s="52">
        <v>1050</v>
      </c>
    </row>
    <row r="67" spans="2:11" x14ac:dyDescent="0.25">
      <c r="B67">
        <v>18</v>
      </c>
      <c r="C67">
        <v>1</v>
      </c>
      <c r="D67" t="s">
        <v>175</v>
      </c>
      <c r="E67">
        <v>18</v>
      </c>
      <c r="F67" t="s">
        <v>924</v>
      </c>
      <c r="G67" t="s">
        <v>843</v>
      </c>
      <c r="H67" t="s">
        <v>925</v>
      </c>
      <c r="I67" t="s">
        <v>826</v>
      </c>
      <c r="J67" t="s">
        <v>97</v>
      </c>
      <c r="K67" t="s">
        <v>926</v>
      </c>
    </row>
    <row r="68" spans="2:11" x14ac:dyDescent="0.25">
      <c r="B68">
        <v>19</v>
      </c>
      <c r="C68">
        <v>1</v>
      </c>
      <c r="D68" t="s">
        <v>175</v>
      </c>
      <c r="E68">
        <v>19</v>
      </c>
      <c r="F68" t="s">
        <v>927</v>
      </c>
      <c r="G68" t="s">
        <v>928</v>
      </c>
      <c r="H68" t="s">
        <v>929</v>
      </c>
      <c r="I68" t="s">
        <v>824</v>
      </c>
      <c r="J68" t="s">
        <v>97</v>
      </c>
      <c r="K68" s="52" t="s">
        <v>930</v>
      </c>
    </row>
    <row r="69" spans="2:11" x14ac:dyDescent="0.25">
      <c r="B69">
        <v>20</v>
      </c>
      <c r="C69">
        <v>1</v>
      </c>
      <c r="D69" t="s">
        <v>175</v>
      </c>
      <c r="E69">
        <v>20</v>
      </c>
      <c r="F69" t="s">
        <v>931</v>
      </c>
      <c r="G69" t="s">
        <v>932</v>
      </c>
      <c r="H69" t="s">
        <v>933</v>
      </c>
      <c r="I69" t="s">
        <v>32</v>
      </c>
      <c r="J69" t="s">
        <v>97</v>
      </c>
      <c r="K69" t="s">
        <v>934</v>
      </c>
    </row>
    <row r="70" spans="2:11" x14ac:dyDescent="0.25">
      <c r="B70">
        <v>21</v>
      </c>
      <c r="C70">
        <v>1</v>
      </c>
      <c r="D70" t="s">
        <v>175</v>
      </c>
      <c r="E70">
        <v>21</v>
      </c>
      <c r="F70" t="s">
        <v>935</v>
      </c>
      <c r="G70" t="s">
        <v>936</v>
      </c>
      <c r="H70" t="s">
        <v>937</v>
      </c>
      <c r="I70" t="s">
        <v>775</v>
      </c>
      <c r="J70" t="s">
        <v>97</v>
      </c>
      <c r="K70" s="52" t="s">
        <v>938</v>
      </c>
    </row>
    <row r="71" spans="2:11" x14ac:dyDescent="0.25">
      <c r="B71">
        <v>22</v>
      </c>
      <c r="C71">
        <v>1</v>
      </c>
      <c r="D71" t="s">
        <v>175</v>
      </c>
      <c r="E71">
        <v>22</v>
      </c>
      <c r="F71" t="s">
        <v>855</v>
      </c>
      <c r="G71" t="s">
        <v>939</v>
      </c>
      <c r="H71" t="s">
        <v>906</v>
      </c>
      <c r="I71" t="s">
        <v>940</v>
      </c>
      <c r="J71" t="s">
        <v>97</v>
      </c>
      <c r="K71" s="52">
        <v>1364</v>
      </c>
    </row>
    <row r="72" spans="2:11" x14ac:dyDescent="0.25">
      <c r="B72">
        <v>23</v>
      </c>
      <c r="C72">
        <v>1</v>
      </c>
      <c r="D72" t="s">
        <v>175</v>
      </c>
      <c r="E72">
        <v>23</v>
      </c>
      <c r="F72" t="s">
        <v>941</v>
      </c>
      <c r="G72" t="s">
        <v>942</v>
      </c>
      <c r="H72" t="s">
        <v>943</v>
      </c>
      <c r="I72" t="s">
        <v>821</v>
      </c>
      <c r="J72" t="s">
        <v>97</v>
      </c>
      <c r="K72" s="52">
        <v>1186</v>
      </c>
    </row>
    <row r="73" spans="2:11" x14ac:dyDescent="0.25">
      <c r="B73">
        <v>24</v>
      </c>
      <c r="C73">
        <v>6</v>
      </c>
      <c r="D73" t="s">
        <v>175</v>
      </c>
      <c r="E73">
        <v>24</v>
      </c>
      <c r="F73" t="s">
        <v>836</v>
      </c>
      <c r="G73" t="s">
        <v>32</v>
      </c>
      <c r="H73" t="s">
        <v>896</v>
      </c>
      <c r="I73" t="s">
        <v>32</v>
      </c>
      <c r="J73" t="s">
        <v>97</v>
      </c>
      <c r="K73" t="s">
        <v>856</v>
      </c>
    </row>
    <row r="74" spans="2:11" x14ac:dyDescent="0.25">
      <c r="B74">
        <v>25</v>
      </c>
      <c r="C74">
        <v>1</v>
      </c>
      <c r="D74" t="s">
        <v>175</v>
      </c>
      <c r="E74">
        <v>25</v>
      </c>
      <c r="F74" t="s">
        <v>944</v>
      </c>
      <c r="G74" t="s">
        <v>945</v>
      </c>
      <c r="H74" t="s">
        <v>946</v>
      </c>
      <c r="I74" t="s">
        <v>947</v>
      </c>
      <c r="J74" t="s">
        <v>97</v>
      </c>
      <c r="K74" s="52" t="s">
        <v>948</v>
      </c>
    </row>
    <row r="75" spans="2:11" x14ac:dyDescent="0.25">
      <c r="B75">
        <v>26</v>
      </c>
      <c r="C75">
        <v>1</v>
      </c>
      <c r="D75" t="s">
        <v>175</v>
      </c>
      <c r="E75">
        <v>26</v>
      </c>
      <c r="F75" t="s">
        <v>949</v>
      </c>
      <c r="G75" t="s">
        <v>950</v>
      </c>
      <c r="H75" t="s">
        <v>951</v>
      </c>
      <c r="I75" t="s">
        <v>952</v>
      </c>
      <c r="J75" t="s">
        <v>97</v>
      </c>
      <c r="K75" s="52" t="s">
        <v>953</v>
      </c>
    </row>
    <row r="76" spans="2:11" x14ac:dyDescent="0.25">
      <c r="B76">
        <v>27</v>
      </c>
      <c r="C76">
        <v>1</v>
      </c>
      <c r="D76" t="s">
        <v>175</v>
      </c>
      <c r="E76">
        <v>27</v>
      </c>
      <c r="F76" t="s">
        <v>806</v>
      </c>
      <c r="G76" t="s">
        <v>954</v>
      </c>
      <c r="H76" t="s">
        <v>955</v>
      </c>
      <c r="I76" t="s">
        <v>954</v>
      </c>
      <c r="J76" t="s">
        <v>97</v>
      </c>
      <c r="K76" t="s">
        <v>956</v>
      </c>
    </row>
    <row r="77" spans="2:11" x14ac:dyDescent="0.25">
      <c r="B77">
        <v>28</v>
      </c>
      <c r="C77">
        <v>1</v>
      </c>
      <c r="D77" t="s">
        <v>175</v>
      </c>
      <c r="E77">
        <v>28</v>
      </c>
      <c r="F77" t="s">
        <v>801</v>
      </c>
      <c r="G77" t="s">
        <v>957</v>
      </c>
      <c r="H77" t="s">
        <v>925</v>
      </c>
      <c r="I77" t="s">
        <v>958</v>
      </c>
      <c r="J77" t="s">
        <v>97</v>
      </c>
      <c r="K77" t="s">
        <v>959</v>
      </c>
    </row>
    <row r="78" spans="2:11" x14ac:dyDescent="0.25">
      <c r="B78">
        <v>29</v>
      </c>
      <c r="C78">
        <v>1</v>
      </c>
      <c r="D78" t="s">
        <v>175</v>
      </c>
      <c r="E78">
        <v>29</v>
      </c>
      <c r="F78" t="s">
        <v>887</v>
      </c>
      <c r="G78" t="s">
        <v>960</v>
      </c>
      <c r="H78" t="s">
        <v>933</v>
      </c>
      <c r="I78" t="s">
        <v>961</v>
      </c>
      <c r="J78" t="s">
        <v>97</v>
      </c>
      <c r="K78" t="s">
        <v>962</v>
      </c>
    </row>
    <row r="79" spans="2:11" x14ac:dyDescent="0.25">
      <c r="B79">
        <v>30</v>
      </c>
      <c r="C79">
        <v>1</v>
      </c>
      <c r="D79" t="s">
        <v>175</v>
      </c>
      <c r="E79">
        <v>30</v>
      </c>
      <c r="F79" t="s">
        <v>876</v>
      </c>
      <c r="G79" t="s">
        <v>821</v>
      </c>
      <c r="H79" t="s">
        <v>901</v>
      </c>
      <c r="I79" t="s">
        <v>840</v>
      </c>
      <c r="J79" t="s">
        <v>97</v>
      </c>
      <c r="K79" t="s">
        <v>963</v>
      </c>
    </row>
    <row r="80" spans="2:11" x14ac:dyDescent="0.25">
      <c r="B80">
        <v>33</v>
      </c>
      <c r="C80">
        <v>6</v>
      </c>
      <c r="D80" t="s">
        <v>175</v>
      </c>
      <c r="E80">
        <v>33</v>
      </c>
      <c r="F80" t="s">
        <v>964</v>
      </c>
      <c r="G80" t="s">
        <v>805</v>
      </c>
      <c r="H80" t="s">
        <v>809</v>
      </c>
      <c r="I80" t="s">
        <v>32</v>
      </c>
      <c r="J80" t="s">
        <v>97</v>
      </c>
      <c r="K80" t="s">
        <v>965</v>
      </c>
    </row>
    <row r="81" spans="2:11" x14ac:dyDescent="0.25">
      <c r="B81">
        <v>34</v>
      </c>
      <c r="C81">
        <v>1</v>
      </c>
      <c r="D81" t="s">
        <v>175</v>
      </c>
      <c r="E81">
        <v>34</v>
      </c>
      <c r="F81" t="s">
        <v>800</v>
      </c>
      <c r="G81" t="s">
        <v>966</v>
      </c>
      <c r="H81" t="s">
        <v>967</v>
      </c>
      <c r="I81" t="s">
        <v>818</v>
      </c>
      <c r="J81" t="s">
        <v>97</v>
      </c>
      <c r="K81" t="s">
        <v>968</v>
      </c>
    </row>
    <row r="82" spans="2:11" x14ac:dyDescent="0.25">
      <c r="B82">
        <v>35</v>
      </c>
      <c r="C82">
        <v>6</v>
      </c>
      <c r="D82" t="s">
        <v>175</v>
      </c>
      <c r="E82">
        <v>35</v>
      </c>
      <c r="F82" t="s">
        <v>969</v>
      </c>
      <c r="G82" t="s">
        <v>32</v>
      </c>
      <c r="H82" t="s">
        <v>970</v>
      </c>
      <c r="I82" t="s">
        <v>32</v>
      </c>
      <c r="J82" t="s">
        <v>97</v>
      </c>
      <c r="K82" t="s">
        <v>830</v>
      </c>
    </row>
    <row r="83" spans="2:11" x14ac:dyDescent="0.25">
      <c r="B83">
        <v>36</v>
      </c>
      <c r="C83">
        <v>6</v>
      </c>
      <c r="D83" t="s">
        <v>175</v>
      </c>
      <c r="E83">
        <v>36</v>
      </c>
      <c r="F83" t="s">
        <v>971</v>
      </c>
      <c r="G83" t="s">
        <v>972</v>
      </c>
      <c r="H83" t="s">
        <v>973</v>
      </c>
      <c r="I83" t="s">
        <v>974</v>
      </c>
      <c r="J83" t="s">
        <v>97</v>
      </c>
      <c r="K83" t="s">
        <v>963</v>
      </c>
    </row>
    <row r="84" spans="2:11" x14ac:dyDescent="0.25">
      <c r="B84">
        <v>37</v>
      </c>
      <c r="C84">
        <v>6</v>
      </c>
      <c r="D84" t="s">
        <v>175</v>
      </c>
      <c r="E84">
        <v>37</v>
      </c>
      <c r="F84" t="s">
        <v>975</v>
      </c>
      <c r="G84" t="s">
        <v>32</v>
      </c>
      <c r="H84" t="s">
        <v>817</v>
      </c>
      <c r="I84" t="s">
        <v>32</v>
      </c>
      <c r="J84" t="s">
        <v>97</v>
      </c>
      <c r="K84" t="s">
        <v>976</v>
      </c>
    </row>
    <row r="85" spans="2:11" x14ac:dyDescent="0.25">
      <c r="B85">
        <v>38</v>
      </c>
      <c r="C85">
        <v>6</v>
      </c>
      <c r="D85" t="s">
        <v>175</v>
      </c>
      <c r="E85">
        <v>38</v>
      </c>
      <c r="F85" t="s">
        <v>828</v>
      </c>
      <c r="G85" t="s">
        <v>32</v>
      </c>
      <c r="H85" t="s">
        <v>977</v>
      </c>
      <c r="I85" t="s">
        <v>32</v>
      </c>
      <c r="J85" t="s">
        <v>97</v>
      </c>
      <c r="K85" t="s">
        <v>866</v>
      </c>
    </row>
    <row r="86" spans="2:11" x14ac:dyDescent="0.25">
      <c r="B86">
        <v>41</v>
      </c>
      <c r="C86">
        <v>1</v>
      </c>
      <c r="D86" t="s">
        <v>175</v>
      </c>
      <c r="E86">
        <v>41</v>
      </c>
      <c r="F86" t="s">
        <v>812</v>
      </c>
      <c r="G86" t="s">
        <v>32</v>
      </c>
      <c r="H86" t="s">
        <v>774</v>
      </c>
      <c r="I86" t="s">
        <v>32</v>
      </c>
      <c r="J86" t="s">
        <v>97</v>
      </c>
      <c r="K86" t="s">
        <v>978</v>
      </c>
    </row>
    <row r="87" spans="2:11" x14ac:dyDescent="0.25">
      <c r="B87">
        <v>42</v>
      </c>
      <c r="C87">
        <v>1</v>
      </c>
      <c r="D87" t="s">
        <v>175</v>
      </c>
      <c r="E87">
        <v>42</v>
      </c>
      <c r="F87" s="52" t="s">
        <v>979</v>
      </c>
      <c r="G87" s="52" t="s">
        <v>839</v>
      </c>
      <c r="H87" s="52" t="s">
        <v>980</v>
      </c>
      <c r="I87" t="s">
        <v>839</v>
      </c>
      <c r="J87" t="s">
        <v>97</v>
      </c>
      <c r="K87" s="52" t="s">
        <v>981</v>
      </c>
    </row>
    <row r="88" spans="2:11" x14ac:dyDescent="0.25">
      <c r="B88">
        <v>43</v>
      </c>
      <c r="C88">
        <v>1</v>
      </c>
      <c r="D88" t="s">
        <v>175</v>
      </c>
      <c r="E88">
        <v>43</v>
      </c>
      <c r="F88" t="s">
        <v>808</v>
      </c>
      <c r="G88" t="s">
        <v>820</v>
      </c>
      <c r="H88" t="s">
        <v>823</v>
      </c>
      <c r="I88" t="s">
        <v>982</v>
      </c>
      <c r="J88" t="s">
        <v>97</v>
      </c>
      <c r="K88" s="52" t="s">
        <v>983</v>
      </c>
    </row>
    <row r="89" spans="2:11" x14ac:dyDescent="0.25">
      <c r="B89">
        <v>52</v>
      </c>
      <c r="C89">
        <v>1</v>
      </c>
      <c r="D89" t="s">
        <v>175</v>
      </c>
      <c r="E89">
        <v>52</v>
      </c>
      <c r="F89" t="s">
        <v>815</v>
      </c>
      <c r="G89" t="s">
        <v>834</v>
      </c>
      <c r="H89" s="52" t="s">
        <v>984</v>
      </c>
      <c r="I89" t="s">
        <v>985</v>
      </c>
      <c r="J89" t="s">
        <v>97</v>
      </c>
      <c r="K89" s="52">
        <v>2376</v>
      </c>
    </row>
    <row r="90" spans="2:11" x14ac:dyDescent="0.25">
      <c r="B90">
        <v>56</v>
      </c>
      <c r="C90">
        <v>8</v>
      </c>
      <c r="D90" t="s">
        <v>175</v>
      </c>
      <c r="E90">
        <v>56</v>
      </c>
      <c r="F90" s="52" t="s">
        <v>878</v>
      </c>
      <c r="G90" t="s">
        <v>986</v>
      </c>
      <c r="H90" s="52" t="s">
        <v>987</v>
      </c>
      <c r="I90" t="s">
        <v>988</v>
      </c>
      <c r="J90" t="s">
        <v>97</v>
      </c>
      <c r="K90" s="52">
        <v>2716</v>
      </c>
    </row>
    <row r="91" spans="2:11" x14ac:dyDescent="0.25">
      <c r="B91">
        <v>60</v>
      </c>
      <c r="C91">
        <v>1</v>
      </c>
      <c r="D91" t="s">
        <v>175</v>
      </c>
      <c r="E91">
        <v>60</v>
      </c>
      <c r="F91" t="s">
        <v>819</v>
      </c>
      <c r="G91" s="52" t="s">
        <v>989</v>
      </c>
      <c r="H91" t="s">
        <v>990</v>
      </c>
      <c r="I91" t="s">
        <v>32</v>
      </c>
      <c r="J91" t="s">
        <v>97</v>
      </c>
      <c r="K91" s="52">
        <v>1488</v>
      </c>
    </row>
    <row r="92" spans="2:11" x14ac:dyDescent="0.25">
      <c r="B92">
        <v>61</v>
      </c>
      <c r="C92">
        <v>1</v>
      </c>
      <c r="D92" t="s">
        <v>175</v>
      </c>
      <c r="E92">
        <v>61</v>
      </c>
      <c r="F92" t="s">
        <v>825</v>
      </c>
      <c r="G92" t="s">
        <v>991</v>
      </c>
      <c r="H92" t="s">
        <v>992</v>
      </c>
      <c r="I92" t="s">
        <v>993</v>
      </c>
      <c r="J92" t="s">
        <v>97</v>
      </c>
      <c r="K92" t="s">
        <v>994</v>
      </c>
    </row>
    <row r="93" spans="2:11" x14ac:dyDescent="0.25">
      <c r="B93">
        <v>72</v>
      </c>
      <c r="C93">
        <v>1</v>
      </c>
      <c r="D93" t="s">
        <v>175</v>
      </c>
      <c r="E93">
        <v>72</v>
      </c>
      <c r="F93" t="s">
        <v>806</v>
      </c>
      <c r="G93" t="s">
        <v>995</v>
      </c>
      <c r="H93" t="s">
        <v>827</v>
      </c>
      <c r="I93" t="s">
        <v>32</v>
      </c>
      <c r="J93" t="s">
        <v>97</v>
      </c>
      <c r="K93" t="s">
        <v>876</v>
      </c>
    </row>
    <row r="94" spans="2:11" x14ac:dyDescent="0.25">
      <c r="B94">
        <v>76</v>
      </c>
      <c r="C94">
        <v>1</v>
      </c>
      <c r="D94" t="s">
        <v>175</v>
      </c>
      <c r="E94">
        <v>76</v>
      </c>
      <c r="F94" t="s">
        <v>808</v>
      </c>
      <c r="G94" t="s">
        <v>803</v>
      </c>
      <c r="H94" t="s">
        <v>822</v>
      </c>
      <c r="I94" t="s">
        <v>844</v>
      </c>
      <c r="J94" t="s">
        <v>97</v>
      </c>
      <c r="K94" t="s">
        <v>996</v>
      </c>
    </row>
    <row r="95" spans="2:11" x14ac:dyDescent="0.25">
      <c r="B95">
        <v>77</v>
      </c>
      <c r="C95">
        <v>1</v>
      </c>
      <c r="D95" t="s">
        <v>175</v>
      </c>
      <c r="E95">
        <v>77</v>
      </c>
      <c r="F95" t="s">
        <v>825</v>
      </c>
      <c r="G95" t="s">
        <v>802</v>
      </c>
      <c r="H95" t="s">
        <v>997</v>
      </c>
      <c r="I95" t="s">
        <v>824</v>
      </c>
      <c r="J95" t="s">
        <v>97</v>
      </c>
      <c r="K95" t="s">
        <v>998</v>
      </c>
    </row>
    <row r="96" spans="2:11" x14ac:dyDescent="0.25">
      <c r="B96">
        <v>84</v>
      </c>
      <c r="C96">
        <v>6</v>
      </c>
      <c r="D96" t="s">
        <v>175</v>
      </c>
      <c r="E96">
        <v>84</v>
      </c>
      <c r="F96" t="s">
        <v>999</v>
      </c>
      <c r="G96" t="s">
        <v>1000</v>
      </c>
      <c r="H96" t="s">
        <v>809</v>
      </c>
      <c r="I96" t="s">
        <v>804</v>
      </c>
      <c r="J96" t="s">
        <v>97</v>
      </c>
      <c r="K96" t="s">
        <v>1001</v>
      </c>
    </row>
    <row r="97" spans="1:125" x14ac:dyDescent="0.25">
      <c r="B97">
        <v>86</v>
      </c>
      <c r="C97">
        <v>6</v>
      </c>
      <c r="D97" t="s">
        <v>175</v>
      </c>
      <c r="E97">
        <v>86</v>
      </c>
      <c r="F97" t="s">
        <v>807</v>
      </c>
      <c r="G97" t="s">
        <v>32</v>
      </c>
      <c r="H97" t="s">
        <v>1002</v>
      </c>
      <c r="I97" t="s">
        <v>995</v>
      </c>
      <c r="J97" t="s">
        <v>97</v>
      </c>
      <c r="K97" t="s">
        <v>808</v>
      </c>
    </row>
    <row r="98" spans="1:125" x14ac:dyDescent="0.25">
      <c r="B98">
        <v>87</v>
      </c>
      <c r="C98">
        <v>7</v>
      </c>
      <c r="D98" t="s">
        <v>175</v>
      </c>
      <c r="E98">
        <v>87</v>
      </c>
      <c r="F98" t="s">
        <v>33</v>
      </c>
      <c r="G98" t="s">
        <v>32</v>
      </c>
      <c r="H98" t="s">
        <v>954</v>
      </c>
      <c r="I98" t="s">
        <v>32</v>
      </c>
      <c r="J98" t="s">
        <v>97</v>
      </c>
      <c r="K98" t="s">
        <v>1003</v>
      </c>
    </row>
    <row r="99" spans="1:125" x14ac:dyDescent="0.25">
      <c r="B99">
        <v>89</v>
      </c>
      <c r="C99">
        <v>6</v>
      </c>
      <c r="D99" t="s">
        <v>175</v>
      </c>
      <c r="E99">
        <v>89</v>
      </c>
      <c r="F99" t="s">
        <v>1004</v>
      </c>
      <c r="G99" t="s">
        <v>32</v>
      </c>
      <c r="H99" t="s">
        <v>1005</v>
      </c>
      <c r="I99" t="s">
        <v>32</v>
      </c>
      <c r="J99" t="s">
        <v>97</v>
      </c>
      <c r="K99" s="52" t="s">
        <v>1006</v>
      </c>
    </row>
    <row r="100" spans="1:125" x14ac:dyDescent="0.25">
      <c r="B100">
        <v>92</v>
      </c>
      <c r="C100">
        <v>7</v>
      </c>
      <c r="D100" t="s">
        <v>175</v>
      </c>
      <c r="E100">
        <v>92</v>
      </c>
      <c r="F100" t="s">
        <v>807</v>
      </c>
      <c r="G100" t="s">
        <v>32</v>
      </c>
      <c r="H100" t="s">
        <v>1007</v>
      </c>
      <c r="I100" t="s">
        <v>32</v>
      </c>
      <c r="J100" t="s">
        <v>97</v>
      </c>
      <c r="K100" t="s">
        <v>876</v>
      </c>
    </row>
    <row r="101" spans="1:125" x14ac:dyDescent="0.25">
      <c r="B101">
        <v>93</v>
      </c>
      <c r="C101" s="52">
        <v>11</v>
      </c>
      <c r="D101" s="52" t="s">
        <v>175</v>
      </c>
      <c r="E101" s="52">
        <v>93</v>
      </c>
      <c r="F101" s="52" t="s">
        <v>882</v>
      </c>
      <c r="G101" t="s">
        <v>32</v>
      </c>
      <c r="H101" s="52" t="s">
        <v>1008</v>
      </c>
      <c r="I101" t="s">
        <v>32</v>
      </c>
      <c r="J101" t="s">
        <v>97</v>
      </c>
      <c r="K101" t="s">
        <v>884</v>
      </c>
    </row>
    <row r="102" spans="1:125" x14ac:dyDescent="0.25">
      <c r="B102">
        <v>96</v>
      </c>
      <c r="C102">
        <v>6</v>
      </c>
      <c r="D102" t="s">
        <v>175</v>
      </c>
      <c r="E102">
        <v>96</v>
      </c>
      <c r="F102" t="s">
        <v>813</v>
      </c>
      <c r="G102" t="s">
        <v>1009</v>
      </c>
      <c r="H102" t="s">
        <v>1010</v>
      </c>
      <c r="I102" t="s">
        <v>32</v>
      </c>
      <c r="J102" t="s">
        <v>97</v>
      </c>
      <c r="K102" t="s">
        <v>1011</v>
      </c>
    </row>
    <row r="103" spans="1:125" x14ac:dyDescent="0.25">
      <c r="B103">
        <v>301</v>
      </c>
      <c r="C103">
        <v>12</v>
      </c>
      <c r="D103" t="s">
        <v>175</v>
      </c>
      <c r="E103">
        <v>301</v>
      </c>
      <c r="F103" t="s">
        <v>864</v>
      </c>
      <c r="G103" t="s">
        <v>32</v>
      </c>
      <c r="H103" t="s">
        <v>1012</v>
      </c>
      <c r="I103" t="s">
        <v>32</v>
      </c>
      <c r="J103" t="s">
        <v>97</v>
      </c>
      <c r="K103" t="s">
        <v>863</v>
      </c>
    </row>
    <row r="104" spans="1:125" x14ac:dyDescent="0.25">
      <c r="A104" t="s">
        <v>112</v>
      </c>
      <c r="C104" s="52"/>
      <c r="D104" s="52"/>
      <c r="E104" s="52"/>
      <c r="F104" s="52"/>
      <c r="H104" s="52"/>
    </row>
    <row r="105" spans="1:125" x14ac:dyDescent="0.25">
      <c r="B105" t="s">
        <v>96</v>
      </c>
      <c r="C105" s="52">
        <v>9649</v>
      </c>
      <c r="D105" s="52">
        <v>9930</v>
      </c>
      <c r="E105" s="52">
        <v>13208</v>
      </c>
      <c r="F105" s="52">
        <v>2368</v>
      </c>
      <c r="G105" t="s">
        <v>97</v>
      </c>
      <c r="H105" s="52">
        <v>35163</v>
      </c>
    </row>
    <row r="106" spans="1:125" x14ac:dyDescent="0.25">
      <c r="C106" s="52"/>
      <c r="D106" s="52"/>
      <c r="E106" s="52"/>
      <c r="F106" s="52"/>
      <c r="H106" s="52"/>
    </row>
    <row r="109" spans="1:125" x14ac:dyDescent="0.25">
      <c r="A109" t="s">
        <v>157</v>
      </c>
      <c r="B109" t="s">
        <v>158</v>
      </c>
      <c r="C109" t="s">
        <v>127</v>
      </c>
      <c r="D109" t="s">
        <v>176</v>
      </c>
      <c r="E109" t="s">
        <v>177</v>
      </c>
      <c r="F109" t="s">
        <v>178</v>
      </c>
      <c r="G109" t="s">
        <v>134</v>
      </c>
    </row>
    <row r="110" spans="1:125" x14ac:dyDescent="0.25">
      <c r="A110" t="s">
        <v>118</v>
      </c>
    </row>
    <row r="111" spans="1:125" x14ac:dyDescent="0.25">
      <c r="B111" t="s">
        <v>179</v>
      </c>
      <c r="C111" t="s">
        <v>180</v>
      </c>
      <c r="D111" t="s">
        <v>130</v>
      </c>
      <c r="E111" t="s">
        <v>181</v>
      </c>
      <c r="F111" t="s">
        <v>182</v>
      </c>
      <c r="G111" t="s">
        <v>183</v>
      </c>
      <c r="H111" t="s">
        <v>184</v>
      </c>
      <c r="I111" t="s">
        <v>185</v>
      </c>
      <c r="J111" t="s">
        <v>186</v>
      </c>
      <c r="K111" t="s">
        <v>187</v>
      </c>
      <c r="L111" t="s">
        <v>188</v>
      </c>
      <c r="M111" t="s">
        <v>189</v>
      </c>
      <c r="N111" t="s">
        <v>190</v>
      </c>
      <c r="O111" t="s">
        <v>191</v>
      </c>
      <c r="P111" t="s">
        <v>192</v>
      </c>
      <c r="Q111" t="s">
        <v>193</v>
      </c>
      <c r="R111" t="s">
        <v>194</v>
      </c>
      <c r="S111" t="s">
        <v>195</v>
      </c>
      <c r="T111" t="s">
        <v>196</v>
      </c>
      <c r="U111" t="s">
        <v>197</v>
      </c>
      <c r="V111" t="s">
        <v>198</v>
      </c>
      <c r="W111" t="s">
        <v>199</v>
      </c>
      <c r="X111" t="s">
        <v>200</v>
      </c>
      <c r="Y111" t="s">
        <v>201</v>
      </c>
      <c r="Z111" t="s">
        <v>202</v>
      </c>
      <c r="AA111" t="s">
        <v>203</v>
      </c>
      <c r="AB111" t="s">
        <v>204</v>
      </c>
      <c r="AC111" t="s">
        <v>205</v>
      </c>
      <c r="AD111" t="s">
        <v>206</v>
      </c>
      <c r="AE111" t="s">
        <v>207</v>
      </c>
      <c r="AF111" t="s">
        <v>208</v>
      </c>
      <c r="AG111" t="s">
        <v>209</v>
      </c>
      <c r="AH111" t="s">
        <v>210</v>
      </c>
      <c r="AI111" t="s">
        <v>211</v>
      </c>
      <c r="AJ111" t="s">
        <v>212</v>
      </c>
      <c r="AK111" t="s">
        <v>213</v>
      </c>
      <c r="AL111" t="s">
        <v>214</v>
      </c>
      <c r="AM111" t="s">
        <v>215</v>
      </c>
      <c r="AN111" t="s">
        <v>216</v>
      </c>
      <c r="AO111" t="s">
        <v>217</v>
      </c>
      <c r="AP111" t="s">
        <v>218</v>
      </c>
      <c r="AQ111" t="s">
        <v>219</v>
      </c>
      <c r="AR111" t="s">
        <v>220</v>
      </c>
      <c r="AS111" t="s">
        <v>221</v>
      </c>
      <c r="AT111" t="s">
        <v>222</v>
      </c>
      <c r="AU111" t="s">
        <v>223</v>
      </c>
      <c r="AV111" t="s">
        <v>224</v>
      </c>
      <c r="AW111" t="s">
        <v>225</v>
      </c>
      <c r="AX111" t="s">
        <v>226</v>
      </c>
      <c r="AY111" t="s">
        <v>227</v>
      </c>
      <c r="AZ111" t="s">
        <v>228</v>
      </c>
      <c r="BA111" t="s">
        <v>229</v>
      </c>
      <c r="BB111" t="s">
        <v>230</v>
      </c>
      <c r="BC111" t="s">
        <v>231</v>
      </c>
      <c r="BD111" t="s">
        <v>232</v>
      </c>
      <c r="BE111" t="s">
        <v>233</v>
      </c>
      <c r="BF111" t="s">
        <v>234</v>
      </c>
      <c r="BG111" t="s">
        <v>235</v>
      </c>
      <c r="BH111" t="s">
        <v>236</v>
      </c>
      <c r="BI111" t="s">
        <v>237</v>
      </c>
      <c r="BJ111" t="s">
        <v>238</v>
      </c>
      <c r="BK111" t="s">
        <v>239</v>
      </c>
      <c r="BL111" t="s">
        <v>240</v>
      </c>
      <c r="BM111" t="s">
        <v>241</v>
      </c>
      <c r="BN111" t="s">
        <v>242</v>
      </c>
      <c r="BO111" t="s">
        <v>243</v>
      </c>
      <c r="BP111" t="s">
        <v>244</v>
      </c>
      <c r="BQ111" t="s">
        <v>245</v>
      </c>
      <c r="BR111" t="s">
        <v>246</v>
      </c>
      <c r="BS111" t="s">
        <v>247</v>
      </c>
      <c r="BT111" t="s">
        <v>248</v>
      </c>
      <c r="BU111" t="s">
        <v>249</v>
      </c>
      <c r="BV111" t="s">
        <v>250</v>
      </c>
      <c r="BW111" t="s">
        <v>251</v>
      </c>
      <c r="BX111" t="s">
        <v>252</v>
      </c>
      <c r="BY111" t="s">
        <v>253</v>
      </c>
      <c r="BZ111" t="s">
        <v>254</v>
      </c>
      <c r="CA111" t="s">
        <v>255</v>
      </c>
      <c r="CB111" t="s">
        <v>256</v>
      </c>
      <c r="CC111" t="s">
        <v>257</v>
      </c>
      <c r="CD111" t="s">
        <v>258</v>
      </c>
      <c r="CE111" t="s">
        <v>259</v>
      </c>
      <c r="CF111" t="s">
        <v>260</v>
      </c>
      <c r="CG111" t="s">
        <v>261</v>
      </c>
      <c r="CH111" t="s">
        <v>262</v>
      </c>
      <c r="CI111" t="s">
        <v>263</v>
      </c>
      <c r="CJ111" t="s">
        <v>264</v>
      </c>
      <c r="CK111" t="s">
        <v>265</v>
      </c>
      <c r="CL111" t="s">
        <v>266</v>
      </c>
      <c r="CM111" t="s">
        <v>267</v>
      </c>
      <c r="CN111" t="s">
        <v>268</v>
      </c>
      <c r="CO111" t="s">
        <v>269</v>
      </c>
      <c r="CP111" t="s">
        <v>270</v>
      </c>
      <c r="CQ111" t="s">
        <v>271</v>
      </c>
      <c r="CR111" t="s">
        <v>272</v>
      </c>
      <c r="CS111" t="s">
        <v>273</v>
      </c>
      <c r="CT111" t="s">
        <v>274</v>
      </c>
      <c r="CU111" t="s">
        <v>275</v>
      </c>
      <c r="CV111" t="s">
        <v>276</v>
      </c>
      <c r="CW111" t="s">
        <v>277</v>
      </c>
      <c r="CX111" t="s">
        <v>278</v>
      </c>
      <c r="CY111" t="s">
        <v>279</v>
      </c>
      <c r="CZ111" t="s">
        <v>280</v>
      </c>
      <c r="DA111" t="s">
        <v>281</v>
      </c>
      <c r="DB111" t="s">
        <v>282</v>
      </c>
      <c r="DC111" t="s">
        <v>283</v>
      </c>
      <c r="DD111" t="s">
        <v>284</v>
      </c>
      <c r="DE111" t="s">
        <v>285</v>
      </c>
      <c r="DF111" t="s">
        <v>286</v>
      </c>
      <c r="DG111" t="s">
        <v>287</v>
      </c>
      <c r="DH111" t="s">
        <v>288</v>
      </c>
      <c r="DI111" t="s">
        <v>289</v>
      </c>
      <c r="DJ111" t="s">
        <v>290</v>
      </c>
      <c r="DK111" t="s">
        <v>291</v>
      </c>
      <c r="DL111" t="s">
        <v>292</v>
      </c>
      <c r="DM111" t="s">
        <v>293</v>
      </c>
      <c r="DN111" t="s">
        <v>294</v>
      </c>
      <c r="DO111" t="s">
        <v>295</v>
      </c>
      <c r="DP111" t="s">
        <v>296</v>
      </c>
      <c r="DQ111" t="s">
        <v>297</v>
      </c>
      <c r="DR111" t="s">
        <v>298</v>
      </c>
      <c r="DS111" t="s">
        <v>299</v>
      </c>
      <c r="DT111" t="s">
        <v>300</v>
      </c>
      <c r="DU111" t="s">
        <v>301</v>
      </c>
    </row>
    <row r="112" spans="1:125" x14ac:dyDescent="0.25">
      <c r="A112" t="s">
        <v>118</v>
      </c>
    </row>
    <row r="113" spans="2:82" x14ac:dyDescent="0.25">
      <c r="B113" t="s">
        <v>302</v>
      </c>
      <c r="C113">
        <v>12</v>
      </c>
      <c r="D113" t="s">
        <v>303</v>
      </c>
      <c r="E113" t="s">
        <v>304</v>
      </c>
      <c r="F113" t="s">
        <v>305</v>
      </c>
      <c r="G113">
        <v>1</v>
      </c>
      <c r="H113">
        <v>36</v>
      </c>
      <c r="I113">
        <v>120</v>
      </c>
      <c r="J113">
        <v>48</v>
      </c>
      <c r="K113">
        <v>60</v>
      </c>
      <c r="L113">
        <v>52</v>
      </c>
      <c r="M113">
        <v>9.3703810000000001</v>
      </c>
      <c r="N113">
        <v>38.774368000000003</v>
      </c>
      <c r="O113">
        <v>9.3703810000000001</v>
      </c>
      <c r="P113">
        <v>38.356779000000003</v>
      </c>
      <c r="Q113">
        <v>9.3703810000000001</v>
      </c>
      <c r="R113">
        <v>47.514308</v>
      </c>
      <c r="S113">
        <v>9.3703810000000001</v>
      </c>
      <c r="T113">
        <v>35.617111999999999</v>
      </c>
      <c r="U113" t="s">
        <v>1013</v>
      </c>
      <c r="V113" t="s">
        <v>1014</v>
      </c>
      <c r="W113">
        <v>0.90900000000000003</v>
      </c>
      <c r="X113">
        <v>0</v>
      </c>
      <c r="Y113">
        <v>0</v>
      </c>
      <c r="Z113">
        <v>0</v>
      </c>
      <c r="AA113">
        <v>0</v>
      </c>
      <c r="AB113" t="s">
        <v>1015</v>
      </c>
      <c r="AC113">
        <v>0</v>
      </c>
      <c r="AD113" t="s">
        <v>1016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t="s">
        <v>1017</v>
      </c>
      <c r="AL113" t="s">
        <v>1018</v>
      </c>
      <c r="AM113">
        <v>38.130000000000003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1019</v>
      </c>
      <c r="AU113">
        <v>0</v>
      </c>
      <c r="AV113">
        <v>1.6659999999999999</v>
      </c>
      <c r="AW113">
        <v>1.333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137</v>
      </c>
      <c r="BF113">
        <v>1759</v>
      </c>
    </row>
    <row r="114" spans="2:82" x14ac:dyDescent="0.25">
      <c r="B114" t="s">
        <v>306</v>
      </c>
      <c r="C114">
        <v>12</v>
      </c>
      <c r="D114" t="s">
        <v>303</v>
      </c>
      <c r="E114" t="s">
        <v>304</v>
      </c>
      <c r="F114" t="s">
        <v>307</v>
      </c>
      <c r="G114">
        <v>1</v>
      </c>
      <c r="H114">
        <v>90</v>
      </c>
      <c r="I114">
        <v>120</v>
      </c>
      <c r="J114">
        <v>48</v>
      </c>
      <c r="K114">
        <v>60</v>
      </c>
      <c r="L114">
        <v>52</v>
      </c>
      <c r="M114">
        <v>8.9196950000000008</v>
      </c>
      <c r="N114">
        <v>39.514097</v>
      </c>
      <c r="O114">
        <v>8.9196950000000008</v>
      </c>
      <c r="P114">
        <v>37.199675999999997</v>
      </c>
      <c r="Q114">
        <v>8.9196950000000008</v>
      </c>
      <c r="R114">
        <v>43.957146999999999</v>
      </c>
      <c r="S114">
        <v>8.9196950000000008</v>
      </c>
      <c r="T114">
        <v>33.618935999999998</v>
      </c>
      <c r="U114" t="s">
        <v>1020</v>
      </c>
      <c r="V114" t="s">
        <v>1021</v>
      </c>
      <c r="W114">
        <v>0.54500000000000004</v>
      </c>
      <c r="X114">
        <v>0</v>
      </c>
      <c r="Y114">
        <v>0</v>
      </c>
      <c r="Z114">
        <v>0</v>
      </c>
      <c r="AA114">
        <v>0</v>
      </c>
      <c r="AB114" t="s">
        <v>1022</v>
      </c>
      <c r="AC114">
        <v>0</v>
      </c>
      <c r="AD114" t="s">
        <v>1023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1024</v>
      </c>
      <c r="AL114" t="s">
        <v>1025</v>
      </c>
      <c r="AM114">
        <v>37.5</v>
      </c>
      <c r="AN114">
        <v>0.50800000000000001</v>
      </c>
      <c r="AO114">
        <v>0</v>
      </c>
      <c r="AP114">
        <v>0</v>
      </c>
      <c r="AQ114">
        <v>0</v>
      </c>
      <c r="AR114">
        <v>0</v>
      </c>
      <c r="AS114" t="s">
        <v>1026</v>
      </c>
      <c r="AT114">
        <v>0</v>
      </c>
      <c r="AU114">
        <v>0</v>
      </c>
      <c r="AV114">
        <v>0</v>
      </c>
      <c r="AW114">
        <v>1.333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104</v>
      </c>
      <c r="BF114">
        <v>1338</v>
      </c>
    </row>
    <row r="115" spans="2:82" x14ac:dyDescent="0.25">
      <c r="B115" t="s">
        <v>308</v>
      </c>
      <c r="C115">
        <v>17</v>
      </c>
      <c r="D115" t="s">
        <v>309</v>
      </c>
      <c r="E115" t="s">
        <v>310</v>
      </c>
      <c r="F115" t="s">
        <v>311</v>
      </c>
      <c r="G115" t="s">
        <v>312</v>
      </c>
      <c r="H115">
        <v>1</v>
      </c>
      <c r="I115">
        <v>45</v>
      </c>
      <c r="J115">
        <v>72</v>
      </c>
      <c r="K115">
        <v>120</v>
      </c>
      <c r="L115">
        <v>17</v>
      </c>
      <c r="M115">
        <v>6.136978</v>
      </c>
      <c r="N115">
        <v>27.379282</v>
      </c>
      <c r="O115">
        <v>6.136978</v>
      </c>
      <c r="P115">
        <v>25.429113000000001</v>
      </c>
      <c r="Q115">
        <v>6.136978</v>
      </c>
      <c r="R115">
        <v>27.060012</v>
      </c>
      <c r="S115">
        <v>0</v>
      </c>
      <c r="T115">
        <v>0</v>
      </c>
      <c r="U115" t="s">
        <v>1027</v>
      </c>
      <c r="V115">
        <v>1.8169999999999999</v>
      </c>
      <c r="W115">
        <v>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1028</v>
      </c>
      <c r="AG115">
        <v>0</v>
      </c>
      <c r="AH115">
        <v>0</v>
      </c>
      <c r="AI115">
        <v>0</v>
      </c>
      <c r="AJ115">
        <v>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 t="s">
        <v>1029</v>
      </c>
      <c r="AT115" t="s">
        <v>1030</v>
      </c>
      <c r="AU115">
        <v>0.32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32</v>
      </c>
      <c r="BQ115">
        <v>422</v>
      </c>
    </row>
    <row r="116" spans="2:82" x14ac:dyDescent="0.25">
      <c r="B116" t="s">
        <v>313</v>
      </c>
      <c r="C116">
        <v>18</v>
      </c>
      <c r="D116" t="s">
        <v>314</v>
      </c>
      <c r="E116" t="s">
        <v>315</v>
      </c>
      <c r="F116" t="s">
        <v>316</v>
      </c>
      <c r="G116">
        <v>6</v>
      </c>
      <c r="H116">
        <v>180</v>
      </c>
      <c r="I116">
        <v>60</v>
      </c>
      <c r="J116">
        <v>60</v>
      </c>
      <c r="K116">
        <v>18</v>
      </c>
      <c r="L116">
        <v>0</v>
      </c>
      <c r="M116">
        <v>0</v>
      </c>
      <c r="N116">
        <v>7.5656800000000004</v>
      </c>
      <c r="O116">
        <v>13.775520999999999</v>
      </c>
      <c r="P116">
        <v>7.5656800000000004</v>
      </c>
      <c r="Q116">
        <v>17.662067</v>
      </c>
      <c r="R116">
        <v>7.5656800000000004</v>
      </c>
      <c r="S116">
        <v>12.160557000000001</v>
      </c>
      <c r="T116">
        <v>11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3.5830000000000002</v>
      </c>
      <c r="BA116">
        <v>0.75</v>
      </c>
      <c r="BB116">
        <v>0</v>
      </c>
      <c r="BC116">
        <v>0.66600000000000004</v>
      </c>
      <c r="BD116">
        <v>4.6109999999999998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30</v>
      </c>
    </row>
    <row r="117" spans="2:82" x14ac:dyDescent="0.25">
      <c r="B117" t="s">
        <v>317</v>
      </c>
      <c r="C117">
        <v>23</v>
      </c>
      <c r="D117" t="s">
        <v>318</v>
      </c>
      <c r="E117" t="s">
        <v>304</v>
      </c>
      <c r="F117" t="s">
        <v>319</v>
      </c>
      <c r="G117">
        <v>1</v>
      </c>
      <c r="H117">
        <v>30</v>
      </c>
      <c r="I117">
        <v>36</v>
      </c>
      <c r="J117">
        <v>35</v>
      </c>
      <c r="K117">
        <v>60</v>
      </c>
      <c r="L117">
        <v>23</v>
      </c>
      <c r="M117">
        <v>9.9174249999999997</v>
      </c>
      <c r="N117">
        <v>37.231884999999998</v>
      </c>
      <c r="O117">
        <v>9.9174249999999997</v>
      </c>
      <c r="P117">
        <v>38.13165</v>
      </c>
      <c r="Q117">
        <v>9.9174249999999997</v>
      </c>
      <c r="R117">
        <v>41.923406999999997</v>
      </c>
      <c r="S117">
        <v>9.9174249999999997</v>
      </c>
      <c r="T117">
        <v>37.075744</v>
      </c>
      <c r="U117" t="s">
        <v>1031</v>
      </c>
      <c r="V117" t="s">
        <v>1032</v>
      </c>
      <c r="W117">
        <v>0.66600000000000004</v>
      </c>
      <c r="X117">
        <v>0</v>
      </c>
      <c r="Y117">
        <v>0</v>
      </c>
      <c r="Z117">
        <v>0</v>
      </c>
      <c r="AA117">
        <v>0</v>
      </c>
      <c r="AB117" t="s">
        <v>1033</v>
      </c>
      <c r="AC117">
        <v>0</v>
      </c>
      <c r="AD117">
        <v>0</v>
      </c>
      <c r="AE117">
        <v>0</v>
      </c>
      <c r="AF117">
        <v>0</v>
      </c>
      <c r="AG117">
        <v>0.95399999999999996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t="s">
        <v>1034</v>
      </c>
      <c r="AO117">
        <v>2.6749999999999998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1035</v>
      </c>
      <c r="AZ117">
        <v>0</v>
      </c>
      <c r="BA117">
        <v>0.33300000000000002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91</v>
      </c>
      <c r="BL117">
        <v>1316</v>
      </c>
    </row>
    <row r="118" spans="2:82" x14ac:dyDescent="0.25">
      <c r="B118" t="s">
        <v>320</v>
      </c>
      <c r="C118">
        <v>23</v>
      </c>
      <c r="D118" t="s">
        <v>318</v>
      </c>
      <c r="E118" t="s">
        <v>304</v>
      </c>
      <c r="F118" t="s">
        <v>319</v>
      </c>
      <c r="G118">
        <v>1</v>
      </c>
      <c r="H118">
        <v>30</v>
      </c>
      <c r="I118">
        <v>36</v>
      </c>
      <c r="J118">
        <v>40</v>
      </c>
      <c r="K118">
        <v>60</v>
      </c>
      <c r="L118">
        <v>23</v>
      </c>
      <c r="M118">
        <v>10.297128000000001</v>
      </c>
      <c r="N118">
        <v>42.235346999999997</v>
      </c>
      <c r="O118">
        <v>10.297128000000001</v>
      </c>
      <c r="P118">
        <v>39.507258</v>
      </c>
      <c r="Q118">
        <v>10.297128000000001</v>
      </c>
      <c r="R118">
        <v>39.71893</v>
      </c>
      <c r="S118">
        <v>10.297128000000001</v>
      </c>
      <c r="T118">
        <v>37.583387000000002</v>
      </c>
      <c r="U118" t="s">
        <v>1036</v>
      </c>
      <c r="V118">
        <v>0</v>
      </c>
      <c r="W118">
        <v>0</v>
      </c>
      <c r="X118">
        <v>0.5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1037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 t="s">
        <v>1038</v>
      </c>
      <c r="AU118">
        <v>0</v>
      </c>
      <c r="AV118" t="s">
        <v>1039</v>
      </c>
      <c r="AW118">
        <v>0.6</v>
      </c>
      <c r="AX118">
        <v>0</v>
      </c>
      <c r="AY118">
        <v>0</v>
      </c>
      <c r="AZ118">
        <v>0</v>
      </c>
      <c r="BA118">
        <v>0</v>
      </c>
      <c r="BB118" t="s">
        <v>1040</v>
      </c>
      <c r="BC118">
        <v>0</v>
      </c>
      <c r="BD118">
        <v>0</v>
      </c>
      <c r="BE118">
        <v>0.5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79</v>
      </c>
      <c r="BP118">
        <v>1110</v>
      </c>
    </row>
    <row r="119" spans="2:82" x14ac:dyDescent="0.25">
      <c r="B119" t="s">
        <v>321</v>
      </c>
      <c r="C119">
        <v>44</v>
      </c>
      <c r="D119" t="s">
        <v>322</v>
      </c>
      <c r="E119" t="s">
        <v>167</v>
      </c>
      <c r="F119" t="s">
        <v>323</v>
      </c>
      <c r="G119">
        <v>1</v>
      </c>
      <c r="H119">
        <v>44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</row>
    <row r="120" spans="2:82" x14ac:dyDescent="0.25">
      <c r="B120" t="s">
        <v>324</v>
      </c>
      <c r="C120">
        <v>44</v>
      </c>
      <c r="D120" t="s">
        <v>322</v>
      </c>
      <c r="E120" t="s">
        <v>167</v>
      </c>
      <c r="F120" t="s">
        <v>316</v>
      </c>
      <c r="G120">
        <v>1</v>
      </c>
      <c r="H120">
        <v>44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</row>
    <row r="121" spans="2:82" x14ac:dyDescent="0.25">
      <c r="B121" t="s">
        <v>326</v>
      </c>
      <c r="C121">
        <v>12</v>
      </c>
      <c r="D121" t="s">
        <v>303</v>
      </c>
      <c r="E121" t="s">
        <v>304</v>
      </c>
      <c r="F121" t="s">
        <v>307</v>
      </c>
      <c r="G121">
        <v>1</v>
      </c>
      <c r="H121">
        <v>36</v>
      </c>
      <c r="I121">
        <v>120</v>
      </c>
      <c r="J121">
        <v>80</v>
      </c>
      <c r="K121">
        <v>60</v>
      </c>
      <c r="L121">
        <v>52</v>
      </c>
      <c r="M121">
        <v>9.0033049999999992</v>
      </c>
      <c r="N121">
        <v>43.758187</v>
      </c>
      <c r="O121">
        <v>9.0033049999999992</v>
      </c>
      <c r="P121">
        <v>37.887104000000001</v>
      </c>
      <c r="Q121">
        <v>9.0033049999999992</v>
      </c>
      <c r="R121">
        <v>41.458759999999998</v>
      </c>
      <c r="S121">
        <v>9.0033049999999992</v>
      </c>
      <c r="T121">
        <v>33.296126999999998</v>
      </c>
      <c r="U121" t="s">
        <v>1041</v>
      </c>
      <c r="V121">
        <v>0.54400000000000004</v>
      </c>
      <c r="W121">
        <v>9</v>
      </c>
      <c r="X121">
        <v>3.4780000000000002</v>
      </c>
      <c r="Y121">
        <v>1.171</v>
      </c>
      <c r="Z121">
        <v>0</v>
      </c>
      <c r="AA121">
        <v>0</v>
      </c>
      <c r="AB121">
        <v>0</v>
      </c>
      <c r="AC121">
        <v>0</v>
      </c>
      <c r="AD121" t="s">
        <v>1042</v>
      </c>
      <c r="AE121">
        <v>0</v>
      </c>
      <c r="AF121">
        <v>0</v>
      </c>
      <c r="AG121">
        <v>0</v>
      </c>
      <c r="AH121">
        <v>0.46300000000000002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1043</v>
      </c>
      <c r="AP121">
        <v>0</v>
      </c>
      <c r="AQ121" t="s">
        <v>1044</v>
      </c>
      <c r="AR121">
        <v>1.1990000000000001</v>
      </c>
      <c r="AS121">
        <v>0</v>
      </c>
      <c r="AT121">
        <v>0</v>
      </c>
      <c r="AU121">
        <v>0</v>
      </c>
      <c r="AV121">
        <v>0</v>
      </c>
      <c r="AW121" t="s">
        <v>1045</v>
      </c>
      <c r="AX121">
        <v>0</v>
      </c>
      <c r="AY121">
        <v>0</v>
      </c>
      <c r="AZ121">
        <v>1.5</v>
      </c>
      <c r="BA121">
        <v>0.66600000000000004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88</v>
      </c>
      <c r="BJ121">
        <v>1106</v>
      </c>
    </row>
    <row r="122" spans="2:82" x14ac:dyDescent="0.25">
      <c r="B122" t="s">
        <v>330</v>
      </c>
      <c r="C122">
        <v>22</v>
      </c>
      <c r="D122" t="s">
        <v>327</v>
      </c>
      <c r="E122" t="s">
        <v>331</v>
      </c>
      <c r="F122">
        <v>1</v>
      </c>
      <c r="G122">
        <v>22</v>
      </c>
      <c r="H122">
        <v>45</v>
      </c>
      <c r="I122">
        <v>40</v>
      </c>
      <c r="J122">
        <v>60</v>
      </c>
      <c r="K122">
        <v>22</v>
      </c>
      <c r="L122">
        <v>5.3022619999999998</v>
      </c>
      <c r="M122">
        <v>23.189571000000001</v>
      </c>
      <c r="N122">
        <v>5.3022619999999998</v>
      </c>
      <c r="O122">
        <v>21.646574999999999</v>
      </c>
      <c r="P122">
        <v>5.3022619999999998</v>
      </c>
      <c r="Q122">
        <v>22.044284000000001</v>
      </c>
      <c r="R122">
        <v>5.3022619999999998</v>
      </c>
      <c r="S122">
        <v>19.842884000000002</v>
      </c>
      <c r="T122" t="s">
        <v>1046</v>
      </c>
      <c r="U122">
        <v>0</v>
      </c>
      <c r="V122">
        <v>0</v>
      </c>
      <c r="W122">
        <v>37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1047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t="s">
        <v>1048</v>
      </c>
      <c r="AT122">
        <v>0</v>
      </c>
      <c r="AU122" t="s">
        <v>1049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21.39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78</v>
      </c>
      <c r="BR122">
        <v>1052</v>
      </c>
    </row>
    <row r="123" spans="2:82" x14ac:dyDescent="0.25">
      <c r="B123" t="s">
        <v>332</v>
      </c>
      <c r="C123">
        <v>26</v>
      </c>
      <c r="D123" t="s">
        <v>333</v>
      </c>
      <c r="E123" t="s">
        <v>304</v>
      </c>
      <c r="F123" t="s">
        <v>323</v>
      </c>
      <c r="G123">
        <v>1</v>
      </c>
      <c r="H123">
        <v>40</v>
      </c>
      <c r="I123">
        <v>40</v>
      </c>
      <c r="J123">
        <v>40</v>
      </c>
      <c r="K123">
        <v>60</v>
      </c>
      <c r="L123">
        <v>26</v>
      </c>
      <c r="M123">
        <v>11.946</v>
      </c>
      <c r="N123">
        <v>56.000273</v>
      </c>
      <c r="O123">
        <v>11.946</v>
      </c>
      <c r="P123">
        <v>49.507300000000001</v>
      </c>
      <c r="Q123">
        <v>11.946</v>
      </c>
      <c r="R123">
        <v>51.651738999999999</v>
      </c>
      <c r="S123">
        <v>11.946</v>
      </c>
      <c r="T123">
        <v>42.636940000000003</v>
      </c>
      <c r="U123" t="s">
        <v>1050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1051</v>
      </c>
      <c r="AI123">
        <v>0</v>
      </c>
      <c r="AJ123">
        <v>0</v>
      </c>
      <c r="AK123">
        <v>0</v>
      </c>
      <c r="AL123">
        <v>10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1052</v>
      </c>
      <c r="AV123">
        <v>0</v>
      </c>
      <c r="AW123">
        <v>0</v>
      </c>
      <c r="AX123" t="s">
        <v>1053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1054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75</v>
      </c>
      <c r="BS123">
        <v>1012</v>
      </c>
    </row>
    <row r="124" spans="2:82" x14ac:dyDescent="0.25">
      <c r="B124" t="s">
        <v>334</v>
      </c>
      <c r="C124">
        <v>28</v>
      </c>
      <c r="D124" t="s">
        <v>335</v>
      </c>
      <c r="E124" t="s">
        <v>316</v>
      </c>
      <c r="F124">
        <v>1</v>
      </c>
      <c r="G124">
        <v>30</v>
      </c>
      <c r="H124">
        <v>50</v>
      </c>
      <c r="I124">
        <v>35</v>
      </c>
      <c r="J124">
        <v>60</v>
      </c>
      <c r="K124">
        <v>28</v>
      </c>
      <c r="L124">
        <v>4.9808669999999999</v>
      </c>
      <c r="M124">
        <v>20.138929999999998</v>
      </c>
      <c r="N124">
        <v>4.9808669999999999</v>
      </c>
      <c r="O124">
        <v>20.648516000000001</v>
      </c>
      <c r="P124">
        <v>4.9808669999999999</v>
      </c>
      <c r="Q124">
        <v>22.590881</v>
      </c>
      <c r="R124">
        <v>4.9808669999999999</v>
      </c>
      <c r="S124">
        <v>19.910195999999999</v>
      </c>
      <c r="T124" t="s">
        <v>1055</v>
      </c>
      <c r="U124">
        <v>0.22700000000000001</v>
      </c>
      <c r="V124" t="s">
        <v>1056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1057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1058</v>
      </c>
      <c r="AQ124" t="s">
        <v>1059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t="s">
        <v>1060</v>
      </c>
      <c r="AZ124">
        <v>0</v>
      </c>
      <c r="BA124">
        <v>0</v>
      </c>
      <c r="BB124" t="s">
        <v>1061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37</v>
      </c>
      <c r="BL124">
        <v>505</v>
      </c>
    </row>
    <row r="125" spans="2:82" x14ac:dyDescent="0.25">
      <c r="B125" t="s">
        <v>338</v>
      </c>
      <c r="C125">
        <v>12</v>
      </c>
      <c r="D125" t="s">
        <v>303</v>
      </c>
      <c r="E125" t="s">
        <v>304</v>
      </c>
      <c r="F125" t="s">
        <v>305</v>
      </c>
      <c r="G125">
        <v>1</v>
      </c>
      <c r="H125">
        <v>45</v>
      </c>
      <c r="I125">
        <v>72</v>
      </c>
      <c r="J125">
        <v>35</v>
      </c>
      <c r="K125">
        <v>80</v>
      </c>
      <c r="L125">
        <v>52</v>
      </c>
      <c r="M125">
        <v>9.4531189999999992</v>
      </c>
      <c r="N125">
        <v>46.872193000000003</v>
      </c>
      <c r="O125">
        <v>9.4531189999999992</v>
      </c>
      <c r="P125">
        <v>38.651778999999998</v>
      </c>
      <c r="Q125">
        <v>9.4531189999999992</v>
      </c>
      <c r="R125">
        <v>40.511409999999998</v>
      </c>
      <c r="S125">
        <v>9.4531189999999992</v>
      </c>
      <c r="T125">
        <v>33.508288999999998</v>
      </c>
      <c r="U125" t="s">
        <v>1062</v>
      </c>
      <c r="V125">
        <v>0.435</v>
      </c>
      <c r="W125">
        <v>0</v>
      </c>
      <c r="X125">
        <v>0.38200000000000001</v>
      </c>
      <c r="Y125">
        <v>0.76500000000000001</v>
      </c>
      <c r="Z125">
        <v>0</v>
      </c>
      <c r="AA125">
        <v>0</v>
      </c>
      <c r="AB125">
        <v>0</v>
      </c>
      <c r="AC125">
        <v>0</v>
      </c>
      <c r="AD125" t="s">
        <v>1063</v>
      </c>
      <c r="AE125">
        <v>0</v>
      </c>
      <c r="AF125">
        <v>0</v>
      </c>
      <c r="AG125">
        <v>0</v>
      </c>
      <c r="AH125">
        <v>0.46300000000000002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1064</v>
      </c>
      <c r="AP125">
        <v>0</v>
      </c>
      <c r="AQ125" t="s">
        <v>1065</v>
      </c>
      <c r="AR125">
        <v>2.056</v>
      </c>
      <c r="AS125">
        <v>0</v>
      </c>
      <c r="AT125">
        <v>0</v>
      </c>
      <c r="AU125">
        <v>0</v>
      </c>
      <c r="AV125">
        <v>0</v>
      </c>
      <c r="AW125" t="s">
        <v>1066</v>
      </c>
      <c r="AX125">
        <v>0</v>
      </c>
      <c r="AY125">
        <v>0</v>
      </c>
      <c r="AZ125">
        <v>1.5</v>
      </c>
      <c r="BA125">
        <v>0.66600000000000004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101</v>
      </c>
      <c r="BJ125">
        <v>1284</v>
      </c>
    </row>
    <row r="126" spans="2:82" x14ac:dyDescent="0.25">
      <c r="B126" t="s">
        <v>339</v>
      </c>
      <c r="C126">
        <v>113</v>
      </c>
      <c r="D126" t="s">
        <v>340</v>
      </c>
      <c r="E126" t="s">
        <v>341</v>
      </c>
      <c r="F126" t="s">
        <v>35</v>
      </c>
      <c r="G126">
        <v>3</v>
      </c>
      <c r="H126">
        <v>60</v>
      </c>
      <c r="I126">
        <v>60</v>
      </c>
      <c r="J126">
        <v>60</v>
      </c>
      <c r="K126">
        <v>60</v>
      </c>
      <c r="L126">
        <v>9.4461840000000006</v>
      </c>
      <c r="M126">
        <v>42.882590999999998</v>
      </c>
      <c r="N126">
        <v>9.4461840000000006</v>
      </c>
      <c r="O126">
        <v>39.948248999999997</v>
      </c>
      <c r="P126">
        <v>9.4461840000000006</v>
      </c>
      <c r="Q126">
        <v>43.725628999999998</v>
      </c>
      <c r="R126">
        <v>9.4461840000000006</v>
      </c>
      <c r="S126">
        <v>35.724029000000002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2:82" x14ac:dyDescent="0.25">
      <c r="B127" t="s">
        <v>342</v>
      </c>
      <c r="C127">
        <v>112</v>
      </c>
      <c r="D127" t="s">
        <v>340</v>
      </c>
      <c r="E127" t="s">
        <v>343</v>
      </c>
      <c r="F127" t="s">
        <v>35</v>
      </c>
      <c r="G127">
        <v>3</v>
      </c>
      <c r="H127">
        <v>60</v>
      </c>
      <c r="I127">
        <v>60</v>
      </c>
      <c r="J127">
        <v>60</v>
      </c>
      <c r="K127">
        <v>60</v>
      </c>
      <c r="L127">
        <v>6.4514230000000001</v>
      </c>
      <c r="M127">
        <v>29.336272000000001</v>
      </c>
      <c r="N127">
        <v>6.4514230000000001</v>
      </c>
      <c r="O127">
        <v>27.971305000000001</v>
      </c>
      <c r="P127">
        <v>6.4514230000000001</v>
      </c>
      <c r="Q127">
        <v>31.464428999999999</v>
      </c>
      <c r="R127">
        <v>6.4514230000000001</v>
      </c>
      <c r="S127">
        <v>24.722695000000002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2:82" x14ac:dyDescent="0.25">
      <c r="B128" t="s">
        <v>344</v>
      </c>
      <c r="C128">
        <v>107</v>
      </c>
      <c r="D128" t="s">
        <v>98</v>
      </c>
      <c r="E128" t="s">
        <v>345</v>
      </c>
      <c r="F128">
        <v>2</v>
      </c>
      <c r="G128">
        <v>60</v>
      </c>
      <c r="H128">
        <v>60</v>
      </c>
      <c r="I128">
        <v>60</v>
      </c>
      <c r="J128">
        <v>60</v>
      </c>
      <c r="K128">
        <v>7.4335449999999996</v>
      </c>
      <c r="L128">
        <v>30.048404000000001</v>
      </c>
      <c r="M128">
        <v>7.4335449999999996</v>
      </c>
      <c r="N128">
        <v>28.567443000000001</v>
      </c>
      <c r="O128">
        <v>7.4335449999999996</v>
      </c>
      <c r="P128">
        <v>31.622046999999998</v>
      </c>
      <c r="Q128">
        <v>7.4335449999999996</v>
      </c>
      <c r="R128">
        <v>25.896847000000001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2:82" x14ac:dyDescent="0.25">
      <c r="B129" t="s">
        <v>346</v>
      </c>
      <c r="C129">
        <v>105</v>
      </c>
      <c r="D129" t="s">
        <v>98</v>
      </c>
      <c r="E129" t="s">
        <v>347</v>
      </c>
      <c r="F129">
        <v>2</v>
      </c>
      <c r="G129">
        <v>60</v>
      </c>
      <c r="H129">
        <v>60</v>
      </c>
      <c r="I129">
        <v>60</v>
      </c>
      <c r="J129">
        <v>60</v>
      </c>
      <c r="K129">
        <v>6.8124010000000004</v>
      </c>
      <c r="L129">
        <v>27.259563</v>
      </c>
      <c r="M129">
        <v>6.8124010000000004</v>
      </c>
      <c r="N129">
        <v>26.411581000000002</v>
      </c>
      <c r="O129">
        <v>6.8124010000000004</v>
      </c>
      <c r="P129">
        <v>28.024463000000001</v>
      </c>
      <c r="Q129">
        <v>6.8124010000000004</v>
      </c>
      <c r="R129">
        <v>24.819959000000001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2:82" x14ac:dyDescent="0.25">
      <c r="B130" t="s">
        <v>348</v>
      </c>
      <c r="C130">
        <v>106</v>
      </c>
      <c r="D130" t="s">
        <v>98</v>
      </c>
      <c r="E130" t="s">
        <v>349</v>
      </c>
      <c r="F130" t="s">
        <v>350</v>
      </c>
      <c r="G130">
        <v>2</v>
      </c>
      <c r="H130">
        <v>60</v>
      </c>
      <c r="I130">
        <v>60</v>
      </c>
      <c r="J130">
        <v>60</v>
      </c>
      <c r="K130">
        <v>60</v>
      </c>
      <c r="L130">
        <v>3.8682729999999999</v>
      </c>
      <c r="M130">
        <v>12.837476000000001</v>
      </c>
      <c r="N130">
        <v>3.8682729999999999</v>
      </c>
      <c r="O130">
        <v>12.60651</v>
      </c>
      <c r="P130">
        <v>3.8682729999999999</v>
      </c>
      <c r="Q130">
        <v>14.447768999999999</v>
      </c>
      <c r="R130">
        <v>3.8682729999999999</v>
      </c>
      <c r="S130">
        <v>11.499342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2:82" x14ac:dyDescent="0.25">
      <c r="B131" t="s">
        <v>352</v>
      </c>
      <c r="C131">
        <v>104</v>
      </c>
      <c r="D131" t="s">
        <v>98</v>
      </c>
      <c r="E131" t="s">
        <v>353</v>
      </c>
      <c r="F131">
        <v>2</v>
      </c>
      <c r="G131">
        <v>60</v>
      </c>
      <c r="H131">
        <v>60</v>
      </c>
      <c r="I131">
        <v>60</v>
      </c>
      <c r="J131">
        <v>60</v>
      </c>
      <c r="K131">
        <v>7.9185800000000004</v>
      </c>
      <c r="L131">
        <v>30.313780999999999</v>
      </c>
      <c r="M131">
        <v>7.9185800000000004</v>
      </c>
      <c r="N131">
        <v>29.289691000000001</v>
      </c>
      <c r="O131">
        <v>7.9185800000000004</v>
      </c>
      <c r="P131">
        <v>30.680589999999999</v>
      </c>
      <c r="Q131">
        <v>7.9185800000000004</v>
      </c>
      <c r="R131">
        <v>28.140519999999999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2:82" x14ac:dyDescent="0.25">
      <c r="B132" t="s">
        <v>354</v>
      </c>
      <c r="C132">
        <v>101</v>
      </c>
      <c r="D132" t="s">
        <v>98</v>
      </c>
      <c r="E132" t="s">
        <v>355</v>
      </c>
      <c r="F132" t="s">
        <v>356</v>
      </c>
      <c r="G132">
        <v>2</v>
      </c>
      <c r="H132">
        <v>60</v>
      </c>
      <c r="I132">
        <v>60</v>
      </c>
      <c r="J132">
        <v>60</v>
      </c>
      <c r="K132">
        <v>60</v>
      </c>
      <c r="L132">
        <v>9.2214729999999996</v>
      </c>
      <c r="M132">
        <v>26.471817000000001</v>
      </c>
      <c r="N132">
        <v>9.2214729999999996</v>
      </c>
      <c r="O132">
        <v>25.546986</v>
      </c>
      <c r="P132">
        <v>9.2214729999999996</v>
      </c>
      <c r="Q132">
        <v>27.291264999999999</v>
      </c>
      <c r="R132">
        <v>9.2214729999999996</v>
      </c>
      <c r="S132">
        <v>23.902076000000001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2:82" x14ac:dyDescent="0.25">
      <c r="B133" t="s">
        <v>357</v>
      </c>
      <c r="C133">
        <v>108</v>
      </c>
      <c r="D133" t="s">
        <v>98</v>
      </c>
      <c r="E133" t="s">
        <v>358</v>
      </c>
      <c r="F133" t="s">
        <v>359</v>
      </c>
      <c r="G133">
        <v>2</v>
      </c>
      <c r="H133">
        <v>60</v>
      </c>
      <c r="I133">
        <v>60</v>
      </c>
      <c r="J133">
        <v>60</v>
      </c>
      <c r="K133">
        <v>60</v>
      </c>
      <c r="L133">
        <v>3.923079</v>
      </c>
      <c r="M133">
        <v>18.192052</v>
      </c>
      <c r="N133">
        <v>3.923079</v>
      </c>
      <c r="O133">
        <v>17.413557999999998</v>
      </c>
      <c r="P133">
        <v>3.923079</v>
      </c>
      <c r="Q133">
        <v>18.939308</v>
      </c>
      <c r="R133">
        <v>3.923079</v>
      </c>
      <c r="S133">
        <v>15.813765999999999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2:82" x14ac:dyDescent="0.25">
      <c r="B134" t="s">
        <v>360</v>
      </c>
      <c r="C134">
        <v>102</v>
      </c>
      <c r="D134" t="s">
        <v>98</v>
      </c>
      <c r="E134" t="s">
        <v>311</v>
      </c>
      <c r="F134" t="s">
        <v>361</v>
      </c>
      <c r="G134">
        <v>2</v>
      </c>
      <c r="H134">
        <v>60</v>
      </c>
      <c r="I134">
        <v>60</v>
      </c>
      <c r="J134">
        <v>60</v>
      </c>
      <c r="K134">
        <v>60</v>
      </c>
      <c r="L134">
        <v>7.1080940000000004</v>
      </c>
      <c r="M134">
        <v>31.697056</v>
      </c>
      <c r="N134">
        <v>7.1080940000000004</v>
      </c>
      <c r="O134">
        <v>29.331171000000001</v>
      </c>
      <c r="P134">
        <v>7.1080940000000004</v>
      </c>
      <c r="Q134">
        <v>32.399033000000003</v>
      </c>
      <c r="R134">
        <v>7.1080940000000004</v>
      </c>
      <c r="S134">
        <v>26.155546999999999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2:82" x14ac:dyDescent="0.25">
      <c r="B135" t="s">
        <v>362</v>
      </c>
      <c r="C135">
        <v>23</v>
      </c>
      <c r="D135" t="s">
        <v>318</v>
      </c>
      <c r="E135" t="s">
        <v>304</v>
      </c>
      <c r="F135" t="s">
        <v>363</v>
      </c>
      <c r="G135">
        <v>1</v>
      </c>
      <c r="H135">
        <v>60</v>
      </c>
      <c r="I135">
        <v>90</v>
      </c>
      <c r="J135">
        <v>60</v>
      </c>
      <c r="K135">
        <v>23</v>
      </c>
      <c r="L135">
        <v>7.0893709999999999</v>
      </c>
      <c r="M135">
        <v>25.887167000000002</v>
      </c>
      <c r="N135">
        <v>7.0893709999999999</v>
      </c>
      <c r="O135">
        <v>26.741326999999998</v>
      </c>
      <c r="P135">
        <v>7.0893709999999999</v>
      </c>
      <c r="Q135">
        <v>30.437778999999999</v>
      </c>
      <c r="R135">
        <v>0</v>
      </c>
      <c r="S135">
        <v>0</v>
      </c>
      <c r="T135" t="s">
        <v>1067</v>
      </c>
      <c r="U135" t="s">
        <v>1068</v>
      </c>
      <c r="V135">
        <v>0.33300000000000002</v>
      </c>
      <c r="W135">
        <v>0</v>
      </c>
      <c r="X135">
        <v>0</v>
      </c>
      <c r="Y135">
        <v>0</v>
      </c>
      <c r="Z135">
        <v>0</v>
      </c>
      <c r="AA135" t="s">
        <v>1069</v>
      </c>
      <c r="AB135">
        <v>0</v>
      </c>
      <c r="AC135">
        <v>0</v>
      </c>
      <c r="AD135">
        <v>1.5</v>
      </c>
      <c r="AE135">
        <v>1.0720000000000001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">
        <v>1070</v>
      </c>
      <c r="AM135" t="s">
        <v>1071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39</v>
      </c>
      <c r="BK135">
        <v>549</v>
      </c>
    </row>
    <row r="136" spans="2:82" x14ac:dyDescent="0.25">
      <c r="B136" t="s">
        <v>364</v>
      </c>
      <c r="C136">
        <v>23</v>
      </c>
      <c r="D136" t="s">
        <v>318</v>
      </c>
      <c r="E136" t="s">
        <v>304</v>
      </c>
      <c r="F136" t="s">
        <v>363</v>
      </c>
      <c r="G136">
        <v>1</v>
      </c>
      <c r="H136">
        <v>60</v>
      </c>
      <c r="I136">
        <v>70</v>
      </c>
      <c r="J136">
        <v>80</v>
      </c>
      <c r="K136">
        <v>23</v>
      </c>
      <c r="L136">
        <v>7.4262160000000002</v>
      </c>
      <c r="M136">
        <v>31.604106999999999</v>
      </c>
      <c r="N136">
        <v>7.4262160000000002</v>
      </c>
      <c r="O136">
        <v>28.322966000000001</v>
      </c>
      <c r="P136">
        <v>7.4262160000000002</v>
      </c>
      <c r="Q136">
        <v>28.202991000000001</v>
      </c>
      <c r="R136">
        <v>0</v>
      </c>
      <c r="S136">
        <v>0</v>
      </c>
      <c r="T136" t="s">
        <v>1072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1073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s">
        <v>1074</v>
      </c>
      <c r="AU136">
        <v>0</v>
      </c>
      <c r="AV136" t="s">
        <v>1075</v>
      </c>
      <c r="AW136">
        <v>0.4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37</v>
      </c>
      <c r="BS136">
        <v>520</v>
      </c>
    </row>
    <row r="137" spans="2:82" x14ac:dyDescent="0.25">
      <c r="B137" t="s">
        <v>365</v>
      </c>
      <c r="C137">
        <v>12</v>
      </c>
      <c r="D137" t="s">
        <v>303</v>
      </c>
      <c r="E137" t="s">
        <v>304</v>
      </c>
      <c r="F137" t="s">
        <v>366</v>
      </c>
      <c r="G137">
        <v>1</v>
      </c>
      <c r="H137">
        <v>45</v>
      </c>
      <c r="I137">
        <v>120</v>
      </c>
      <c r="J137">
        <v>60</v>
      </c>
      <c r="K137">
        <v>52</v>
      </c>
      <c r="L137">
        <v>9.4614700000000003</v>
      </c>
      <c r="M137">
        <v>48.071156000000002</v>
      </c>
      <c r="N137">
        <v>9.4614700000000003</v>
      </c>
      <c r="O137">
        <v>41.027203999999998</v>
      </c>
      <c r="P137">
        <v>0</v>
      </c>
      <c r="Q137">
        <v>0</v>
      </c>
      <c r="R137">
        <v>9.4614700000000003</v>
      </c>
      <c r="S137">
        <v>36.264606999999998</v>
      </c>
      <c r="T137" t="s">
        <v>1076</v>
      </c>
      <c r="U137">
        <v>0.435</v>
      </c>
      <c r="V137">
        <v>0</v>
      </c>
      <c r="W137">
        <v>0.38200000000000001</v>
      </c>
      <c r="X137">
        <v>0.76500000000000001</v>
      </c>
      <c r="Y137">
        <v>0</v>
      </c>
      <c r="Z137">
        <v>0</v>
      </c>
      <c r="AA137">
        <v>0</v>
      </c>
      <c r="AB137">
        <v>0</v>
      </c>
      <c r="AC137" t="s">
        <v>1077</v>
      </c>
      <c r="AD137">
        <v>0</v>
      </c>
      <c r="AE137">
        <v>0</v>
      </c>
      <c r="AF137">
        <v>0</v>
      </c>
      <c r="AG137">
        <v>0.46300000000000002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1078</v>
      </c>
      <c r="BD137">
        <v>0</v>
      </c>
      <c r="BE137">
        <v>0</v>
      </c>
      <c r="BF137">
        <v>1.5</v>
      </c>
      <c r="BG137">
        <v>0.66600000000000004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67</v>
      </c>
      <c r="BP137">
        <v>842</v>
      </c>
    </row>
    <row r="138" spans="2:82" x14ac:dyDescent="0.25">
      <c r="B138" t="s">
        <v>367</v>
      </c>
      <c r="C138">
        <v>17</v>
      </c>
      <c r="D138" t="s">
        <v>309</v>
      </c>
      <c r="E138" t="s">
        <v>310</v>
      </c>
      <c r="F138" t="s">
        <v>311</v>
      </c>
      <c r="G138" t="s">
        <v>312</v>
      </c>
      <c r="H138">
        <v>1</v>
      </c>
      <c r="I138">
        <v>45</v>
      </c>
      <c r="J138">
        <v>60</v>
      </c>
      <c r="K138">
        <v>80</v>
      </c>
      <c r="L138">
        <v>17</v>
      </c>
      <c r="M138">
        <v>5.9912140000000003</v>
      </c>
      <c r="N138">
        <v>25.298691999999999</v>
      </c>
      <c r="O138">
        <v>5.9912140000000003</v>
      </c>
      <c r="P138">
        <v>24.682040000000001</v>
      </c>
      <c r="Q138">
        <v>5.9912140000000003</v>
      </c>
      <c r="R138">
        <v>27.100413</v>
      </c>
      <c r="S138">
        <v>0</v>
      </c>
      <c r="T138">
        <v>0</v>
      </c>
      <c r="U138" t="s">
        <v>1079</v>
      </c>
      <c r="V138" t="s">
        <v>1080</v>
      </c>
      <c r="W138">
        <v>0.5</v>
      </c>
      <c r="X138">
        <v>0</v>
      </c>
      <c r="Y138">
        <v>0</v>
      </c>
      <c r="Z138">
        <v>0</v>
      </c>
      <c r="AA138">
        <v>0</v>
      </c>
      <c r="AB138" t="s">
        <v>1081</v>
      </c>
      <c r="AC138">
        <v>0</v>
      </c>
      <c r="AD138" t="s">
        <v>1082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t="s">
        <v>1083</v>
      </c>
      <c r="AL138" t="s">
        <v>1084</v>
      </c>
      <c r="AM138">
        <v>0.44400000000000001</v>
      </c>
      <c r="AN138">
        <v>0.44400000000000001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30</v>
      </c>
      <c r="BJ138">
        <v>416</v>
      </c>
    </row>
    <row r="139" spans="2:82" x14ac:dyDescent="0.25">
      <c r="B139" t="s">
        <v>368</v>
      </c>
      <c r="C139">
        <v>4</v>
      </c>
      <c r="D139" t="s">
        <v>369</v>
      </c>
      <c r="E139" t="s">
        <v>323</v>
      </c>
      <c r="F139">
        <v>1</v>
      </c>
      <c r="G139">
        <v>20</v>
      </c>
      <c r="H139">
        <v>30</v>
      </c>
      <c r="I139">
        <v>30</v>
      </c>
      <c r="J139">
        <v>60</v>
      </c>
      <c r="K139">
        <v>4</v>
      </c>
      <c r="L139">
        <v>8.4705080000000006</v>
      </c>
      <c r="M139">
        <v>37.696103999999998</v>
      </c>
      <c r="N139">
        <v>8.4705080000000006</v>
      </c>
      <c r="O139">
        <v>34.971339</v>
      </c>
      <c r="P139">
        <v>8.4705080000000006</v>
      </c>
      <c r="Q139">
        <v>34.659098</v>
      </c>
      <c r="R139">
        <v>8.4705080000000006</v>
      </c>
      <c r="S139">
        <v>33.196084999999997</v>
      </c>
      <c r="T139" t="s">
        <v>1085</v>
      </c>
      <c r="U139">
        <v>0</v>
      </c>
      <c r="V139">
        <v>0</v>
      </c>
      <c r="W139">
        <v>0</v>
      </c>
      <c r="X139">
        <v>0</v>
      </c>
      <c r="Y139">
        <v>12.4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1086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1087</v>
      </c>
      <c r="AT139">
        <v>1</v>
      </c>
      <c r="AU139">
        <v>0</v>
      </c>
      <c r="AV139" t="s">
        <v>1088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1089</v>
      </c>
      <c r="BD139">
        <v>0</v>
      </c>
      <c r="BE139">
        <v>0</v>
      </c>
      <c r="BF139">
        <v>0.5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98</v>
      </c>
      <c r="BQ139">
        <v>1217</v>
      </c>
    </row>
    <row r="140" spans="2:82" x14ac:dyDescent="0.25">
      <c r="B140" t="s">
        <v>370</v>
      </c>
      <c r="C140">
        <v>4</v>
      </c>
      <c r="D140" t="s">
        <v>369</v>
      </c>
      <c r="E140" t="s">
        <v>316</v>
      </c>
      <c r="F140">
        <v>1</v>
      </c>
      <c r="G140">
        <v>26</v>
      </c>
      <c r="H140">
        <v>30</v>
      </c>
      <c r="I140">
        <v>30</v>
      </c>
      <c r="J140">
        <v>60</v>
      </c>
      <c r="K140">
        <v>4</v>
      </c>
      <c r="L140">
        <v>7.7373960000000004</v>
      </c>
      <c r="M140">
        <v>31.269846000000001</v>
      </c>
      <c r="N140">
        <v>7.7373960000000004</v>
      </c>
      <c r="O140">
        <v>31.980229999999999</v>
      </c>
      <c r="P140">
        <v>7.7373960000000004</v>
      </c>
      <c r="Q140">
        <v>34.759624000000002</v>
      </c>
      <c r="R140">
        <v>7.7373960000000004</v>
      </c>
      <c r="S140">
        <v>30.985623</v>
      </c>
      <c r="T140" t="s">
        <v>1090</v>
      </c>
      <c r="U140" t="s">
        <v>1091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1092</v>
      </c>
      <c r="AC140">
        <v>0</v>
      </c>
      <c r="AD140">
        <v>0</v>
      </c>
      <c r="AE140">
        <v>0</v>
      </c>
      <c r="AF140">
        <v>0</v>
      </c>
      <c r="AG140">
        <v>1.6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t="s">
        <v>1093</v>
      </c>
      <c r="AO140">
        <v>0</v>
      </c>
      <c r="AP140">
        <v>2.2759999999999998</v>
      </c>
      <c r="AQ140">
        <v>0.5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t="s">
        <v>1094</v>
      </c>
      <c r="AZ140">
        <v>0</v>
      </c>
      <c r="BA140">
        <v>0.33300000000000002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99</v>
      </c>
      <c r="BL140">
        <v>1305</v>
      </c>
    </row>
    <row r="141" spans="2:82" x14ac:dyDescent="0.25">
      <c r="B141" t="s">
        <v>371</v>
      </c>
      <c r="C141">
        <v>12</v>
      </c>
      <c r="D141" t="s">
        <v>303</v>
      </c>
      <c r="E141" t="s">
        <v>304</v>
      </c>
      <c r="F141" t="s">
        <v>366</v>
      </c>
      <c r="G141">
        <v>1</v>
      </c>
      <c r="H141">
        <v>60</v>
      </c>
      <c r="I141">
        <v>120</v>
      </c>
      <c r="J141">
        <v>48</v>
      </c>
      <c r="K141">
        <v>60</v>
      </c>
      <c r="L141">
        <v>52</v>
      </c>
      <c r="M141">
        <v>8.2445629999999994</v>
      </c>
      <c r="N141">
        <v>35.118597999999999</v>
      </c>
      <c r="O141">
        <v>8.2445629999999994</v>
      </c>
      <c r="P141">
        <v>34.473443000000003</v>
      </c>
      <c r="Q141">
        <v>8.2445629999999994</v>
      </c>
      <c r="R141">
        <v>42.027233000000003</v>
      </c>
      <c r="S141">
        <v>8.2445629999999994</v>
      </c>
      <c r="T141">
        <v>31.752282999999998</v>
      </c>
      <c r="U141" t="s">
        <v>1095</v>
      </c>
      <c r="V141" t="s">
        <v>1096</v>
      </c>
      <c r="W141">
        <v>0.79500000000000004</v>
      </c>
      <c r="X141">
        <v>0</v>
      </c>
      <c r="Y141">
        <v>0</v>
      </c>
      <c r="Z141">
        <v>0</v>
      </c>
      <c r="AA141">
        <v>0</v>
      </c>
      <c r="AB141" t="s">
        <v>1097</v>
      </c>
      <c r="AC141">
        <v>0</v>
      </c>
      <c r="AD141" t="s">
        <v>1016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t="s">
        <v>1098</v>
      </c>
      <c r="AL141" t="s">
        <v>1099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1100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93</v>
      </c>
      <c r="BI141">
        <v>1231</v>
      </c>
    </row>
    <row r="142" spans="2:82" x14ac:dyDescent="0.25">
      <c r="B142" t="s">
        <v>372</v>
      </c>
      <c r="C142">
        <v>22</v>
      </c>
      <c r="D142" t="s">
        <v>327</v>
      </c>
      <c r="E142" t="s">
        <v>331</v>
      </c>
      <c r="F142">
        <v>1</v>
      </c>
      <c r="G142">
        <v>30</v>
      </c>
      <c r="H142">
        <v>45</v>
      </c>
      <c r="I142">
        <v>30</v>
      </c>
      <c r="J142">
        <v>60</v>
      </c>
      <c r="K142">
        <v>22</v>
      </c>
      <c r="L142">
        <v>5.3885509999999996</v>
      </c>
      <c r="M142">
        <v>21.353805000000001</v>
      </c>
      <c r="N142">
        <v>5.3885509999999996</v>
      </c>
      <c r="O142">
        <v>21.669775999999999</v>
      </c>
      <c r="P142">
        <v>5.3885509999999996</v>
      </c>
      <c r="Q142">
        <v>23.368541</v>
      </c>
      <c r="R142">
        <v>5.3885509999999996</v>
      </c>
      <c r="S142">
        <v>20.711093000000002</v>
      </c>
      <c r="T142" t="s">
        <v>1101</v>
      </c>
      <c r="U142">
        <v>0.192</v>
      </c>
      <c r="V142" t="s">
        <v>1102</v>
      </c>
      <c r="W142">
        <v>0.21199999999999999</v>
      </c>
      <c r="X142">
        <v>0</v>
      </c>
      <c r="Y142">
        <v>0</v>
      </c>
      <c r="Z142">
        <v>0</v>
      </c>
      <c r="AA142">
        <v>0</v>
      </c>
      <c r="AB142" t="s">
        <v>1103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t="s">
        <v>1104</v>
      </c>
      <c r="AO142" t="s">
        <v>1105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1106</v>
      </c>
      <c r="AX142">
        <v>0</v>
      </c>
      <c r="AY142">
        <v>0</v>
      </c>
      <c r="AZ142">
        <v>7.5270000000000001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59</v>
      </c>
      <c r="BK142">
        <v>839</v>
      </c>
    </row>
    <row r="143" spans="2:82" x14ac:dyDescent="0.25">
      <c r="B143" t="s">
        <v>373</v>
      </c>
      <c r="C143">
        <v>28</v>
      </c>
      <c r="D143" t="s">
        <v>335</v>
      </c>
      <c r="E143" t="s">
        <v>323</v>
      </c>
      <c r="F143">
        <v>1</v>
      </c>
      <c r="G143">
        <v>30</v>
      </c>
      <c r="H143">
        <v>50</v>
      </c>
      <c r="I143">
        <v>35</v>
      </c>
      <c r="J143">
        <v>28</v>
      </c>
      <c r="K143">
        <v>4.5241629999999997</v>
      </c>
      <c r="L143">
        <v>19.850476</v>
      </c>
      <c r="M143">
        <v>4.5241629999999997</v>
      </c>
      <c r="N143">
        <v>18.568072000000001</v>
      </c>
      <c r="O143">
        <v>4.5241629999999997</v>
      </c>
      <c r="P143">
        <v>18.515784</v>
      </c>
      <c r="Q143">
        <v>0</v>
      </c>
      <c r="R143">
        <v>0</v>
      </c>
      <c r="S143" t="s">
        <v>1107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3.5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1108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19</v>
      </c>
      <c r="BX143">
        <v>260</v>
      </c>
    </row>
    <row r="144" spans="2:82" x14ac:dyDescent="0.25">
      <c r="B144" t="s">
        <v>374</v>
      </c>
      <c r="C144">
        <v>25</v>
      </c>
      <c r="D144" t="s">
        <v>375</v>
      </c>
      <c r="E144" t="s">
        <v>376</v>
      </c>
      <c r="F144" t="s">
        <v>377</v>
      </c>
      <c r="G144">
        <v>1</v>
      </c>
      <c r="H144">
        <v>35</v>
      </c>
      <c r="I144">
        <v>52</v>
      </c>
      <c r="J144">
        <v>40</v>
      </c>
      <c r="K144">
        <v>80</v>
      </c>
      <c r="L144">
        <v>25</v>
      </c>
      <c r="M144">
        <v>11.640777999999999</v>
      </c>
      <c r="N144">
        <v>52.981409999999997</v>
      </c>
      <c r="O144">
        <v>11.640777999999999</v>
      </c>
      <c r="P144">
        <v>51.548838000000003</v>
      </c>
      <c r="Q144">
        <v>11.640777999999999</v>
      </c>
      <c r="R144">
        <v>55.158211000000001</v>
      </c>
      <c r="S144">
        <v>11.640777999999999</v>
      </c>
      <c r="T144">
        <v>47.466683000000003</v>
      </c>
      <c r="U144" t="s">
        <v>1109</v>
      </c>
      <c r="V144" t="s">
        <v>1110</v>
      </c>
      <c r="W144">
        <v>2.15</v>
      </c>
      <c r="X144">
        <v>0</v>
      </c>
      <c r="Y144">
        <v>0</v>
      </c>
      <c r="Z144">
        <v>0</v>
      </c>
      <c r="AA144">
        <v>0</v>
      </c>
      <c r="AB144" t="s">
        <v>1111</v>
      </c>
      <c r="AC144">
        <v>0</v>
      </c>
      <c r="AD144">
        <v>0</v>
      </c>
      <c r="AE144" t="s">
        <v>1112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1113</v>
      </c>
      <c r="AM144" t="s">
        <v>1114</v>
      </c>
      <c r="AN144">
        <v>5.7590000000000003</v>
      </c>
      <c r="AO144">
        <v>0</v>
      </c>
      <c r="AP144">
        <v>0</v>
      </c>
      <c r="AQ144">
        <v>0</v>
      </c>
      <c r="AR144">
        <v>0</v>
      </c>
      <c r="AS144" t="s">
        <v>1115</v>
      </c>
      <c r="AT144">
        <v>0</v>
      </c>
      <c r="AU144" t="s">
        <v>1116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81</v>
      </c>
      <c r="BD144">
        <v>1086</v>
      </c>
    </row>
    <row r="145" spans="2:81" x14ac:dyDescent="0.25">
      <c r="B145" t="s">
        <v>378</v>
      </c>
      <c r="C145">
        <v>25</v>
      </c>
      <c r="D145" t="s">
        <v>379</v>
      </c>
      <c r="E145" t="s">
        <v>380</v>
      </c>
      <c r="F145" t="s">
        <v>377</v>
      </c>
      <c r="G145">
        <v>1</v>
      </c>
      <c r="H145">
        <v>35</v>
      </c>
      <c r="I145">
        <v>60</v>
      </c>
      <c r="J145">
        <v>40</v>
      </c>
      <c r="K145">
        <v>25</v>
      </c>
      <c r="L145">
        <v>11.377637999999999</v>
      </c>
      <c r="M145">
        <v>52.671143000000001</v>
      </c>
      <c r="N145">
        <v>11.377637999999999</v>
      </c>
      <c r="O145">
        <v>50.653924000000004</v>
      </c>
      <c r="P145">
        <v>11.377637999999999</v>
      </c>
      <c r="Q145">
        <v>53.804046</v>
      </c>
      <c r="R145">
        <v>0</v>
      </c>
      <c r="S145">
        <v>0</v>
      </c>
      <c r="T145" t="s">
        <v>1117</v>
      </c>
      <c r="U145" t="s">
        <v>1118</v>
      </c>
      <c r="V145">
        <v>22.71</v>
      </c>
      <c r="W145">
        <v>0</v>
      </c>
      <c r="X145">
        <v>0</v>
      </c>
      <c r="Y145">
        <v>0</v>
      </c>
      <c r="Z145">
        <v>0</v>
      </c>
      <c r="AA145" t="s">
        <v>1119</v>
      </c>
      <c r="AB145">
        <v>0</v>
      </c>
      <c r="AC145" t="s">
        <v>1120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1121</v>
      </c>
      <c r="AK145" t="s">
        <v>1122</v>
      </c>
      <c r="AL145">
        <v>5.141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74</v>
      </c>
      <c r="BH145">
        <v>948</v>
      </c>
    </row>
    <row r="146" spans="2:81" x14ac:dyDescent="0.25">
      <c r="B146" t="s">
        <v>381</v>
      </c>
      <c r="C146">
        <v>42</v>
      </c>
      <c r="D146" t="s">
        <v>382</v>
      </c>
      <c r="E146">
        <v>1</v>
      </c>
      <c r="F146">
        <v>30</v>
      </c>
      <c r="G146">
        <v>60</v>
      </c>
      <c r="H146">
        <v>30</v>
      </c>
      <c r="I146">
        <v>240</v>
      </c>
      <c r="J146">
        <v>42</v>
      </c>
      <c r="K146">
        <v>3.8619460000000001</v>
      </c>
      <c r="L146">
        <v>16.847104999999999</v>
      </c>
      <c r="M146">
        <v>3.8619460000000001</v>
      </c>
      <c r="N146">
        <v>16.186408</v>
      </c>
      <c r="O146">
        <v>3.8619460000000001</v>
      </c>
      <c r="P146">
        <v>16.501937000000002</v>
      </c>
      <c r="Q146">
        <v>3.8619460000000001</v>
      </c>
      <c r="R146">
        <v>14.814762</v>
      </c>
      <c r="S146">
        <v>14634.79</v>
      </c>
      <c r="T146">
        <v>0.29499999999999998</v>
      </c>
      <c r="U146">
        <v>0</v>
      </c>
      <c r="V146">
        <v>0.58799999999999997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1123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t="s">
        <v>1124</v>
      </c>
      <c r="AS146">
        <v>0</v>
      </c>
      <c r="AT146" t="s">
        <v>1125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17.72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17</v>
      </c>
      <c r="BQ146">
        <v>202</v>
      </c>
    </row>
    <row r="147" spans="2:81" x14ac:dyDescent="0.25">
      <c r="B147" t="s">
        <v>383</v>
      </c>
      <c r="C147">
        <v>42</v>
      </c>
      <c r="D147" t="s">
        <v>382</v>
      </c>
      <c r="E147">
        <v>1</v>
      </c>
      <c r="F147">
        <v>30</v>
      </c>
      <c r="G147">
        <v>60</v>
      </c>
      <c r="H147">
        <v>30</v>
      </c>
      <c r="I147">
        <v>240</v>
      </c>
      <c r="J147">
        <v>42</v>
      </c>
      <c r="K147">
        <v>5.2028590000000001</v>
      </c>
      <c r="L147">
        <v>19.894921</v>
      </c>
      <c r="M147">
        <v>5.2028590000000001</v>
      </c>
      <c r="N147">
        <v>19.769129</v>
      </c>
      <c r="O147">
        <v>5.2028590000000001</v>
      </c>
      <c r="P147">
        <v>20.930541999999999</v>
      </c>
      <c r="Q147">
        <v>5.2028590000000001</v>
      </c>
      <c r="R147">
        <v>18.502711000000001</v>
      </c>
      <c r="S147" t="s">
        <v>1126</v>
      </c>
      <c r="T147">
        <v>0</v>
      </c>
      <c r="U147" t="s">
        <v>1127</v>
      </c>
      <c r="V147">
        <v>6.0999999999999999E-2</v>
      </c>
      <c r="W147">
        <v>0</v>
      </c>
      <c r="X147">
        <v>0</v>
      </c>
      <c r="Y147">
        <v>0</v>
      </c>
      <c r="Z147">
        <v>0</v>
      </c>
      <c r="AA147" t="s">
        <v>1128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t="s">
        <v>1129</v>
      </c>
      <c r="AN147" t="s">
        <v>1130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1131</v>
      </c>
      <c r="AV147">
        <v>0</v>
      </c>
      <c r="AW147">
        <v>0</v>
      </c>
      <c r="AX147">
        <v>1.5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37</v>
      </c>
      <c r="BI147">
        <v>530</v>
      </c>
    </row>
    <row r="148" spans="2:81" x14ac:dyDescent="0.25">
      <c r="B148" t="s">
        <v>384</v>
      </c>
      <c r="C148">
        <v>26</v>
      </c>
      <c r="D148" t="s">
        <v>333</v>
      </c>
      <c r="E148" t="s">
        <v>304</v>
      </c>
      <c r="F148" t="s">
        <v>316</v>
      </c>
      <c r="G148">
        <v>1</v>
      </c>
      <c r="H148">
        <v>40</v>
      </c>
      <c r="I148">
        <v>40</v>
      </c>
      <c r="J148">
        <v>40</v>
      </c>
      <c r="K148">
        <v>60</v>
      </c>
      <c r="L148">
        <v>26</v>
      </c>
      <c r="M148">
        <v>12.002694999999999</v>
      </c>
      <c r="N148">
        <v>48.089824999999998</v>
      </c>
      <c r="O148">
        <v>12.002694999999999</v>
      </c>
      <c r="P148">
        <v>48.286014000000002</v>
      </c>
      <c r="Q148">
        <v>12.002694999999999</v>
      </c>
      <c r="R148">
        <v>57.146259999999998</v>
      </c>
      <c r="S148">
        <v>12.002694999999999</v>
      </c>
      <c r="T148">
        <v>44.429234000000001</v>
      </c>
      <c r="U148" t="s">
        <v>1132</v>
      </c>
      <c r="V148" t="s">
        <v>1133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1134</v>
      </c>
      <c r="AD148">
        <v>0</v>
      </c>
      <c r="AE148">
        <v>0</v>
      </c>
      <c r="AF148">
        <v>0</v>
      </c>
      <c r="AG148" t="s">
        <v>1135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t="s">
        <v>1136</v>
      </c>
      <c r="AO148" t="s">
        <v>1137</v>
      </c>
      <c r="AP148">
        <v>1.22</v>
      </c>
      <c r="AQ148">
        <v>0</v>
      </c>
      <c r="AR148">
        <v>0</v>
      </c>
      <c r="AS148">
        <v>0</v>
      </c>
      <c r="AT148">
        <v>0</v>
      </c>
      <c r="AU148" t="s">
        <v>1138</v>
      </c>
      <c r="AV148">
        <v>0</v>
      </c>
      <c r="AW148" t="s">
        <v>1061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101</v>
      </c>
      <c r="BG148">
        <v>1367</v>
      </c>
    </row>
    <row r="149" spans="2:81" x14ac:dyDescent="0.25">
      <c r="B149" t="s">
        <v>385</v>
      </c>
      <c r="C149">
        <v>38</v>
      </c>
      <c r="D149" t="s">
        <v>386</v>
      </c>
      <c r="E149" t="s">
        <v>315</v>
      </c>
      <c r="F149" t="s">
        <v>323</v>
      </c>
      <c r="G149">
        <v>6</v>
      </c>
      <c r="H149">
        <v>90</v>
      </c>
      <c r="I149">
        <v>38</v>
      </c>
      <c r="J149">
        <v>26.990593000000001</v>
      </c>
      <c r="K149">
        <v>95.520443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63</v>
      </c>
      <c r="S149">
        <v>0</v>
      </c>
      <c r="T149">
        <v>59.25</v>
      </c>
      <c r="U149">
        <v>0</v>
      </c>
      <c r="V149">
        <v>0</v>
      </c>
      <c r="W149">
        <v>0</v>
      </c>
      <c r="X149">
        <v>0</v>
      </c>
      <c r="Y149">
        <v>4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43</v>
      </c>
      <c r="CA149">
        <v>714</v>
      </c>
    </row>
    <row r="150" spans="2:81" x14ac:dyDescent="0.25">
      <c r="B150" t="s">
        <v>388</v>
      </c>
      <c r="C150">
        <v>18</v>
      </c>
      <c r="D150" t="s">
        <v>314</v>
      </c>
      <c r="E150" t="s">
        <v>315</v>
      </c>
      <c r="F150" t="s">
        <v>323</v>
      </c>
      <c r="G150">
        <v>6</v>
      </c>
      <c r="H150">
        <v>90</v>
      </c>
      <c r="I150">
        <v>60</v>
      </c>
      <c r="J150">
        <v>48</v>
      </c>
      <c r="K150">
        <v>18</v>
      </c>
      <c r="L150">
        <v>8.5541850000000004</v>
      </c>
      <c r="M150">
        <v>29.784208</v>
      </c>
      <c r="N150">
        <v>8.5541850000000004</v>
      </c>
      <c r="O150">
        <v>26.575361000000001</v>
      </c>
      <c r="P150">
        <v>0</v>
      </c>
      <c r="Q150">
        <v>0</v>
      </c>
      <c r="R150">
        <v>8.5541850000000004</v>
      </c>
      <c r="S150">
        <v>23.641638</v>
      </c>
      <c r="T150">
        <v>7</v>
      </c>
      <c r="U150">
        <v>0</v>
      </c>
      <c r="V150">
        <v>0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3</v>
      </c>
      <c r="CC150">
        <v>52</v>
      </c>
    </row>
    <row r="151" spans="2:81" x14ac:dyDescent="0.25">
      <c r="B151" t="s">
        <v>389</v>
      </c>
      <c r="C151">
        <v>8</v>
      </c>
      <c r="D151" t="s">
        <v>390</v>
      </c>
      <c r="E151" t="s">
        <v>391</v>
      </c>
      <c r="F151" t="s">
        <v>311</v>
      </c>
      <c r="G151" t="s">
        <v>316</v>
      </c>
      <c r="H151">
        <v>1</v>
      </c>
      <c r="I151">
        <v>35</v>
      </c>
      <c r="J151">
        <v>40</v>
      </c>
      <c r="K151">
        <v>60</v>
      </c>
      <c r="L151">
        <v>120</v>
      </c>
      <c r="M151">
        <v>8</v>
      </c>
      <c r="N151">
        <v>5.328068</v>
      </c>
      <c r="O151">
        <v>22.55294</v>
      </c>
      <c r="P151">
        <v>5.328068</v>
      </c>
      <c r="Q151">
        <v>21.921095000000001</v>
      </c>
      <c r="R151">
        <v>5.328068</v>
      </c>
      <c r="S151">
        <v>24.647743999999999</v>
      </c>
      <c r="T151">
        <v>5.328068</v>
      </c>
      <c r="U151">
        <v>20.384646</v>
      </c>
      <c r="V151" t="s">
        <v>1139</v>
      </c>
      <c r="W151">
        <v>0</v>
      </c>
      <c r="X151" t="s">
        <v>1140</v>
      </c>
      <c r="Y151">
        <v>1.673</v>
      </c>
      <c r="Z151">
        <v>0</v>
      </c>
      <c r="AA151">
        <v>0</v>
      </c>
      <c r="AB151">
        <v>0</v>
      </c>
      <c r="AC151">
        <v>0</v>
      </c>
      <c r="AD151" t="s">
        <v>1141</v>
      </c>
      <c r="AE151">
        <v>0</v>
      </c>
      <c r="AF151" t="s">
        <v>1142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1143</v>
      </c>
      <c r="AN151">
        <v>0</v>
      </c>
      <c r="AO151">
        <v>24.08</v>
      </c>
      <c r="AP151">
        <v>0.2</v>
      </c>
      <c r="AQ151">
        <v>0.219</v>
      </c>
      <c r="AR151">
        <v>0</v>
      </c>
      <c r="AS151">
        <v>0</v>
      </c>
      <c r="AT151">
        <v>0</v>
      </c>
      <c r="AU151">
        <v>0</v>
      </c>
      <c r="AV151" t="s">
        <v>1144</v>
      </c>
      <c r="AW151">
        <v>0</v>
      </c>
      <c r="AX151" t="s">
        <v>1145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45</v>
      </c>
      <c r="BG151">
        <v>622</v>
      </c>
    </row>
    <row r="152" spans="2:81" x14ac:dyDescent="0.25">
      <c r="B152" t="s">
        <v>392</v>
      </c>
      <c r="C152">
        <v>8</v>
      </c>
      <c r="D152" t="s">
        <v>390</v>
      </c>
      <c r="E152" t="s">
        <v>391</v>
      </c>
      <c r="F152" t="s">
        <v>311</v>
      </c>
      <c r="G152" t="s">
        <v>323</v>
      </c>
      <c r="H152">
        <v>1</v>
      </c>
      <c r="I152">
        <v>35</v>
      </c>
      <c r="J152">
        <v>40</v>
      </c>
      <c r="K152">
        <v>60</v>
      </c>
      <c r="L152">
        <v>120</v>
      </c>
      <c r="M152">
        <v>8</v>
      </c>
      <c r="N152">
        <v>6.0009629999999996</v>
      </c>
      <c r="O152">
        <v>27.819143</v>
      </c>
      <c r="P152">
        <v>6.0009629999999996</v>
      </c>
      <c r="Q152">
        <v>25.442499000000002</v>
      </c>
      <c r="R152">
        <v>6.0009629999999996</v>
      </c>
      <c r="S152">
        <v>26.996486000000001</v>
      </c>
      <c r="T152">
        <v>6.0009629999999996</v>
      </c>
      <c r="U152">
        <v>23.038571000000001</v>
      </c>
      <c r="V152" t="s">
        <v>1146</v>
      </c>
      <c r="W152">
        <v>0</v>
      </c>
      <c r="X152" t="s">
        <v>1147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1148</v>
      </c>
      <c r="AH152">
        <v>0</v>
      </c>
      <c r="AI152">
        <v>0</v>
      </c>
      <c r="AJ152">
        <v>1.5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1149</v>
      </c>
      <c r="AT152">
        <v>0</v>
      </c>
      <c r="AU152" t="s">
        <v>1150</v>
      </c>
      <c r="AV152">
        <v>0.23899999999999999</v>
      </c>
      <c r="AW152">
        <v>0</v>
      </c>
      <c r="AX152">
        <v>0</v>
      </c>
      <c r="AY152">
        <v>0</v>
      </c>
      <c r="AZ152">
        <v>0</v>
      </c>
      <c r="BA152" t="s">
        <v>1151</v>
      </c>
      <c r="BB152">
        <v>0</v>
      </c>
      <c r="BC152">
        <v>0</v>
      </c>
      <c r="BD152" t="s">
        <v>1152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55</v>
      </c>
      <c r="BN152">
        <v>699</v>
      </c>
    </row>
    <row r="153" spans="2:81" x14ac:dyDescent="0.25">
      <c r="B153" t="s">
        <v>393</v>
      </c>
      <c r="C153">
        <v>14</v>
      </c>
      <c r="D153" t="s">
        <v>394</v>
      </c>
      <c r="E153" t="s">
        <v>395</v>
      </c>
      <c r="F153" t="s">
        <v>316</v>
      </c>
      <c r="G153">
        <v>1</v>
      </c>
      <c r="H153">
        <v>30</v>
      </c>
      <c r="I153">
        <v>60</v>
      </c>
      <c r="J153">
        <v>40</v>
      </c>
      <c r="K153">
        <v>60</v>
      </c>
      <c r="L153">
        <v>14</v>
      </c>
      <c r="M153">
        <v>7.846292</v>
      </c>
      <c r="N153">
        <v>28.736484999999998</v>
      </c>
      <c r="O153">
        <v>7.846292</v>
      </c>
      <c r="P153">
        <v>29.504940999999999</v>
      </c>
      <c r="Q153">
        <v>7.846292</v>
      </c>
      <c r="R153">
        <v>32.608384999999998</v>
      </c>
      <c r="S153">
        <v>7.846292</v>
      </c>
      <c r="T153">
        <v>28.353757999999999</v>
      </c>
      <c r="U153" t="s">
        <v>1153</v>
      </c>
      <c r="V153">
        <v>0</v>
      </c>
      <c r="W153" t="s">
        <v>1154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t="s">
        <v>1155</v>
      </c>
      <c r="AE153">
        <v>0</v>
      </c>
      <c r="AF153">
        <v>0</v>
      </c>
      <c r="AG153">
        <v>0</v>
      </c>
      <c r="AH153">
        <v>0</v>
      </c>
      <c r="AI153">
        <v>0.3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t="s">
        <v>1156</v>
      </c>
      <c r="AQ153">
        <v>1.9370000000000001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 t="s">
        <v>1157</v>
      </c>
      <c r="BB153">
        <v>0</v>
      </c>
      <c r="BC153">
        <v>0.33300000000000002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49</v>
      </c>
      <c r="BN153">
        <v>689</v>
      </c>
    </row>
    <row r="154" spans="2:81" x14ac:dyDescent="0.25">
      <c r="B154" t="s">
        <v>396</v>
      </c>
      <c r="C154">
        <v>14</v>
      </c>
      <c r="D154" t="s">
        <v>394</v>
      </c>
      <c r="E154" t="s">
        <v>395</v>
      </c>
      <c r="F154" t="s">
        <v>323</v>
      </c>
      <c r="G154">
        <v>1</v>
      </c>
      <c r="H154">
        <v>30</v>
      </c>
      <c r="I154">
        <v>60</v>
      </c>
      <c r="J154">
        <v>40</v>
      </c>
      <c r="K154">
        <v>60</v>
      </c>
      <c r="L154">
        <v>14</v>
      </c>
      <c r="M154">
        <v>7.8642750000000001</v>
      </c>
      <c r="N154">
        <v>33.748061</v>
      </c>
      <c r="O154">
        <v>7.8642750000000001</v>
      </c>
      <c r="P154">
        <v>31.115438000000001</v>
      </c>
      <c r="Q154">
        <v>7.8642750000000001</v>
      </c>
      <c r="R154">
        <v>31.035885</v>
      </c>
      <c r="S154">
        <v>7.8642750000000001</v>
      </c>
      <c r="T154">
        <v>29.111892000000001</v>
      </c>
      <c r="U154" t="s">
        <v>1158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1159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1160</v>
      </c>
      <c r="AV154">
        <v>0</v>
      </c>
      <c r="AW154" t="s">
        <v>1161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1162</v>
      </c>
      <c r="BE154">
        <v>0</v>
      </c>
      <c r="BF154">
        <v>0</v>
      </c>
      <c r="BG154">
        <v>0.5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58</v>
      </c>
      <c r="BR154">
        <v>723</v>
      </c>
    </row>
    <row r="155" spans="2:81" x14ac:dyDescent="0.25">
      <c r="B155" t="s">
        <v>397</v>
      </c>
      <c r="C155">
        <v>17</v>
      </c>
      <c r="D155" t="s">
        <v>309</v>
      </c>
      <c r="E155" t="s">
        <v>310</v>
      </c>
      <c r="F155" t="s">
        <v>311</v>
      </c>
      <c r="G155" t="s">
        <v>312</v>
      </c>
      <c r="H155">
        <v>1</v>
      </c>
      <c r="I155">
        <v>45</v>
      </c>
      <c r="J155">
        <v>60</v>
      </c>
      <c r="K155">
        <v>48</v>
      </c>
      <c r="L155">
        <v>60</v>
      </c>
      <c r="M155">
        <v>17</v>
      </c>
      <c r="N155">
        <v>7.5731820000000001</v>
      </c>
      <c r="O155">
        <v>34.238678</v>
      </c>
      <c r="P155">
        <v>7.5731820000000001</v>
      </c>
      <c r="Q155">
        <v>32.211030000000001</v>
      </c>
      <c r="R155">
        <v>7.5731820000000001</v>
      </c>
      <c r="S155">
        <v>33.938828999999998</v>
      </c>
      <c r="T155">
        <v>7.5731820000000001</v>
      </c>
      <c r="U155">
        <v>29.458805999999999</v>
      </c>
      <c r="V155" t="s">
        <v>1163</v>
      </c>
      <c r="W155">
        <v>2.7879999999999998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1164</v>
      </c>
      <c r="AH155">
        <v>0</v>
      </c>
      <c r="AI155">
        <v>0</v>
      </c>
      <c r="AJ155">
        <v>0</v>
      </c>
      <c r="AK155">
        <v>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1165</v>
      </c>
      <c r="AU155" t="s">
        <v>1166</v>
      </c>
      <c r="AV155">
        <v>1.2549999999999999</v>
      </c>
      <c r="AW155">
        <v>0</v>
      </c>
      <c r="AX155">
        <v>0</v>
      </c>
      <c r="AY155">
        <v>0</v>
      </c>
      <c r="AZ155">
        <v>0</v>
      </c>
      <c r="BA155" t="s">
        <v>1167</v>
      </c>
      <c r="BB155">
        <v>0</v>
      </c>
      <c r="BC155">
        <v>0</v>
      </c>
      <c r="BD155" t="s">
        <v>1168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52</v>
      </c>
      <c r="BM155">
        <v>691</v>
      </c>
    </row>
    <row r="156" spans="2:81" x14ac:dyDescent="0.25">
      <c r="B156" t="s">
        <v>400</v>
      </c>
      <c r="C156">
        <v>9</v>
      </c>
      <c r="D156" t="s">
        <v>401</v>
      </c>
      <c r="E156" t="s">
        <v>316</v>
      </c>
      <c r="F156">
        <v>1</v>
      </c>
      <c r="G156">
        <v>30</v>
      </c>
      <c r="H156">
        <v>35</v>
      </c>
      <c r="I156">
        <v>40</v>
      </c>
      <c r="J156">
        <v>9</v>
      </c>
      <c r="K156">
        <v>8.5337440000000004</v>
      </c>
      <c r="L156">
        <v>37.356780999999998</v>
      </c>
      <c r="M156">
        <v>8.5337440000000004</v>
      </c>
      <c r="N156">
        <v>36.076036999999999</v>
      </c>
      <c r="O156">
        <v>8.5337440000000004</v>
      </c>
      <c r="P156">
        <v>37.108510000000003</v>
      </c>
      <c r="Q156">
        <v>0</v>
      </c>
      <c r="R156">
        <v>0</v>
      </c>
      <c r="S156" t="s">
        <v>1169</v>
      </c>
      <c r="T156">
        <v>5</v>
      </c>
      <c r="U156" t="s">
        <v>1170</v>
      </c>
      <c r="V156">
        <v>68.174999999999997</v>
      </c>
      <c r="W156">
        <v>1</v>
      </c>
      <c r="X156">
        <v>0</v>
      </c>
      <c r="Y156">
        <v>0</v>
      </c>
      <c r="Z156">
        <v>0</v>
      </c>
      <c r="AA156">
        <v>0</v>
      </c>
      <c r="AB156" t="s">
        <v>1171</v>
      </c>
      <c r="AC156">
        <v>0</v>
      </c>
      <c r="AD156" t="s">
        <v>1172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">
        <v>1173</v>
      </c>
      <c r="AM156" t="s">
        <v>1174</v>
      </c>
      <c r="AN156">
        <v>0.5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66</v>
      </c>
      <c r="BJ156">
        <v>908</v>
      </c>
    </row>
    <row r="157" spans="2:81" x14ac:dyDescent="0.25">
      <c r="B157" t="s">
        <v>403</v>
      </c>
      <c r="C157">
        <v>33</v>
      </c>
      <c r="D157" t="s">
        <v>358</v>
      </c>
      <c r="E157" t="s">
        <v>404</v>
      </c>
      <c r="F157" t="s">
        <v>315</v>
      </c>
      <c r="G157" t="s">
        <v>323</v>
      </c>
      <c r="H157">
        <v>6</v>
      </c>
      <c r="I157">
        <v>90</v>
      </c>
      <c r="J157">
        <v>360</v>
      </c>
      <c r="K157">
        <v>240</v>
      </c>
      <c r="L157">
        <v>33</v>
      </c>
      <c r="M157">
        <v>17.457546000000001</v>
      </c>
      <c r="N157">
        <v>64.445087000000001</v>
      </c>
      <c r="O157">
        <v>17.457546000000001</v>
      </c>
      <c r="P157">
        <v>49.950602000000003</v>
      </c>
      <c r="Q157">
        <v>17.457546000000001</v>
      </c>
      <c r="R157">
        <v>58.089452999999999</v>
      </c>
      <c r="S157">
        <v>0</v>
      </c>
      <c r="T157">
        <v>0</v>
      </c>
      <c r="U157">
        <v>129</v>
      </c>
      <c r="V157">
        <v>0</v>
      </c>
      <c r="W157">
        <v>49.26</v>
      </c>
      <c r="X157">
        <v>0</v>
      </c>
      <c r="Y157">
        <v>0</v>
      </c>
      <c r="Z157">
        <v>0</v>
      </c>
      <c r="AA157">
        <v>0</v>
      </c>
      <c r="AB157">
        <v>13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42.25</v>
      </c>
      <c r="AL157">
        <v>0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15.81</v>
      </c>
      <c r="AZ157">
        <v>0</v>
      </c>
      <c r="BA157">
        <v>0</v>
      </c>
      <c r="BB157">
        <v>0</v>
      </c>
      <c r="BC157">
        <v>5.63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78</v>
      </c>
      <c r="CA157">
        <v>1411</v>
      </c>
    </row>
    <row r="158" spans="2:81" x14ac:dyDescent="0.25">
      <c r="B158" t="s">
        <v>405</v>
      </c>
      <c r="C158">
        <v>33</v>
      </c>
      <c r="D158" t="s">
        <v>358</v>
      </c>
      <c r="E158" t="s">
        <v>404</v>
      </c>
      <c r="F158" t="s">
        <v>315</v>
      </c>
      <c r="G158" t="s">
        <v>316</v>
      </c>
      <c r="H158">
        <v>6</v>
      </c>
      <c r="I158">
        <v>360</v>
      </c>
      <c r="J158">
        <v>80</v>
      </c>
      <c r="K158">
        <v>33</v>
      </c>
      <c r="L158">
        <v>0</v>
      </c>
      <c r="M158">
        <v>0</v>
      </c>
      <c r="N158">
        <v>17.620951000000002</v>
      </c>
      <c r="O158">
        <v>48.126902999999999</v>
      </c>
      <c r="P158">
        <v>17.620951000000002</v>
      </c>
      <c r="Q158">
        <v>63.786445999999998</v>
      </c>
      <c r="R158">
        <v>0</v>
      </c>
      <c r="S158">
        <v>0</v>
      </c>
      <c r="T158">
        <v>122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33.75</v>
      </c>
      <c r="AL158">
        <v>0</v>
      </c>
      <c r="AM158">
        <v>0</v>
      </c>
      <c r="AN158">
        <v>0</v>
      </c>
      <c r="AO158">
        <v>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76.489999999999995</v>
      </c>
      <c r="AY158">
        <v>0.75</v>
      </c>
      <c r="AZ158">
        <v>0</v>
      </c>
      <c r="BA158">
        <v>4.6660000000000004</v>
      </c>
      <c r="BB158">
        <v>4.6109999999999998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75</v>
      </c>
      <c r="BX158">
        <v>1349</v>
      </c>
    </row>
    <row r="159" spans="2:81" x14ac:dyDescent="0.25">
      <c r="B159" t="s">
        <v>406</v>
      </c>
      <c r="C159">
        <v>39</v>
      </c>
      <c r="D159" t="s">
        <v>407</v>
      </c>
      <c r="E159" t="s">
        <v>408</v>
      </c>
      <c r="F159" t="s">
        <v>315</v>
      </c>
      <c r="G159" t="s">
        <v>323</v>
      </c>
      <c r="H159">
        <v>6</v>
      </c>
      <c r="I159">
        <v>39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2:81" x14ac:dyDescent="0.25">
      <c r="B160" t="s">
        <v>409</v>
      </c>
      <c r="C160">
        <v>39</v>
      </c>
      <c r="D160" t="s">
        <v>407</v>
      </c>
      <c r="E160" t="s">
        <v>408</v>
      </c>
      <c r="F160" t="s">
        <v>315</v>
      </c>
      <c r="G160" t="s">
        <v>316</v>
      </c>
      <c r="H160">
        <v>6</v>
      </c>
      <c r="I160">
        <v>39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2:80" x14ac:dyDescent="0.25">
      <c r="B161" t="s">
        <v>410</v>
      </c>
      <c r="C161">
        <v>60</v>
      </c>
      <c r="D161" t="s">
        <v>411</v>
      </c>
      <c r="E161" t="s">
        <v>412</v>
      </c>
      <c r="F161" t="s">
        <v>387</v>
      </c>
      <c r="G161" t="s">
        <v>413</v>
      </c>
      <c r="H161">
        <v>1</v>
      </c>
      <c r="I161">
        <v>30</v>
      </c>
      <c r="J161">
        <v>10</v>
      </c>
      <c r="K161">
        <v>15</v>
      </c>
      <c r="L161">
        <v>60</v>
      </c>
      <c r="M161">
        <v>3.6607289999999999</v>
      </c>
      <c r="N161">
        <v>15.672396000000001</v>
      </c>
      <c r="O161">
        <v>3.6607289999999999</v>
      </c>
      <c r="P161">
        <v>15.867946999999999</v>
      </c>
      <c r="Q161">
        <v>3.6607289999999999</v>
      </c>
      <c r="R161">
        <v>16.930143999999999</v>
      </c>
      <c r="S161">
        <v>0</v>
      </c>
      <c r="T161">
        <v>0</v>
      </c>
      <c r="U161" t="s">
        <v>1175</v>
      </c>
      <c r="V161" t="s">
        <v>1176</v>
      </c>
      <c r="W161">
        <v>20.94</v>
      </c>
      <c r="X161">
        <v>0</v>
      </c>
      <c r="Y161">
        <v>0</v>
      </c>
      <c r="Z161">
        <v>0</v>
      </c>
      <c r="AA161">
        <v>0</v>
      </c>
      <c r="AB161" t="s">
        <v>1177</v>
      </c>
      <c r="AC161">
        <v>0</v>
      </c>
      <c r="AD161" t="s">
        <v>1178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t="s">
        <v>1179</v>
      </c>
      <c r="AL161" t="s">
        <v>1180</v>
      </c>
      <c r="AM161">
        <v>2.3130000000000002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58</v>
      </c>
      <c r="BI161">
        <v>784</v>
      </c>
    </row>
    <row r="162" spans="2:80" x14ac:dyDescent="0.25">
      <c r="B162" t="s">
        <v>414</v>
      </c>
      <c r="C162">
        <v>61</v>
      </c>
      <c r="D162" t="s">
        <v>411</v>
      </c>
      <c r="E162" t="s">
        <v>412</v>
      </c>
      <c r="F162" t="s">
        <v>341</v>
      </c>
      <c r="G162" t="s">
        <v>415</v>
      </c>
      <c r="H162">
        <v>1</v>
      </c>
      <c r="I162">
        <v>30</v>
      </c>
      <c r="J162">
        <v>10</v>
      </c>
      <c r="K162">
        <v>15</v>
      </c>
      <c r="L162">
        <v>15</v>
      </c>
      <c r="M162">
        <v>61</v>
      </c>
      <c r="N162">
        <v>2.8746230000000002</v>
      </c>
      <c r="O162">
        <v>13.244574</v>
      </c>
      <c r="P162">
        <v>2.8746230000000002</v>
      </c>
      <c r="Q162">
        <v>13.229253999999999</v>
      </c>
      <c r="R162">
        <v>2.8746230000000002</v>
      </c>
      <c r="S162">
        <v>14.123498</v>
      </c>
      <c r="T162">
        <v>2.8746230000000002</v>
      </c>
      <c r="U162">
        <v>11.552808000000001</v>
      </c>
      <c r="V162" t="s">
        <v>1181</v>
      </c>
      <c r="W162">
        <v>0</v>
      </c>
      <c r="X162">
        <v>0.85699999999999998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1182</v>
      </c>
      <c r="AI162">
        <v>0</v>
      </c>
      <c r="AJ162">
        <v>0</v>
      </c>
      <c r="AK162">
        <v>3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1183</v>
      </c>
      <c r="AU162">
        <v>0</v>
      </c>
      <c r="AV162" t="s">
        <v>1184</v>
      </c>
      <c r="AW162">
        <v>1.28</v>
      </c>
      <c r="AX162">
        <v>0</v>
      </c>
      <c r="AY162">
        <v>0</v>
      </c>
      <c r="AZ162">
        <v>0</v>
      </c>
      <c r="BA162">
        <v>0</v>
      </c>
      <c r="BB162" t="s">
        <v>1185</v>
      </c>
      <c r="BC162">
        <v>0</v>
      </c>
      <c r="BD162">
        <v>0</v>
      </c>
      <c r="BE162" t="s">
        <v>1186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32</v>
      </c>
      <c r="BN162">
        <v>473</v>
      </c>
    </row>
    <row r="163" spans="2:80" x14ac:dyDescent="0.25">
      <c r="B163" t="s">
        <v>416</v>
      </c>
      <c r="C163">
        <v>62</v>
      </c>
      <c r="D163" t="s">
        <v>411</v>
      </c>
      <c r="E163" t="s">
        <v>412</v>
      </c>
      <c r="F163" t="s">
        <v>417</v>
      </c>
      <c r="G163">
        <v>1</v>
      </c>
      <c r="H163">
        <v>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</row>
    <row r="164" spans="2:80" x14ac:dyDescent="0.25">
      <c r="B164" t="s">
        <v>418</v>
      </c>
      <c r="C164">
        <v>1</v>
      </c>
      <c r="D164">
        <v>100</v>
      </c>
      <c r="E164" t="s">
        <v>419</v>
      </c>
      <c r="F164" t="s">
        <v>323</v>
      </c>
      <c r="G164">
        <v>1</v>
      </c>
      <c r="H164">
        <v>45</v>
      </c>
      <c r="I164">
        <v>60</v>
      </c>
      <c r="J164">
        <v>1</v>
      </c>
      <c r="K164">
        <v>5.7609139999999996</v>
      </c>
      <c r="L164">
        <v>25.778715999999999</v>
      </c>
      <c r="M164">
        <v>0</v>
      </c>
      <c r="N164">
        <v>0</v>
      </c>
      <c r="O164">
        <v>5.7609139999999996</v>
      </c>
      <c r="P164">
        <v>25.724224</v>
      </c>
      <c r="Q164">
        <v>0</v>
      </c>
      <c r="R164">
        <v>0</v>
      </c>
      <c r="S164" t="s">
        <v>1187</v>
      </c>
      <c r="T164">
        <v>0</v>
      </c>
      <c r="U164">
        <v>0</v>
      </c>
      <c r="V164">
        <v>52.37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1188</v>
      </c>
      <c r="AU164">
        <v>0</v>
      </c>
      <c r="AV164" t="s">
        <v>1189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17</v>
      </c>
      <c r="BT164">
        <v>203</v>
      </c>
    </row>
    <row r="165" spans="2:80" x14ac:dyDescent="0.25">
      <c r="B165" t="s">
        <v>420</v>
      </c>
      <c r="C165">
        <v>1</v>
      </c>
      <c r="D165">
        <v>100</v>
      </c>
      <c r="E165" t="s">
        <v>419</v>
      </c>
      <c r="F165" t="s">
        <v>316</v>
      </c>
      <c r="G165">
        <v>1</v>
      </c>
      <c r="H165">
        <v>60</v>
      </c>
      <c r="I165">
        <v>60</v>
      </c>
      <c r="J165">
        <v>1</v>
      </c>
      <c r="K165">
        <v>5.4536049999999996</v>
      </c>
      <c r="L165">
        <v>24.092234000000001</v>
      </c>
      <c r="M165">
        <v>0</v>
      </c>
      <c r="N165">
        <v>0</v>
      </c>
      <c r="O165">
        <v>5.4536049999999996</v>
      </c>
      <c r="P165">
        <v>25.709810999999998</v>
      </c>
      <c r="Q165">
        <v>0</v>
      </c>
      <c r="R165">
        <v>0</v>
      </c>
      <c r="S165" t="s">
        <v>1190</v>
      </c>
      <c r="T165">
        <v>0</v>
      </c>
      <c r="U165" t="s">
        <v>1191</v>
      </c>
      <c r="V165">
        <v>0.747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t="s">
        <v>1192</v>
      </c>
      <c r="AQ165">
        <v>0</v>
      </c>
      <c r="AR165">
        <v>24.42</v>
      </c>
      <c r="AS165">
        <v>0.2</v>
      </c>
      <c r="AT165">
        <v>0.219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14</v>
      </c>
      <c r="BP165">
        <v>186</v>
      </c>
    </row>
    <row r="166" spans="2:80" x14ac:dyDescent="0.25">
      <c r="B166" t="s">
        <v>421</v>
      </c>
      <c r="C166">
        <v>20</v>
      </c>
      <c r="D166" t="s">
        <v>422</v>
      </c>
      <c r="E166" t="s">
        <v>316</v>
      </c>
      <c r="F166">
        <v>1</v>
      </c>
      <c r="G166">
        <v>30</v>
      </c>
      <c r="H166">
        <v>60</v>
      </c>
      <c r="I166">
        <v>40</v>
      </c>
      <c r="J166">
        <v>20</v>
      </c>
      <c r="K166">
        <v>8.5162569999999995</v>
      </c>
      <c r="L166">
        <v>34.954044000000003</v>
      </c>
      <c r="M166">
        <v>8.5162569999999995</v>
      </c>
      <c r="N166">
        <v>35.978566000000001</v>
      </c>
      <c r="O166">
        <v>8.5162569999999995</v>
      </c>
      <c r="P166">
        <v>38.579453999999998</v>
      </c>
      <c r="Q166">
        <v>0</v>
      </c>
      <c r="R166">
        <v>0</v>
      </c>
      <c r="S166" t="s">
        <v>1193</v>
      </c>
      <c r="T166" t="s">
        <v>1194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1195</v>
      </c>
      <c r="AB166">
        <v>0</v>
      </c>
      <c r="AC166">
        <v>0</v>
      </c>
      <c r="AD166">
        <v>0</v>
      </c>
      <c r="AE166">
        <v>0</v>
      </c>
      <c r="AF166">
        <v>0.3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 t="s">
        <v>1196</v>
      </c>
      <c r="AN166">
        <v>0</v>
      </c>
      <c r="AO166">
        <v>1.7070000000000001</v>
      </c>
      <c r="AP166" t="s">
        <v>1197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60</v>
      </c>
      <c r="BN166">
        <v>775</v>
      </c>
    </row>
    <row r="167" spans="2:80" x14ac:dyDescent="0.25">
      <c r="B167" t="s">
        <v>423</v>
      </c>
      <c r="C167">
        <v>20</v>
      </c>
      <c r="D167" t="s">
        <v>422</v>
      </c>
      <c r="E167" t="s">
        <v>323</v>
      </c>
      <c r="F167">
        <v>1</v>
      </c>
      <c r="G167">
        <v>30</v>
      </c>
      <c r="H167">
        <v>60</v>
      </c>
      <c r="I167">
        <v>40</v>
      </c>
      <c r="J167">
        <v>20</v>
      </c>
      <c r="K167">
        <v>8.5899920000000005</v>
      </c>
      <c r="L167">
        <v>37.666874999999997</v>
      </c>
      <c r="M167">
        <v>8.5899920000000005</v>
      </c>
      <c r="N167">
        <v>34.874687999999999</v>
      </c>
      <c r="O167">
        <v>8.5899920000000005</v>
      </c>
      <c r="P167">
        <v>34.601416</v>
      </c>
      <c r="Q167">
        <v>0</v>
      </c>
      <c r="R167">
        <v>0</v>
      </c>
      <c r="S167" t="s">
        <v>1198</v>
      </c>
      <c r="T167">
        <v>0</v>
      </c>
      <c r="U167">
        <v>0</v>
      </c>
      <c r="V167">
        <v>0</v>
      </c>
      <c r="W167">
        <v>0</v>
      </c>
      <c r="X167">
        <v>1.6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1199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1200</v>
      </c>
      <c r="AS167">
        <v>0</v>
      </c>
      <c r="AT167">
        <v>0</v>
      </c>
      <c r="AU167" t="s">
        <v>1201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38</v>
      </c>
      <c r="BS167">
        <v>480</v>
      </c>
    </row>
    <row r="168" spans="2:80" x14ac:dyDescent="0.25">
      <c r="B168" t="s">
        <v>424</v>
      </c>
      <c r="C168">
        <v>34</v>
      </c>
      <c r="D168" t="s">
        <v>425</v>
      </c>
      <c r="E168" t="s">
        <v>426</v>
      </c>
      <c r="F168" t="s">
        <v>377</v>
      </c>
      <c r="G168">
        <v>1</v>
      </c>
      <c r="H168">
        <v>90</v>
      </c>
      <c r="I168">
        <v>90</v>
      </c>
      <c r="J168">
        <v>90</v>
      </c>
      <c r="K168">
        <v>90</v>
      </c>
      <c r="L168">
        <v>34</v>
      </c>
      <c r="M168" t="s">
        <v>1202</v>
      </c>
      <c r="N168" t="s">
        <v>1203</v>
      </c>
      <c r="O168" t="s">
        <v>1204</v>
      </c>
      <c r="P168">
        <v>25.998000999999999</v>
      </c>
      <c r="Q168">
        <v>94.954812000000004</v>
      </c>
      <c r="R168" t="s">
        <v>1205</v>
      </c>
      <c r="S168" t="s">
        <v>1206</v>
      </c>
      <c r="T168">
        <v>0.29399999999999998</v>
      </c>
      <c r="U168">
        <v>0</v>
      </c>
      <c r="V168">
        <v>0</v>
      </c>
      <c r="W168">
        <v>0</v>
      </c>
      <c r="X168">
        <v>0</v>
      </c>
      <c r="Y168" t="s">
        <v>1207</v>
      </c>
      <c r="Z168">
        <v>0</v>
      </c>
      <c r="AA168" t="s">
        <v>1208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1209</v>
      </c>
      <c r="AJ168" t="s">
        <v>1210</v>
      </c>
      <c r="AK168">
        <v>0</v>
      </c>
      <c r="AL168">
        <v>0</v>
      </c>
      <c r="AM168">
        <v>7.6879999999999997</v>
      </c>
      <c r="AN168">
        <v>0</v>
      </c>
      <c r="AO168">
        <v>0</v>
      </c>
      <c r="AP168">
        <v>0</v>
      </c>
      <c r="AQ168">
        <v>0</v>
      </c>
      <c r="AR168" t="s">
        <v>1211</v>
      </c>
      <c r="AS168">
        <v>0</v>
      </c>
      <c r="AT168">
        <v>0</v>
      </c>
      <c r="AU168">
        <v>2.6659999999999999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38</v>
      </c>
      <c r="BF168">
        <v>595</v>
      </c>
    </row>
    <row r="169" spans="2:80" x14ac:dyDescent="0.25">
      <c r="B169" t="s">
        <v>427</v>
      </c>
      <c r="C169">
        <v>56</v>
      </c>
      <c r="D169" t="s">
        <v>333</v>
      </c>
      <c r="E169" t="s">
        <v>304</v>
      </c>
      <c r="F169" t="s">
        <v>6</v>
      </c>
      <c r="G169" t="s">
        <v>316</v>
      </c>
      <c r="H169">
        <v>8</v>
      </c>
      <c r="I169">
        <v>15</v>
      </c>
      <c r="J169">
        <v>15</v>
      </c>
      <c r="K169">
        <v>15</v>
      </c>
      <c r="L169">
        <v>15</v>
      </c>
      <c r="M169">
        <v>56</v>
      </c>
      <c r="N169">
        <v>11.535923</v>
      </c>
      <c r="O169">
        <v>39.339975000000003</v>
      </c>
      <c r="P169">
        <v>11.535923</v>
      </c>
      <c r="Q169">
        <v>39.792893999999997</v>
      </c>
      <c r="R169">
        <v>11.535923</v>
      </c>
      <c r="S169">
        <v>47.813834</v>
      </c>
      <c r="T169">
        <v>11.535923</v>
      </c>
      <c r="U169">
        <v>36.280225000000002</v>
      </c>
      <c r="V169">
        <v>1184</v>
      </c>
      <c r="W169" t="s">
        <v>1212</v>
      </c>
      <c r="X169">
        <v>0</v>
      </c>
      <c r="Y169">
        <v>0</v>
      </c>
      <c r="Z169">
        <v>6.5350000000000001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241.2</v>
      </c>
      <c r="AJ169">
        <v>0</v>
      </c>
      <c r="AK169">
        <v>0</v>
      </c>
      <c r="AL169">
        <v>0</v>
      </c>
      <c r="AM169">
        <v>0</v>
      </c>
      <c r="AN169">
        <v>16</v>
      </c>
      <c r="AO169">
        <v>7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354.5</v>
      </c>
      <c r="AX169">
        <v>1</v>
      </c>
      <c r="AY169">
        <v>9</v>
      </c>
      <c r="AZ169" t="s">
        <v>1213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1214</v>
      </c>
      <c r="BI169">
        <v>0</v>
      </c>
      <c r="BJ169">
        <v>0</v>
      </c>
      <c r="BK169" t="s">
        <v>1215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427</v>
      </c>
      <c r="BT169">
        <v>6908</v>
      </c>
    </row>
    <row r="170" spans="2:80" x14ac:dyDescent="0.25">
      <c r="B170" t="s">
        <v>428</v>
      </c>
      <c r="C170">
        <v>56</v>
      </c>
      <c r="D170" t="s">
        <v>333</v>
      </c>
      <c r="E170" t="s">
        <v>304</v>
      </c>
      <c r="F170" t="s">
        <v>6</v>
      </c>
      <c r="G170" t="s">
        <v>323</v>
      </c>
      <c r="H170">
        <v>8</v>
      </c>
      <c r="I170">
        <v>15</v>
      </c>
      <c r="J170">
        <v>15</v>
      </c>
      <c r="K170">
        <v>15</v>
      </c>
      <c r="L170">
        <v>15</v>
      </c>
      <c r="M170">
        <v>56</v>
      </c>
      <c r="N170">
        <v>11.242756999999999</v>
      </c>
      <c r="O170">
        <v>43.749837999999997</v>
      </c>
      <c r="P170">
        <v>11.242756999999999</v>
      </c>
      <c r="Q170">
        <v>37.963451999999997</v>
      </c>
      <c r="R170">
        <v>11.242756999999999</v>
      </c>
      <c r="S170">
        <v>39.689847</v>
      </c>
      <c r="T170">
        <v>11.242756999999999</v>
      </c>
      <c r="U170">
        <v>32.003328000000003</v>
      </c>
      <c r="V170">
        <v>1532</v>
      </c>
      <c r="W170">
        <v>0</v>
      </c>
      <c r="X170">
        <v>408</v>
      </c>
      <c r="Y170">
        <v>0</v>
      </c>
      <c r="Z170">
        <v>0</v>
      </c>
      <c r="AA170">
        <v>0</v>
      </c>
      <c r="AB170">
        <v>0</v>
      </c>
      <c r="AC170">
        <v>186</v>
      </c>
      <c r="AD170">
        <v>173</v>
      </c>
      <c r="AE170">
        <v>0</v>
      </c>
      <c r="AF170">
        <v>11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324.60000000000002</v>
      </c>
      <c r="AM170">
        <v>1</v>
      </c>
      <c r="AN170">
        <v>0</v>
      </c>
      <c r="AO170">
        <v>0</v>
      </c>
      <c r="AP170">
        <v>0</v>
      </c>
      <c r="AQ170">
        <v>56</v>
      </c>
      <c r="AR170">
        <v>41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212.5</v>
      </c>
      <c r="BA170">
        <v>4</v>
      </c>
      <c r="BB170">
        <v>0</v>
      </c>
      <c r="BC170">
        <v>0</v>
      </c>
      <c r="BD170">
        <v>11.5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102.5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506</v>
      </c>
      <c r="CB170">
        <v>7918</v>
      </c>
    </row>
    <row r="171" spans="2:80" x14ac:dyDescent="0.25">
      <c r="B171" t="s">
        <v>433</v>
      </c>
      <c r="C171">
        <v>3</v>
      </c>
      <c r="D171" t="s">
        <v>434</v>
      </c>
      <c r="E171" t="s">
        <v>435</v>
      </c>
      <c r="F171" t="s">
        <v>436</v>
      </c>
      <c r="G171" t="s">
        <v>437</v>
      </c>
      <c r="H171">
        <v>1</v>
      </c>
      <c r="I171">
        <v>36</v>
      </c>
      <c r="J171">
        <v>36</v>
      </c>
      <c r="K171">
        <v>48</v>
      </c>
      <c r="L171">
        <v>60</v>
      </c>
      <c r="M171">
        <v>3</v>
      </c>
      <c r="N171">
        <v>7.1026730000000002</v>
      </c>
      <c r="O171">
        <v>33.826967000000003</v>
      </c>
      <c r="P171">
        <v>7.1026730000000002</v>
      </c>
      <c r="Q171">
        <v>30.785046999999999</v>
      </c>
      <c r="R171">
        <v>7.1026730000000002</v>
      </c>
      <c r="S171">
        <v>32.748812000000001</v>
      </c>
      <c r="T171">
        <v>7.1026730000000002</v>
      </c>
      <c r="U171">
        <v>27.111143999999999</v>
      </c>
      <c r="V171" t="s">
        <v>1216</v>
      </c>
      <c r="W171">
        <v>0</v>
      </c>
      <c r="X171">
        <v>4.8179999999999996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1217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1218</v>
      </c>
      <c r="AU171" t="s">
        <v>1219</v>
      </c>
      <c r="AV171">
        <v>16.63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291.5</v>
      </c>
      <c r="BC171">
        <v>0</v>
      </c>
      <c r="BD171">
        <v>0</v>
      </c>
      <c r="BE171">
        <v>0.5</v>
      </c>
      <c r="BF171">
        <v>0.5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218</v>
      </c>
      <c r="BO171">
        <v>2614</v>
      </c>
    </row>
    <row r="172" spans="2:80" x14ac:dyDescent="0.25">
      <c r="B172" t="s">
        <v>438</v>
      </c>
      <c r="C172">
        <v>5</v>
      </c>
      <c r="D172" t="s">
        <v>434</v>
      </c>
      <c r="E172" t="s">
        <v>435</v>
      </c>
      <c r="F172" t="s">
        <v>439</v>
      </c>
      <c r="G172">
        <v>1</v>
      </c>
      <c r="H172">
        <v>30</v>
      </c>
      <c r="I172">
        <v>40</v>
      </c>
      <c r="J172">
        <v>40</v>
      </c>
      <c r="K172">
        <v>5</v>
      </c>
      <c r="L172">
        <v>12.704903</v>
      </c>
      <c r="M172">
        <v>61.618105</v>
      </c>
      <c r="N172">
        <v>12.704903</v>
      </c>
      <c r="O172">
        <v>54.106816999999999</v>
      </c>
      <c r="P172">
        <v>12.704903</v>
      </c>
      <c r="Q172">
        <v>56.098182000000001</v>
      </c>
      <c r="R172">
        <v>0</v>
      </c>
      <c r="S172">
        <v>0</v>
      </c>
      <c r="T172" t="s">
        <v>1220</v>
      </c>
      <c r="U172">
        <v>0</v>
      </c>
      <c r="V172">
        <v>2.181</v>
      </c>
      <c r="W172">
        <v>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1221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1222</v>
      </c>
      <c r="AS172" t="s">
        <v>1223</v>
      </c>
      <c r="AT172">
        <v>19.96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231</v>
      </c>
      <c r="BP172">
        <v>2724</v>
      </c>
    </row>
    <row r="173" spans="2:80" x14ac:dyDescent="0.25">
      <c r="B173" t="s">
        <v>440</v>
      </c>
      <c r="C173">
        <v>201</v>
      </c>
      <c r="D173" t="s">
        <v>441</v>
      </c>
      <c r="E173" t="s">
        <v>434</v>
      </c>
      <c r="F173" t="s">
        <v>435</v>
      </c>
      <c r="G173" t="s">
        <v>442</v>
      </c>
      <c r="H173">
        <v>11</v>
      </c>
      <c r="I173">
        <v>60</v>
      </c>
      <c r="J173">
        <v>80</v>
      </c>
      <c r="K173">
        <v>93</v>
      </c>
      <c r="L173">
        <v>5.6298560000000002</v>
      </c>
      <c r="M173">
        <v>26.840195000000001</v>
      </c>
      <c r="N173">
        <v>0</v>
      </c>
      <c r="O173">
        <v>0</v>
      </c>
      <c r="P173">
        <v>5.6298560000000002</v>
      </c>
      <c r="Q173">
        <v>27.852914999999999</v>
      </c>
      <c r="R173">
        <v>0</v>
      </c>
      <c r="S173">
        <v>0</v>
      </c>
      <c r="T173">
        <v>759</v>
      </c>
      <c r="U173">
        <v>0</v>
      </c>
      <c r="V173">
        <v>0</v>
      </c>
      <c r="W173">
        <v>0</v>
      </c>
      <c r="X173">
        <v>222.5</v>
      </c>
      <c r="Y173">
        <v>0</v>
      </c>
      <c r="Z173">
        <v>0</v>
      </c>
      <c r="AA173">
        <v>0</v>
      </c>
      <c r="AB173">
        <v>0</v>
      </c>
      <c r="AC173">
        <v>19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511.6</v>
      </c>
      <c r="BB173">
        <v>0</v>
      </c>
      <c r="BC173">
        <v>0</v>
      </c>
      <c r="BD173">
        <v>0</v>
      </c>
      <c r="BE173">
        <v>0</v>
      </c>
      <c r="BF173">
        <v>6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119</v>
      </c>
      <c r="CB173">
        <v>1467</v>
      </c>
    </row>
    <row r="174" spans="2:80" x14ac:dyDescent="0.25">
      <c r="B174" t="s">
        <v>443</v>
      </c>
      <c r="C174">
        <v>7</v>
      </c>
      <c r="D174" t="s">
        <v>444</v>
      </c>
      <c r="E174" t="s">
        <v>323</v>
      </c>
      <c r="F174">
        <v>1</v>
      </c>
      <c r="G174">
        <v>25</v>
      </c>
      <c r="H174">
        <v>25</v>
      </c>
      <c r="I174">
        <v>25</v>
      </c>
      <c r="J174">
        <v>60</v>
      </c>
      <c r="K174">
        <v>7</v>
      </c>
      <c r="L174">
        <v>4.8875320000000002</v>
      </c>
      <c r="M174">
        <v>23.595051999999999</v>
      </c>
      <c r="N174">
        <v>4.8875320000000002</v>
      </c>
      <c r="O174">
        <v>22.266929000000001</v>
      </c>
      <c r="P174">
        <v>4.8875320000000002</v>
      </c>
      <c r="Q174">
        <v>23.603035999999999</v>
      </c>
      <c r="R174">
        <v>4.8875320000000002</v>
      </c>
      <c r="S174">
        <v>19.701771000000001</v>
      </c>
      <c r="T174">
        <v>690119.7</v>
      </c>
      <c r="U174">
        <v>1.3540000000000001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1224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1225</v>
      </c>
      <c r="AU174">
        <v>3</v>
      </c>
      <c r="AV174" t="s">
        <v>1226</v>
      </c>
      <c r="AW174">
        <v>4.0129999999999999</v>
      </c>
      <c r="AX174">
        <v>0</v>
      </c>
      <c r="AY174">
        <v>0</v>
      </c>
      <c r="AZ174">
        <v>0</v>
      </c>
      <c r="BA174">
        <v>0</v>
      </c>
      <c r="BB174">
        <v>31.06</v>
      </c>
      <c r="BC174">
        <v>4</v>
      </c>
      <c r="BD174">
        <v>0</v>
      </c>
      <c r="BE174">
        <v>0</v>
      </c>
      <c r="BF174">
        <v>0</v>
      </c>
      <c r="BG174">
        <v>0</v>
      </c>
      <c r="BH174">
        <v>0.5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121</v>
      </c>
      <c r="BQ174">
        <v>1515</v>
      </c>
    </row>
    <row r="175" spans="2:80" x14ac:dyDescent="0.25">
      <c r="B175" t="s">
        <v>445</v>
      </c>
      <c r="C175">
        <v>5</v>
      </c>
      <c r="D175" t="s">
        <v>434</v>
      </c>
      <c r="E175" t="s">
        <v>435</v>
      </c>
      <c r="F175" t="s">
        <v>439</v>
      </c>
      <c r="G175">
        <v>1</v>
      </c>
      <c r="H175">
        <v>30</v>
      </c>
      <c r="I175">
        <v>40</v>
      </c>
      <c r="J175">
        <v>40</v>
      </c>
      <c r="K175">
        <v>5</v>
      </c>
      <c r="L175">
        <v>12.537606</v>
      </c>
      <c r="M175">
        <v>54.800317999999997</v>
      </c>
      <c r="N175">
        <v>12.537606</v>
      </c>
      <c r="O175">
        <v>54.128697000000003</v>
      </c>
      <c r="P175">
        <v>12.537606</v>
      </c>
      <c r="Q175">
        <v>62.231377000000002</v>
      </c>
      <c r="R175">
        <v>0</v>
      </c>
      <c r="S175">
        <v>0</v>
      </c>
      <c r="T175" t="s">
        <v>1227</v>
      </c>
      <c r="U175" t="s">
        <v>1228</v>
      </c>
      <c r="V175">
        <v>30.71</v>
      </c>
      <c r="W175">
        <v>0</v>
      </c>
      <c r="X175">
        <v>0</v>
      </c>
      <c r="Y175">
        <v>0</v>
      </c>
      <c r="Z175">
        <v>0</v>
      </c>
      <c r="AA175" t="s">
        <v>1229</v>
      </c>
      <c r="AB175">
        <v>0</v>
      </c>
      <c r="AC175" t="s">
        <v>1230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1231</v>
      </c>
      <c r="AK175" t="s">
        <v>1232</v>
      </c>
      <c r="AL175">
        <v>0.54500000000000004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263</v>
      </c>
      <c r="BJ175">
        <v>3246</v>
      </c>
    </row>
    <row r="176" spans="2:80" x14ac:dyDescent="0.25">
      <c r="B176" t="s">
        <v>446</v>
      </c>
      <c r="C176">
        <v>7</v>
      </c>
      <c r="D176" t="s">
        <v>444</v>
      </c>
      <c r="E176" t="s">
        <v>316</v>
      </c>
      <c r="F176">
        <v>1</v>
      </c>
      <c r="G176">
        <v>25</v>
      </c>
      <c r="H176">
        <v>25</v>
      </c>
      <c r="I176">
        <v>25</v>
      </c>
      <c r="J176">
        <v>60</v>
      </c>
      <c r="K176">
        <v>7</v>
      </c>
      <c r="L176">
        <v>4.7859639999999999</v>
      </c>
      <c r="M176">
        <v>22.152446999999999</v>
      </c>
      <c r="N176">
        <v>4.7859639999999999</v>
      </c>
      <c r="O176">
        <v>21.604232</v>
      </c>
      <c r="P176">
        <v>4.7859639999999999</v>
      </c>
      <c r="Q176">
        <v>23.860863999999999</v>
      </c>
      <c r="R176">
        <v>4.7859639999999999</v>
      </c>
      <c r="S176">
        <v>19.554193999999999</v>
      </c>
      <c r="T176" t="s">
        <v>1233</v>
      </c>
      <c r="U176" t="s">
        <v>1234</v>
      </c>
      <c r="V176">
        <v>7.4039999999999999</v>
      </c>
      <c r="W176">
        <v>0</v>
      </c>
      <c r="X176">
        <v>0</v>
      </c>
      <c r="Y176">
        <v>0</v>
      </c>
      <c r="Z176">
        <v>0</v>
      </c>
      <c r="AA176" t="s">
        <v>1235</v>
      </c>
      <c r="AB176">
        <v>0</v>
      </c>
      <c r="AC176" t="s">
        <v>1236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1237</v>
      </c>
      <c r="AK176" t="s">
        <v>1238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1239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131</v>
      </c>
      <c r="BH176">
        <v>1704</v>
      </c>
    </row>
    <row r="177" spans="2:82" x14ac:dyDescent="0.25">
      <c r="B177" t="s">
        <v>447</v>
      </c>
      <c r="C177">
        <v>89</v>
      </c>
      <c r="D177" t="s">
        <v>448</v>
      </c>
      <c r="E177">
        <v>6</v>
      </c>
      <c r="F177">
        <v>90</v>
      </c>
      <c r="G177">
        <v>89</v>
      </c>
      <c r="H177" t="s">
        <v>1240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10</v>
      </c>
      <c r="P177">
        <v>0</v>
      </c>
      <c r="Q177">
        <v>1.5</v>
      </c>
      <c r="R177">
        <v>0</v>
      </c>
      <c r="S177">
        <v>0</v>
      </c>
      <c r="T177">
        <v>0</v>
      </c>
      <c r="U177">
        <v>0</v>
      </c>
      <c r="V177">
        <v>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11</v>
      </c>
      <c r="BX177">
        <v>213</v>
      </c>
    </row>
    <row r="178" spans="2:82" x14ac:dyDescent="0.25">
      <c r="B178" t="s">
        <v>450</v>
      </c>
      <c r="C178">
        <v>10</v>
      </c>
      <c r="D178" t="s">
        <v>451</v>
      </c>
      <c r="E178" t="s">
        <v>316</v>
      </c>
      <c r="F178">
        <v>1</v>
      </c>
      <c r="G178">
        <v>20</v>
      </c>
      <c r="H178">
        <v>20</v>
      </c>
      <c r="I178">
        <v>24</v>
      </c>
      <c r="J178">
        <v>40</v>
      </c>
      <c r="K178">
        <v>10</v>
      </c>
      <c r="L178">
        <v>8.5916840000000008</v>
      </c>
      <c r="M178">
        <v>34.866036000000001</v>
      </c>
      <c r="N178">
        <v>8.5916840000000008</v>
      </c>
      <c r="O178">
        <v>35.176192999999998</v>
      </c>
      <c r="P178">
        <v>8.5916840000000008</v>
      </c>
      <c r="Q178">
        <v>39.305852999999999</v>
      </c>
      <c r="R178">
        <v>8.5916840000000008</v>
      </c>
      <c r="S178">
        <v>32.097386</v>
      </c>
      <c r="T178" t="s">
        <v>1241</v>
      </c>
      <c r="U178" t="s">
        <v>1242</v>
      </c>
      <c r="V178">
        <v>2.298</v>
      </c>
      <c r="W178">
        <v>0</v>
      </c>
      <c r="X178">
        <v>0</v>
      </c>
      <c r="Y178">
        <v>0</v>
      </c>
      <c r="Z178">
        <v>0</v>
      </c>
      <c r="AA178" t="s">
        <v>1243</v>
      </c>
      <c r="AB178">
        <v>0</v>
      </c>
      <c r="AC178" t="s">
        <v>1244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1245</v>
      </c>
      <c r="AK178" t="s">
        <v>1246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 t="s">
        <v>1247</v>
      </c>
      <c r="AU178">
        <v>0</v>
      </c>
      <c r="AV178">
        <v>22.62</v>
      </c>
      <c r="AW178">
        <v>0</v>
      </c>
      <c r="AX178">
        <v>3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245</v>
      </c>
      <c r="BG178">
        <v>3287</v>
      </c>
    </row>
    <row r="179" spans="2:82" x14ac:dyDescent="0.25">
      <c r="B179" t="s">
        <v>452</v>
      </c>
      <c r="C179">
        <v>10</v>
      </c>
      <c r="D179" t="s">
        <v>451</v>
      </c>
      <c r="E179" t="s">
        <v>323</v>
      </c>
      <c r="F179">
        <v>1</v>
      </c>
      <c r="G179">
        <v>20</v>
      </c>
      <c r="H179">
        <v>20</v>
      </c>
      <c r="I179">
        <v>24</v>
      </c>
      <c r="J179">
        <v>40</v>
      </c>
      <c r="K179">
        <v>10</v>
      </c>
      <c r="L179">
        <v>8.787763</v>
      </c>
      <c r="M179">
        <v>39.457549</v>
      </c>
      <c r="N179">
        <v>8.787763</v>
      </c>
      <c r="O179">
        <v>35.473137000000001</v>
      </c>
      <c r="P179">
        <v>8.787763</v>
      </c>
      <c r="Q179">
        <v>36.319918000000001</v>
      </c>
      <c r="R179">
        <v>8.787763</v>
      </c>
      <c r="S179">
        <v>31.805354000000001</v>
      </c>
      <c r="T179">
        <v>1060217.5</v>
      </c>
      <c r="U179">
        <v>21.442</v>
      </c>
      <c r="V179">
        <v>0</v>
      </c>
      <c r="W179">
        <v>173.5</v>
      </c>
      <c r="X179">
        <v>0</v>
      </c>
      <c r="Y179">
        <v>23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 t="s">
        <v>1248</v>
      </c>
      <c r="AG179">
        <v>2</v>
      </c>
      <c r="AH179">
        <v>0</v>
      </c>
      <c r="AI179">
        <v>52.5</v>
      </c>
      <c r="AJ179">
        <v>0</v>
      </c>
      <c r="AK179">
        <v>10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1249</v>
      </c>
      <c r="AS179">
        <v>0</v>
      </c>
      <c r="AT179" t="s">
        <v>1250</v>
      </c>
      <c r="AU179">
        <v>0.625</v>
      </c>
      <c r="AV179">
        <v>0</v>
      </c>
      <c r="AW179">
        <v>0</v>
      </c>
      <c r="AX179">
        <v>0</v>
      </c>
      <c r="AY179">
        <v>0</v>
      </c>
      <c r="AZ179" t="s">
        <v>1251</v>
      </c>
      <c r="BA179">
        <v>0</v>
      </c>
      <c r="BB179" t="s">
        <v>1252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280</v>
      </c>
      <c r="BK179">
        <v>3671</v>
      </c>
    </row>
    <row r="180" spans="2:82" x14ac:dyDescent="0.25">
      <c r="B180" t="s">
        <v>453</v>
      </c>
      <c r="C180">
        <v>24</v>
      </c>
      <c r="D180" t="s">
        <v>454</v>
      </c>
      <c r="E180" t="s">
        <v>315</v>
      </c>
      <c r="F180" t="s">
        <v>99</v>
      </c>
      <c r="G180">
        <v>6</v>
      </c>
      <c r="H180">
        <v>45</v>
      </c>
      <c r="I180">
        <v>24</v>
      </c>
      <c r="J180">
        <v>17.949964999999999</v>
      </c>
      <c r="K180">
        <v>40.834639000000003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40</v>
      </c>
      <c r="S180">
        <v>0</v>
      </c>
      <c r="T180">
        <v>0</v>
      </c>
      <c r="U180">
        <v>29</v>
      </c>
      <c r="V180">
        <v>0</v>
      </c>
      <c r="W180">
        <v>0</v>
      </c>
      <c r="X180">
        <v>0</v>
      </c>
      <c r="Y180">
        <v>0</v>
      </c>
      <c r="Z180">
        <v>11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19</v>
      </c>
      <c r="CB180">
        <v>568</v>
      </c>
    </row>
    <row r="181" spans="2:82" x14ac:dyDescent="0.25">
      <c r="B181" t="s">
        <v>456</v>
      </c>
      <c r="C181">
        <v>72</v>
      </c>
      <c r="D181" t="s">
        <v>457</v>
      </c>
      <c r="E181" t="s">
        <v>458</v>
      </c>
      <c r="F181" t="s">
        <v>459</v>
      </c>
      <c r="G181">
        <v>1</v>
      </c>
      <c r="H181">
        <v>90</v>
      </c>
      <c r="I181">
        <v>90</v>
      </c>
      <c r="J181">
        <v>80</v>
      </c>
      <c r="K181">
        <v>72</v>
      </c>
      <c r="L181">
        <v>6.0846790000000004</v>
      </c>
      <c r="M181">
        <v>26.534980000000001</v>
      </c>
      <c r="N181">
        <v>6.0846790000000004</v>
      </c>
      <c r="O181">
        <v>24.429124999999999</v>
      </c>
      <c r="P181">
        <v>6.0846790000000004</v>
      </c>
      <c r="Q181">
        <v>28.848078000000001</v>
      </c>
      <c r="R181">
        <v>0</v>
      </c>
      <c r="S181">
        <v>0</v>
      </c>
      <c r="T181">
        <v>2810.64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1253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7.0369999999999999</v>
      </c>
      <c r="AV181">
        <v>1.5920000000000001</v>
      </c>
      <c r="AW181">
        <v>0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4</v>
      </c>
      <c r="BY181">
        <v>56</v>
      </c>
    </row>
    <row r="182" spans="2:82" x14ac:dyDescent="0.25">
      <c r="B182" t="s">
        <v>462</v>
      </c>
      <c r="C182" t="s">
        <v>13</v>
      </c>
      <c r="D182" t="s">
        <v>463</v>
      </c>
      <c r="E182">
        <v>6</v>
      </c>
      <c r="F182">
        <v>37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2:82" x14ac:dyDescent="0.25">
      <c r="B183" t="s">
        <v>466</v>
      </c>
      <c r="C183">
        <v>17</v>
      </c>
      <c r="D183" t="s">
        <v>309</v>
      </c>
      <c r="E183" t="s">
        <v>310</v>
      </c>
      <c r="F183" t="s">
        <v>311</v>
      </c>
      <c r="G183" t="s">
        <v>312</v>
      </c>
      <c r="H183">
        <v>1</v>
      </c>
      <c r="I183">
        <v>45</v>
      </c>
      <c r="J183">
        <v>72</v>
      </c>
      <c r="K183">
        <v>48</v>
      </c>
      <c r="L183">
        <v>60</v>
      </c>
      <c r="M183">
        <v>17</v>
      </c>
      <c r="N183">
        <v>7.8303479999999999</v>
      </c>
      <c r="O183">
        <v>31.592903</v>
      </c>
      <c r="P183">
        <v>7.8303479999999999</v>
      </c>
      <c r="Q183">
        <v>30.569600999999999</v>
      </c>
      <c r="R183">
        <v>7.8303479999999999</v>
      </c>
      <c r="S183">
        <v>33.400049000000003</v>
      </c>
      <c r="T183">
        <v>7.8303479999999999</v>
      </c>
      <c r="U183">
        <v>28.155739000000001</v>
      </c>
      <c r="V183" t="s">
        <v>1254</v>
      </c>
      <c r="W183" t="s">
        <v>1255</v>
      </c>
      <c r="X183">
        <v>0.5</v>
      </c>
      <c r="Y183">
        <v>0</v>
      </c>
      <c r="Z183">
        <v>0</v>
      </c>
      <c r="AA183">
        <v>0</v>
      </c>
      <c r="AB183">
        <v>0</v>
      </c>
      <c r="AC183" t="s">
        <v>1256</v>
      </c>
      <c r="AD183">
        <v>0</v>
      </c>
      <c r="AE183" t="s">
        <v>1257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1258</v>
      </c>
      <c r="AM183" t="s">
        <v>1259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1260</v>
      </c>
      <c r="AW183">
        <v>0</v>
      </c>
      <c r="AX183">
        <v>1.452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47</v>
      </c>
      <c r="BI183">
        <v>654</v>
      </c>
    </row>
    <row r="184" spans="2:82" x14ac:dyDescent="0.25">
      <c r="B184" t="s">
        <v>467</v>
      </c>
      <c r="C184">
        <v>301</v>
      </c>
      <c r="D184" t="s">
        <v>411</v>
      </c>
      <c r="E184" t="s">
        <v>412</v>
      </c>
      <c r="F184" t="s">
        <v>468</v>
      </c>
      <c r="G184" t="s">
        <v>469</v>
      </c>
      <c r="H184">
        <v>12</v>
      </c>
      <c r="I184">
        <v>60</v>
      </c>
      <c r="J184">
        <v>60</v>
      </c>
      <c r="K184">
        <v>301</v>
      </c>
      <c r="L184">
        <v>31.111464999999999</v>
      </c>
      <c r="M184">
        <v>61.517828000000002</v>
      </c>
      <c r="N184">
        <v>0</v>
      </c>
      <c r="O184">
        <v>0</v>
      </c>
      <c r="P184">
        <v>31.111464999999999</v>
      </c>
      <c r="Q184">
        <v>61.517828000000002</v>
      </c>
      <c r="R184">
        <v>0</v>
      </c>
      <c r="S184">
        <v>0</v>
      </c>
      <c r="T184">
        <v>204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12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15</v>
      </c>
      <c r="BC184">
        <v>0</v>
      </c>
      <c r="BD184">
        <v>0</v>
      </c>
      <c r="BE184">
        <v>0</v>
      </c>
      <c r="BF184">
        <v>176.8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114</v>
      </c>
      <c r="CB184">
        <v>3153</v>
      </c>
    </row>
    <row r="185" spans="2:82" x14ac:dyDescent="0.25">
      <c r="B185" t="s">
        <v>470</v>
      </c>
      <c r="C185">
        <v>301</v>
      </c>
      <c r="D185" t="s">
        <v>411</v>
      </c>
      <c r="E185" t="s">
        <v>412</v>
      </c>
      <c r="F185" t="s">
        <v>468</v>
      </c>
      <c r="G185" t="s">
        <v>471</v>
      </c>
      <c r="H185">
        <v>12</v>
      </c>
      <c r="I185">
        <v>60</v>
      </c>
      <c r="J185">
        <v>60</v>
      </c>
      <c r="K185">
        <v>301</v>
      </c>
      <c r="L185">
        <v>31.110112999999998</v>
      </c>
      <c r="M185">
        <v>61.935043999999998</v>
      </c>
      <c r="N185">
        <v>0</v>
      </c>
      <c r="O185">
        <v>0</v>
      </c>
      <c r="P185">
        <v>31.110112999999998</v>
      </c>
      <c r="Q185">
        <v>61.935043999999998</v>
      </c>
      <c r="R185">
        <v>0</v>
      </c>
      <c r="S185">
        <v>0</v>
      </c>
      <c r="T185">
        <v>296</v>
      </c>
      <c r="U185">
        <v>0</v>
      </c>
      <c r="V185">
        <v>0</v>
      </c>
      <c r="W185">
        <v>0</v>
      </c>
      <c r="X185">
        <v>0</v>
      </c>
      <c r="Y185">
        <v>11</v>
      </c>
      <c r="Z185">
        <v>0</v>
      </c>
      <c r="AA185">
        <v>0</v>
      </c>
      <c r="AB185">
        <v>0</v>
      </c>
      <c r="AC185">
        <v>0</v>
      </c>
      <c r="AD185">
        <v>274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3</v>
      </c>
      <c r="BD185">
        <v>0</v>
      </c>
      <c r="BE185">
        <v>0</v>
      </c>
      <c r="BF185">
        <v>0</v>
      </c>
      <c r="BG185">
        <v>0</v>
      </c>
      <c r="BH185">
        <v>8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159</v>
      </c>
      <c r="CD185">
        <v>4177</v>
      </c>
    </row>
    <row r="186" spans="2:82" x14ac:dyDescent="0.25">
      <c r="B186" t="s">
        <v>472</v>
      </c>
      <c r="C186">
        <v>3</v>
      </c>
      <c r="D186" t="s">
        <v>434</v>
      </c>
      <c r="E186" t="s">
        <v>435</v>
      </c>
      <c r="F186" t="s">
        <v>436</v>
      </c>
      <c r="G186" t="s">
        <v>437</v>
      </c>
      <c r="H186">
        <v>1</v>
      </c>
      <c r="I186">
        <v>36</v>
      </c>
      <c r="J186">
        <v>36</v>
      </c>
      <c r="K186">
        <v>48</v>
      </c>
      <c r="L186">
        <v>60</v>
      </c>
      <c r="M186">
        <v>3</v>
      </c>
      <c r="N186">
        <v>7.0086940000000002</v>
      </c>
      <c r="O186">
        <v>31.179721000000001</v>
      </c>
      <c r="P186">
        <v>7.0086940000000002</v>
      </c>
      <c r="Q186">
        <v>29.826713999999999</v>
      </c>
      <c r="R186">
        <v>7.0086940000000002</v>
      </c>
      <c r="S186">
        <v>33.903384000000003</v>
      </c>
      <c r="T186">
        <v>7.0086940000000002</v>
      </c>
      <c r="U186">
        <v>27.081420000000001</v>
      </c>
      <c r="V186" t="s">
        <v>1261</v>
      </c>
      <c r="W186" t="s">
        <v>1262</v>
      </c>
      <c r="X186">
        <v>25.35</v>
      </c>
      <c r="Y186">
        <v>0</v>
      </c>
      <c r="Z186">
        <v>0</v>
      </c>
      <c r="AA186">
        <v>0</v>
      </c>
      <c r="AB186">
        <v>0</v>
      </c>
      <c r="AC186" t="s">
        <v>1263</v>
      </c>
      <c r="AD186">
        <v>0</v>
      </c>
      <c r="AE186" t="s">
        <v>1264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1265</v>
      </c>
      <c r="AM186" t="s">
        <v>1266</v>
      </c>
      <c r="AN186">
        <v>0.45400000000000001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1267</v>
      </c>
      <c r="AV186">
        <v>0</v>
      </c>
      <c r="AW186">
        <v>0.5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218</v>
      </c>
      <c r="BH186">
        <v>2723</v>
      </c>
    </row>
    <row r="187" spans="2:82" x14ac:dyDescent="0.25">
      <c r="B187" t="s">
        <v>473</v>
      </c>
      <c r="C187">
        <v>38</v>
      </c>
      <c r="D187" t="s">
        <v>386</v>
      </c>
      <c r="E187" t="s">
        <v>315</v>
      </c>
      <c r="F187" t="s">
        <v>316</v>
      </c>
      <c r="G187">
        <v>6</v>
      </c>
      <c r="H187">
        <v>80</v>
      </c>
      <c r="I187">
        <v>38</v>
      </c>
      <c r="J187">
        <v>0</v>
      </c>
      <c r="K187">
        <v>0</v>
      </c>
      <c r="L187">
        <v>0</v>
      </c>
      <c r="M187">
        <v>0</v>
      </c>
      <c r="N187">
        <v>27.444299999999998</v>
      </c>
      <c r="O187">
        <v>93.379664000000005</v>
      </c>
      <c r="P187">
        <v>0</v>
      </c>
      <c r="Q187">
        <v>0</v>
      </c>
      <c r="R187">
        <v>60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54.49</v>
      </c>
      <c r="AY187">
        <v>0.75</v>
      </c>
      <c r="AZ187">
        <v>0</v>
      </c>
      <c r="BA187">
        <v>0</v>
      </c>
      <c r="BB187">
        <v>0</v>
      </c>
      <c r="BC187">
        <v>4.6109999999999998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36</v>
      </c>
      <c r="BY187">
        <v>641</v>
      </c>
    </row>
    <row r="188" spans="2:82" x14ac:dyDescent="0.25">
      <c r="B188" t="s">
        <v>474</v>
      </c>
      <c r="C188">
        <v>41</v>
      </c>
      <c r="D188" t="s">
        <v>475</v>
      </c>
      <c r="E188" t="s">
        <v>476</v>
      </c>
      <c r="F188" t="s">
        <v>316</v>
      </c>
      <c r="G188" t="s">
        <v>477</v>
      </c>
      <c r="H188">
        <v>1</v>
      </c>
      <c r="I188">
        <v>80</v>
      </c>
      <c r="J188">
        <v>41</v>
      </c>
      <c r="K188">
        <v>0</v>
      </c>
      <c r="L188">
        <v>0</v>
      </c>
      <c r="M188">
        <v>0</v>
      </c>
      <c r="N188">
        <v>0</v>
      </c>
      <c r="O188">
        <v>8.5885649999999991</v>
      </c>
      <c r="P188">
        <v>34.829813999999999</v>
      </c>
      <c r="Q188">
        <v>0</v>
      </c>
      <c r="R188">
        <v>0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3.266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7</v>
      </c>
    </row>
    <row r="189" spans="2:82" x14ac:dyDescent="0.25">
      <c r="B189" t="s">
        <v>478</v>
      </c>
      <c r="C189">
        <v>41</v>
      </c>
      <c r="D189" t="s">
        <v>475</v>
      </c>
      <c r="E189" t="s">
        <v>476</v>
      </c>
      <c r="F189" t="s">
        <v>323</v>
      </c>
      <c r="G189" t="s">
        <v>477</v>
      </c>
      <c r="H189">
        <v>1</v>
      </c>
      <c r="I189">
        <v>120</v>
      </c>
      <c r="J189">
        <v>41</v>
      </c>
      <c r="K189">
        <v>0</v>
      </c>
      <c r="L189">
        <v>0</v>
      </c>
      <c r="M189">
        <v>0</v>
      </c>
      <c r="N189">
        <v>0</v>
      </c>
      <c r="O189">
        <v>12.187821</v>
      </c>
      <c r="P189">
        <v>40.135762</v>
      </c>
      <c r="Q189">
        <v>0</v>
      </c>
      <c r="R189">
        <v>0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1268</v>
      </c>
      <c r="AX189">
        <v>0</v>
      </c>
      <c r="AY189">
        <v>0</v>
      </c>
      <c r="AZ189">
        <v>0</v>
      </c>
      <c r="BA189">
        <v>0</v>
      </c>
      <c r="BB189">
        <v>0.4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11</v>
      </c>
    </row>
    <row r="190" spans="2:82" x14ac:dyDescent="0.25">
      <c r="B190" t="s">
        <v>480</v>
      </c>
      <c r="C190">
        <v>41</v>
      </c>
      <c r="D190" t="s">
        <v>475</v>
      </c>
      <c r="E190" t="s">
        <v>476</v>
      </c>
      <c r="F190" t="s">
        <v>323</v>
      </c>
      <c r="G190" t="s">
        <v>479</v>
      </c>
      <c r="H190">
        <v>1</v>
      </c>
      <c r="I190">
        <v>60</v>
      </c>
      <c r="J190">
        <v>41</v>
      </c>
      <c r="K190">
        <v>8.6145530000000008</v>
      </c>
      <c r="L190">
        <v>31.066388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1269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2</v>
      </c>
      <c r="CA190">
        <v>32</v>
      </c>
    </row>
    <row r="191" spans="2:82" x14ac:dyDescent="0.25">
      <c r="B191" t="s">
        <v>481</v>
      </c>
      <c r="C191">
        <v>41</v>
      </c>
      <c r="D191" t="s">
        <v>475</v>
      </c>
      <c r="E191" t="s">
        <v>476</v>
      </c>
      <c r="F191" t="s">
        <v>316</v>
      </c>
      <c r="G191" t="s">
        <v>479</v>
      </c>
      <c r="H191">
        <v>1</v>
      </c>
      <c r="I191">
        <v>90</v>
      </c>
      <c r="J191">
        <v>41</v>
      </c>
      <c r="K191">
        <v>12.588888000000001</v>
      </c>
      <c r="L191">
        <v>41.255147000000001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10.749000000000001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8</v>
      </c>
    </row>
    <row r="192" spans="2:82" x14ac:dyDescent="0.25">
      <c r="B192" t="s">
        <v>482</v>
      </c>
      <c r="C192">
        <v>29</v>
      </c>
      <c r="D192" t="s">
        <v>483</v>
      </c>
      <c r="E192" t="s">
        <v>323</v>
      </c>
      <c r="F192">
        <v>1</v>
      </c>
      <c r="G192">
        <v>25</v>
      </c>
      <c r="H192">
        <v>30</v>
      </c>
      <c r="I192">
        <v>25</v>
      </c>
      <c r="J192">
        <v>29</v>
      </c>
      <c r="K192">
        <v>5.1708920000000003</v>
      </c>
      <c r="L192">
        <v>22.581323999999999</v>
      </c>
      <c r="M192">
        <v>5.1708920000000003</v>
      </c>
      <c r="N192">
        <v>21.932082999999999</v>
      </c>
      <c r="O192">
        <v>5.1708920000000003</v>
      </c>
      <c r="P192">
        <v>22.67323</v>
      </c>
      <c r="Q192">
        <v>0</v>
      </c>
      <c r="R192">
        <v>0</v>
      </c>
      <c r="S192">
        <v>21349.02</v>
      </c>
      <c r="T192">
        <v>0</v>
      </c>
      <c r="U192">
        <v>1</v>
      </c>
      <c r="V192">
        <v>0</v>
      </c>
      <c r="W192">
        <v>12.82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1270</v>
      </c>
      <c r="AG192">
        <v>0</v>
      </c>
      <c r="AH192">
        <v>0</v>
      </c>
      <c r="AI192">
        <v>14.83</v>
      </c>
      <c r="AJ192">
        <v>0</v>
      </c>
      <c r="AK192">
        <v>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1271</v>
      </c>
      <c r="AS192" t="s">
        <v>1272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41</v>
      </c>
      <c r="BS192">
        <v>542</v>
      </c>
    </row>
    <row r="193" spans="2:79" x14ac:dyDescent="0.25">
      <c r="B193" t="s">
        <v>484</v>
      </c>
      <c r="C193">
        <v>29</v>
      </c>
      <c r="D193" t="s">
        <v>483</v>
      </c>
      <c r="E193" t="s">
        <v>316</v>
      </c>
      <c r="F193">
        <v>1</v>
      </c>
      <c r="G193">
        <v>25</v>
      </c>
      <c r="H193">
        <v>30</v>
      </c>
      <c r="I193">
        <v>25</v>
      </c>
      <c r="J193">
        <v>60</v>
      </c>
      <c r="K193">
        <v>29</v>
      </c>
      <c r="L193">
        <v>4.9900390000000003</v>
      </c>
      <c r="M193">
        <v>19.694977000000002</v>
      </c>
      <c r="N193">
        <v>4.9900390000000003</v>
      </c>
      <c r="O193">
        <v>19.907195999999999</v>
      </c>
      <c r="P193">
        <v>4.9900390000000003</v>
      </c>
      <c r="Q193">
        <v>20.861681000000001</v>
      </c>
      <c r="R193">
        <v>4.9900390000000003</v>
      </c>
      <c r="S193">
        <v>18.565821</v>
      </c>
      <c r="T193" t="s">
        <v>1273</v>
      </c>
      <c r="U193">
        <v>0.495</v>
      </c>
      <c r="V193" t="s">
        <v>1274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1275</v>
      </c>
      <c r="AD193">
        <v>0</v>
      </c>
      <c r="AE193" t="s">
        <v>1276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">
        <v>1277</v>
      </c>
      <c r="AM193" t="s">
        <v>1278</v>
      </c>
      <c r="AN193">
        <v>1.1830000000000001</v>
      </c>
      <c r="AO193">
        <v>0</v>
      </c>
      <c r="AP193">
        <v>0</v>
      </c>
      <c r="AQ193">
        <v>0</v>
      </c>
      <c r="AR193">
        <v>0</v>
      </c>
      <c r="AS193" t="s">
        <v>1279</v>
      </c>
      <c r="AT193">
        <v>0</v>
      </c>
      <c r="AU193">
        <v>0</v>
      </c>
      <c r="AV193" t="s">
        <v>1280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54</v>
      </c>
      <c r="BE193">
        <v>747</v>
      </c>
    </row>
    <row r="194" spans="2:79" x14ac:dyDescent="0.25">
      <c r="B194" t="s">
        <v>485</v>
      </c>
      <c r="C194">
        <v>19</v>
      </c>
      <c r="D194" t="s">
        <v>486</v>
      </c>
      <c r="E194" t="s">
        <v>323</v>
      </c>
      <c r="F194">
        <v>1</v>
      </c>
      <c r="G194">
        <v>20</v>
      </c>
      <c r="H194">
        <v>30</v>
      </c>
      <c r="I194">
        <v>25</v>
      </c>
      <c r="J194">
        <v>60</v>
      </c>
      <c r="K194">
        <v>19</v>
      </c>
      <c r="L194">
        <v>6.1215929999999998</v>
      </c>
      <c r="M194">
        <v>28.35735</v>
      </c>
      <c r="N194">
        <v>6.1215929999999998</v>
      </c>
      <c r="O194">
        <v>27.349036999999999</v>
      </c>
      <c r="P194">
        <v>6.1215929999999998</v>
      </c>
      <c r="Q194">
        <v>28.412381</v>
      </c>
      <c r="R194">
        <v>6.1215929999999998</v>
      </c>
      <c r="S194">
        <v>26.00001</v>
      </c>
      <c r="T194" t="s">
        <v>1281</v>
      </c>
      <c r="U194">
        <v>0</v>
      </c>
      <c r="V194">
        <v>0</v>
      </c>
      <c r="W194" t="s">
        <v>1282</v>
      </c>
      <c r="X194">
        <v>0</v>
      </c>
      <c r="Y194">
        <v>2.6720000000000002</v>
      </c>
      <c r="Z194">
        <v>0</v>
      </c>
      <c r="AA194">
        <v>0</v>
      </c>
      <c r="AB194">
        <v>0</v>
      </c>
      <c r="AC194">
        <v>0</v>
      </c>
      <c r="AD194" t="s">
        <v>1283</v>
      </c>
      <c r="AE194">
        <v>0</v>
      </c>
      <c r="AF194">
        <v>0</v>
      </c>
      <c r="AG194">
        <v>9.17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 t="s">
        <v>1284</v>
      </c>
      <c r="AQ194">
        <v>0</v>
      </c>
      <c r="AR194" t="s">
        <v>1285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9.6660000000000004</v>
      </c>
      <c r="AZ194">
        <v>0</v>
      </c>
      <c r="BA194">
        <v>0</v>
      </c>
      <c r="BB194">
        <v>0</v>
      </c>
      <c r="BC194">
        <v>0.5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77</v>
      </c>
      <c r="BN194">
        <v>1001</v>
      </c>
    </row>
    <row r="195" spans="2:79" x14ac:dyDescent="0.25">
      <c r="B195" t="s">
        <v>487</v>
      </c>
      <c r="C195">
        <v>19</v>
      </c>
      <c r="D195" t="s">
        <v>486</v>
      </c>
      <c r="E195" t="s">
        <v>316</v>
      </c>
      <c r="F195">
        <v>1</v>
      </c>
      <c r="G195">
        <v>20</v>
      </c>
      <c r="H195">
        <v>30</v>
      </c>
      <c r="I195">
        <v>25</v>
      </c>
      <c r="J195">
        <v>19</v>
      </c>
      <c r="K195">
        <v>5.733441</v>
      </c>
      <c r="L195">
        <v>22.326844999999999</v>
      </c>
      <c r="M195">
        <v>5.733441</v>
      </c>
      <c r="N195">
        <v>22.319497999999999</v>
      </c>
      <c r="O195">
        <v>5.733441</v>
      </c>
      <c r="P195">
        <v>23.740366999999999</v>
      </c>
      <c r="Q195">
        <v>0</v>
      </c>
      <c r="R195">
        <v>0</v>
      </c>
      <c r="S195" t="s">
        <v>1286</v>
      </c>
      <c r="T195" t="s">
        <v>1287</v>
      </c>
      <c r="U195">
        <v>1.7849999999999999</v>
      </c>
      <c r="V195">
        <v>0</v>
      </c>
      <c r="W195">
        <v>0</v>
      </c>
      <c r="X195">
        <v>0</v>
      </c>
      <c r="Y195">
        <v>0</v>
      </c>
      <c r="Z195" t="s">
        <v>1288</v>
      </c>
      <c r="AA195">
        <v>0</v>
      </c>
      <c r="AB195">
        <v>2.1059999999999999</v>
      </c>
      <c r="AC195">
        <v>0.5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1289</v>
      </c>
      <c r="AK195" t="s">
        <v>1290</v>
      </c>
      <c r="AL195">
        <v>1.1830000000000001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56</v>
      </c>
      <c r="BH195">
        <v>801</v>
      </c>
    </row>
    <row r="196" spans="2:79" x14ac:dyDescent="0.25">
      <c r="B196" t="s">
        <v>494</v>
      </c>
      <c r="C196">
        <v>9</v>
      </c>
      <c r="D196" t="s">
        <v>401</v>
      </c>
      <c r="E196" t="s">
        <v>323</v>
      </c>
      <c r="F196">
        <v>1</v>
      </c>
      <c r="G196">
        <v>25</v>
      </c>
      <c r="H196">
        <v>35</v>
      </c>
      <c r="I196">
        <v>40</v>
      </c>
      <c r="J196">
        <v>9</v>
      </c>
      <c r="K196">
        <v>6.5818209999999997</v>
      </c>
      <c r="L196">
        <v>27.355827000000001</v>
      </c>
      <c r="M196">
        <v>6.5818209999999997</v>
      </c>
      <c r="N196">
        <v>26.353158000000001</v>
      </c>
      <c r="O196">
        <v>6.5818209999999997</v>
      </c>
      <c r="P196">
        <v>27.000413999999999</v>
      </c>
      <c r="Q196">
        <v>0</v>
      </c>
      <c r="R196">
        <v>0</v>
      </c>
      <c r="S196">
        <v>15732.2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1291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1292</v>
      </c>
      <c r="AU196">
        <v>0</v>
      </c>
      <c r="AV196" t="s">
        <v>1293</v>
      </c>
      <c r="AW196">
        <v>0.5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33</v>
      </c>
      <c r="BS196">
        <v>459</v>
      </c>
    </row>
    <row r="197" spans="2:79" x14ac:dyDescent="0.25">
      <c r="B197" t="s">
        <v>495</v>
      </c>
      <c r="C197">
        <v>24</v>
      </c>
      <c r="D197" t="s">
        <v>454</v>
      </c>
      <c r="E197" t="s">
        <v>315</v>
      </c>
      <c r="F197" t="s">
        <v>101</v>
      </c>
      <c r="G197">
        <v>6</v>
      </c>
      <c r="H197">
        <v>48</v>
      </c>
      <c r="I197">
        <v>24</v>
      </c>
      <c r="J197">
        <v>0</v>
      </c>
      <c r="K197">
        <v>0</v>
      </c>
      <c r="L197">
        <v>0</v>
      </c>
      <c r="M197">
        <v>0</v>
      </c>
      <c r="N197">
        <v>28.962689999999998</v>
      </c>
      <c r="O197">
        <v>75.661563000000001</v>
      </c>
      <c r="P197">
        <v>0</v>
      </c>
      <c r="Q197">
        <v>0</v>
      </c>
      <c r="R197">
        <v>72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38.1</v>
      </c>
      <c r="AY197">
        <v>0</v>
      </c>
      <c r="AZ197">
        <v>0</v>
      </c>
      <c r="BA197">
        <v>0</v>
      </c>
      <c r="BB197">
        <v>0</v>
      </c>
      <c r="BC197">
        <v>34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36</v>
      </c>
      <c r="CA197">
        <v>1021</v>
      </c>
    </row>
    <row r="198" spans="2:79" x14ac:dyDescent="0.25">
      <c r="B198" t="s">
        <v>497</v>
      </c>
      <c r="C198">
        <v>30</v>
      </c>
      <c r="D198" t="s">
        <v>398</v>
      </c>
      <c r="E198" t="s">
        <v>316</v>
      </c>
      <c r="F198" t="s">
        <v>496</v>
      </c>
      <c r="G198">
        <v>1</v>
      </c>
      <c r="H198">
        <v>60</v>
      </c>
      <c r="I198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7.2150860000000003</v>
      </c>
      <c r="Q198">
        <v>28.690204000000001</v>
      </c>
      <c r="R198">
        <v>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3.4159999999999999</v>
      </c>
      <c r="BL198">
        <v>0</v>
      </c>
      <c r="BM198">
        <v>0</v>
      </c>
      <c r="BN198">
        <v>0</v>
      </c>
      <c r="BO198">
        <v>1.6659999999999999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13</v>
      </c>
    </row>
    <row r="199" spans="2:79" x14ac:dyDescent="0.25">
      <c r="B199" t="s">
        <v>498</v>
      </c>
      <c r="C199">
        <v>76</v>
      </c>
      <c r="D199" t="s">
        <v>429</v>
      </c>
      <c r="E199" t="s">
        <v>430</v>
      </c>
      <c r="F199" t="s">
        <v>499</v>
      </c>
      <c r="G199">
        <v>1</v>
      </c>
      <c r="H199">
        <v>60</v>
      </c>
      <c r="I199">
        <v>60</v>
      </c>
      <c r="J199">
        <v>60</v>
      </c>
      <c r="K199">
        <v>300</v>
      </c>
      <c r="L199">
        <v>76</v>
      </c>
      <c r="M199">
        <v>5.0143120000000003</v>
      </c>
      <c r="N199">
        <v>20.4314</v>
      </c>
      <c r="O199">
        <v>5.0143120000000003</v>
      </c>
      <c r="P199">
        <v>19.630001</v>
      </c>
      <c r="Q199">
        <v>5.0143120000000003</v>
      </c>
      <c r="R199">
        <v>20.991174999999998</v>
      </c>
      <c r="S199">
        <v>5.0143120000000003</v>
      </c>
      <c r="T199">
        <v>18.941039</v>
      </c>
      <c r="U199">
        <v>18</v>
      </c>
      <c r="V199">
        <v>0</v>
      </c>
      <c r="W199">
        <v>1</v>
      </c>
      <c r="X199">
        <v>0</v>
      </c>
      <c r="Y199">
        <v>0</v>
      </c>
      <c r="Z199" t="s">
        <v>1294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1295</v>
      </c>
      <c r="AH199">
        <v>0</v>
      </c>
      <c r="AI199">
        <v>0</v>
      </c>
      <c r="AJ199">
        <v>0</v>
      </c>
      <c r="AK199" t="s">
        <v>1296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t="s">
        <v>1297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2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3</v>
      </c>
      <c r="BU199">
        <v>39</v>
      </c>
    </row>
    <row r="200" spans="2:79" x14ac:dyDescent="0.25">
      <c r="B200" t="s">
        <v>500</v>
      </c>
      <c r="C200">
        <v>76</v>
      </c>
      <c r="D200" t="s">
        <v>429</v>
      </c>
      <c r="E200" t="s">
        <v>430</v>
      </c>
      <c r="F200" t="s">
        <v>501</v>
      </c>
      <c r="G200">
        <v>1</v>
      </c>
      <c r="H200">
        <v>60</v>
      </c>
      <c r="I200">
        <v>60</v>
      </c>
      <c r="J200">
        <v>60</v>
      </c>
      <c r="K200">
        <v>300</v>
      </c>
      <c r="L200">
        <v>76</v>
      </c>
      <c r="M200">
        <v>8.8204709999999995</v>
      </c>
      <c r="N200">
        <v>33.785927000000001</v>
      </c>
      <c r="O200">
        <v>8.8204709999999995</v>
      </c>
      <c r="P200">
        <v>33.535552000000003</v>
      </c>
      <c r="Q200">
        <v>8.8204709999999995</v>
      </c>
      <c r="R200">
        <v>34.965263999999998</v>
      </c>
      <c r="S200">
        <v>8.8204709999999995</v>
      </c>
      <c r="T200">
        <v>32.730777000000003</v>
      </c>
      <c r="U200">
        <v>28</v>
      </c>
      <c r="V200">
        <v>64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27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14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7</v>
      </c>
      <c r="CA200">
        <v>109</v>
      </c>
    </row>
    <row r="201" spans="2:79" x14ac:dyDescent="0.25">
      <c r="B201" t="s">
        <v>504</v>
      </c>
      <c r="C201">
        <v>2</v>
      </c>
      <c r="D201" t="s">
        <v>402</v>
      </c>
      <c r="E201" t="s">
        <v>316</v>
      </c>
      <c r="F201">
        <v>1</v>
      </c>
      <c r="G201">
        <v>35</v>
      </c>
      <c r="H201">
        <v>70</v>
      </c>
      <c r="I201">
        <v>60</v>
      </c>
      <c r="J201">
        <v>2</v>
      </c>
      <c r="K201">
        <v>7.8853039999999996</v>
      </c>
      <c r="L201">
        <v>34.441073000000003</v>
      </c>
      <c r="M201">
        <v>7.8853039999999996</v>
      </c>
      <c r="N201">
        <v>33.533999999999999</v>
      </c>
      <c r="O201">
        <v>7.8853039999999996</v>
      </c>
      <c r="P201">
        <v>36.680931000000001</v>
      </c>
      <c r="Q201">
        <v>0</v>
      </c>
      <c r="R201">
        <v>0</v>
      </c>
      <c r="S201" t="s">
        <v>1298</v>
      </c>
      <c r="T201" t="s">
        <v>1299</v>
      </c>
      <c r="U201">
        <v>3.29</v>
      </c>
      <c r="V201">
        <v>0</v>
      </c>
      <c r="W201">
        <v>0</v>
      </c>
      <c r="X201">
        <v>0</v>
      </c>
      <c r="Y201">
        <v>0</v>
      </c>
      <c r="Z201" t="s">
        <v>1300</v>
      </c>
      <c r="AA201">
        <v>0</v>
      </c>
      <c r="AB201" t="s">
        <v>1301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1302</v>
      </c>
      <c r="AJ201">
        <v>10.5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52</v>
      </c>
      <c r="BK201">
        <v>712</v>
      </c>
    </row>
    <row r="202" spans="2:79" x14ac:dyDescent="0.25">
      <c r="B202" t="s">
        <v>505</v>
      </c>
      <c r="C202">
        <v>2</v>
      </c>
      <c r="D202" t="s">
        <v>402</v>
      </c>
      <c r="E202" t="s">
        <v>323</v>
      </c>
      <c r="F202">
        <v>1</v>
      </c>
      <c r="G202">
        <v>45</v>
      </c>
      <c r="H202">
        <v>60</v>
      </c>
      <c r="I202">
        <v>48</v>
      </c>
      <c r="J202">
        <v>2</v>
      </c>
      <c r="K202">
        <v>6.958526</v>
      </c>
      <c r="L202">
        <v>31.131882000000001</v>
      </c>
      <c r="M202">
        <v>6.958526</v>
      </c>
      <c r="N202">
        <v>29.156994999999998</v>
      </c>
      <c r="O202">
        <v>6.958526</v>
      </c>
      <c r="P202">
        <v>30.751937000000002</v>
      </c>
      <c r="Q202">
        <v>0</v>
      </c>
      <c r="R202">
        <v>0</v>
      </c>
      <c r="S202" t="s">
        <v>1303</v>
      </c>
      <c r="T202">
        <v>0</v>
      </c>
      <c r="U202">
        <v>3.8570000000000002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1304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t="s">
        <v>1305</v>
      </c>
      <c r="AS202" t="s">
        <v>1306</v>
      </c>
      <c r="AT202">
        <v>1.7190000000000001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25</v>
      </c>
      <c r="BP202">
        <v>326</v>
      </c>
    </row>
    <row r="203" spans="2:79" x14ac:dyDescent="0.25">
      <c r="B203" t="s">
        <v>506</v>
      </c>
      <c r="C203">
        <v>15</v>
      </c>
      <c r="D203" t="s">
        <v>325</v>
      </c>
      <c r="E203" t="s">
        <v>304</v>
      </c>
      <c r="F203" t="s">
        <v>316</v>
      </c>
      <c r="G203">
        <v>1</v>
      </c>
      <c r="H203">
        <v>20</v>
      </c>
      <c r="I203">
        <v>20</v>
      </c>
      <c r="J203">
        <v>20</v>
      </c>
      <c r="K203">
        <v>60</v>
      </c>
      <c r="L203">
        <v>15</v>
      </c>
      <c r="M203">
        <v>13.097626</v>
      </c>
      <c r="N203">
        <v>54.210552999999997</v>
      </c>
      <c r="O203">
        <v>13.097626</v>
      </c>
      <c r="P203">
        <v>51.524785000000001</v>
      </c>
      <c r="Q203">
        <v>13.097626</v>
      </c>
      <c r="R203">
        <v>64.668961999999993</v>
      </c>
      <c r="S203">
        <v>13.097626</v>
      </c>
      <c r="T203">
        <v>49.472211000000001</v>
      </c>
      <c r="U203" t="s">
        <v>1307</v>
      </c>
      <c r="V203" t="s">
        <v>1308</v>
      </c>
      <c r="W203">
        <v>1.913</v>
      </c>
      <c r="X203">
        <v>0</v>
      </c>
      <c r="Y203">
        <v>0</v>
      </c>
      <c r="Z203">
        <v>0</v>
      </c>
      <c r="AA203">
        <v>0</v>
      </c>
      <c r="AB203" t="s">
        <v>1309</v>
      </c>
      <c r="AC203">
        <v>0</v>
      </c>
      <c r="AD203" t="s">
        <v>1310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t="s">
        <v>1311</v>
      </c>
      <c r="AL203" t="s">
        <v>1312</v>
      </c>
      <c r="AM203">
        <v>97.35</v>
      </c>
      <c r="AN203">
        <v>14.94</v>
      </c>
      <c r="AO203">
        <v>0</v>
      </c>
      <c r="AP203">
        <v>0</v>
      </c>
      <c r="AQ203">
        <v>0</v>
      </c>
      <c r="AR203">
        <v>0</v>
      </c>
      <c r="AS203" t="s">
        <v>1313</v>
      </c>
      <c r="AT203">
        <v>0</v>
      </c>
      <c r="AU203" t="s">
        <v>1314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483</v>
      </c>
      <c r="BD203">
        <v>6256</v>
      </c>
    </row>
    <row r="204" spans="2:79" x14ac:dyDescent="0.25">
      <c r="B204" t="s">
        <v>507</v>
      </c>
      <c r="C204">
        <v>15</v>
      </c>
      <c r="D204" t="s">
        <v>325</v>
      </c>
      <c r="E204" t="s">
        <v>304</v>
      </c>
      <c r="F204" t="s">
        <v>323</v>
      </c>
      <c r="G204">
        <v>1</v>
      </c>
      <c r="H204">
        <v>20</v>
      </c>
      <c r="I204">
        <v>20</v>
      </c>
      <c r="J204">
        <v>20</v>
      </c>
      <c r="K204">
        <v>60</v>
      </c>
      <c r="L204">
        <v>15</v>
      </c>
      <c r="M204">
        <v>12.902248999999999</v>
      </c>
      <c r="N204">
        <v>63.992840000000001</v>
      </c>
      <c r="O204">
        <v>12.902248999999999</v>
      </c>
      <c r="P204">
        <v>52.080477000000002</v>
      </c>
      <c r="Q204">
        <v>12.902248999999999</v>
      </c>
      <c r="R204">
        <v>56.274329000000002</v>
      </c>
      <c r="S204">
        <v>12.902248999999999</v>
      </c>
      <c r="T204">
        <v>47.093496000000002</v>
      </c>
      <c r="U204" t="s">
        <v>1315</v>
      </c>
      <c r="V204" t="s">
        <v>1316</v>
      </c>
      <c r="W204">
        <v>0</v>
      </c>
      <c r="X204">
        <v>179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 t="s">
        <v>1317</v>
      </c>
      <c r="AF204">
        <v>5</v>
      </c>
      <c r="AG204">
        <v>0</v>
      </c>
      <c r="AH204" t="s">
        <v>1318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 t="s">
        <v>1319</v>
      </c>
      <c r="AP204" t="s">
        <v>1320</v>
      </c>
      <c r="AQ204">
        <v>1.1259999999999999</v>
      </c>
      <c r="AR204">
        <v>0</v>
      </c>
      <c r="AS204">
        <v>0</v>
      </c>
      <c r="AT204">
        <v>0</v>
      </c>
      <c r="AU204">
        <v>0</v>
      </c>
      <c r="AV204" t="s">
        <v>1321</v>
      </c>
      <c r="AW204">
        <v>1</v>
      </c>
      <c r="AX204">
        <v>0</v>
      </c>
      <c r="AY204" t="s">
        <v>1322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566</v>
      </c>
      <c r="BI204">
        <v>7143</v>
      </c>
    </row>
    <row r="205" spans="2:79" x14ac:dyDescent="0.25">
      <c r="B205" t="s">
        <v>508</v>
      </c>
      <c r="C205">
        <v>89</v>
      </c>
      <c r="D205" t="s">
        <v>431</v>
      </c>
      <c r="E205" t="s">
        <v>432</v>
      </c>
      <c r="F205">
        <v>6</v>
      </c>
      <c r="G205">
        <v>120</v>
      </c>
      <c r="H205">
        <v>89</v>
      </c>
      <c r="I205">
        <v>0</v>
      </c>
      <c r="J205">
        <v>0</v>
      </c>
      <c r="K205">
        <v>0</v>
      </c>
      <c r="L205">
        <v>0</v>
      </c>
      <c r="M205" t="s">
        <v>1323</v>
      </c>
      <c r="N205">
        <v>0</v>
      </c>
      <c r="O205">
        <v>0</v>
      </c>
      <c r="P205">
        <v>35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21.25</v>
      </c>
      <c r="AW205">
        <v>0.5</v>
      </c>
      <c r="AX205">
        <v>0</v>
      </c>
      <c r="AY205">
        <v>0</v>
      </c>
      <c r="AZ205">
        <v>8</v>
      </c>
      <c r="BA205">
        <v>0</v>
      </c>
      <c r="BB205">
        <v>5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9</v>
      </c>
      <c r="BX205">
        <v>150</v>
      </c>
    </row>
    <row r="206" spans="2:79" x14ac:dyDescent="0.25">
      <c r="B206" t="s">
        <v>509</v>
      </c>
      <c r="C206">
        <v>35</v>
      </c>
      <c r="D206" t="s">
        <v>455</v>
      </c>
      <c r="E206" t="s">
        <v>315</v>
      </c>
      <c r="F206" t="s">
        <v>316</v>
      </c>
      <c r="G206">
        <v>6</v>
      </c>
      <c r="H206">
        <v>180</v>
      </c>
      <c r="I206">
        <v>60</v>
      </c>
      <c r="J206">
        <v>35</v>
      </c>
      <c r="K206">
        <v>16.221634000000002</v>
      </c>
      <c r="L206">
        <v>42.609084000000003</v>
      </c>
      <c r="M206">
        <v>0</v>
      </c>
      <c r="N206">
        <v>0</v>
      </c>
      <c r="O206">
        <v>16.221634000000002</v>
      </c>
      <c r="P206">
        <v>52.466904</v>
      </c>
      <c r="Q206">
        <v>0</v>
      </c>
      <c r="R206">
        <v>0</v>
      </c>
      <c r="S206">
        <v>63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38.75</v>
      </c>
      <c r="AZ206">
        <v>0.5</v>
      </c>
      <c r="BA206">
        <v>0</v>
      </c>
      <c r="BB206">
        <v>0</v>
      </c>
      <c r="BC206">
        <v>16</v>
      </c>
      <c r="BD206">
        <v>0</v>
      </c>
      <c r="BE206">
        <v>6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23</v>
      </c>
      <c r="CA206">
        <v>468</v>
      </c>
    </row>
    <row r="207" spans="2:79" x14ac:dyDescent="0.25">
      <c r="B207" t="s">
        <v>510</v>
      </c>
      <c r="C207">
        <v>87</v>
      </c>
      <c r="D207" t="s">
        <v>333</v>
      </c>
      <c r="E207" t="s">
        <v>464</v>
      </c>
      <c r="F207" t="s">
        <v>164</v>
      </c>
      <c r="G207">
        <v>7</v>
      </c>
      <c r="H207">
        <v>80</v>
      </c>
      <c r="I207">
        <v>87</v>
      </c>
      <c r="J207">
        <v>0</v>
      </c>
      <c r="K207">
        <v>0</v>
      </c>
      <c r="L207">
        <v>0</v>
      </c>
      <c r="M207">
        <v>0</v>
      </c>
      <c r="N207">
        <v>30.468682999999999</v>
      </c>
      <c r="O207">
        <v>87.776660000000007</v>
      </c>
      <c r="P207">
        <v>0</v>
      </c>
      <c r="Q207">
        <v>0</v>
      </c>
      <c r="R207">
        <v>24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18.97</v>
      </c>
      <c r="AY207">
        <v>0</v>
      </c>
      <c r="AZ207">
        <v>0</v>
      </c>
      <c r="BA207">
        <v>0</v>
      </c>
      <c r="BB207">
        <v>0</v>
      </c>
      <c r="BC207">
        <v>3</v>
      </c>
      <c r="BD207">
        <v>1.722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45</v>
      </c>
    </row>
    <row r="208" spans="2:79" x14ac:dyDescent="0.25">
      <c r="B208" t="s">
        <v>511</v>
      </c>
      <c r="C208">
        <v>103</v>
      </c>
      <c r="D208" t="s">
        <v>98</v>
      </c>
      <c r="E208" t="s">
        <v>351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2:82" x14ac:dyDescent="0.25">
      <c r="B209" t="s">
        <v>512</v>
      </c>
      <c r="C209">
        <v>22</v>
      </c>
      <c r="D209" t="s">
        <v>327</v>
      </c>
      <c r="E209" t="s">
        <v>328</v>
      </c>
      <c r="F209" t="s">
        <v>329</v>
      </c>
      <c r="G209">
        <v>1</v>
      </c>
      <c r="H209">
        <v>45</v>
      </c>
      <c r="I209">
        <v>45</v>
      </c>
      <c r="J209">
        <v>48</v>
      </c>
      <c r="K209">
        <v>22</v>
      </c>
      <c r="L209">
        <v>9.6686779999999999</v>
      </c>
      <c r="M209">
        <v>38.287207000000002</v>
      </c>
      <c r="N209">
        <v>9.6686779999999999</v>
      </c>
      <c r="O209">
        <v>38.329912999999998</v>
      </c>
      <c r="P209">
        <v>9.6686779999999999</v>
      </c>
      <c r="Q209">
        <v>41.140318000000001</v>
      </c>
      <c r="R209">
        <v>0</v>
      </c>
      <c r="S209">
        <v>0</v>
      </c>
      <c r="T209" t="s">
        <v>1324</v>
      </c>
      <c r="U209">
        <v>0</v>
      </c>
      <c r="V209" t="s">
        <v>1325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1326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">
        <v>1327</v>
      </c>
      <c r="AP209" t="s">
        <v>1328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40</v>
      </c>
      <c r="BN209">
        <v>554</v>
      </c>
    </row>
    <row r="210" spans="2:82" x14ac:dyDescent="0.25">
      <c r="B210" t="s">
        <v>513</v>
      </c>
      <c r="C210">
        <v>22</v>
      </c>
      <c r="D210" t="s">
        <v>327</v>
      </c>
      <c r="E210" t="s">
        <v>328</v>
      </c>
      <c r="F210" t="s">
        <v>329</v>
      </c>
      <c r="G210">
        <v>1</v>
      </c>
      <c r="H210">
        <v>35</v>
      </c>
      <c r="I210">
        <v>45</v>
      </c>
      <c r="J210">
        <v>48</v>
      </c>
      <c r="K210">
        <v>22</v>
      </c>
      <c r="L210">
        <v>10.28675</v>
      </c>
      <c r="M210">
        <v>43.136918000000001</v>
      </c>
      <c r="N210">
        <v>10.28675</v>
      </c>
      <c r="O210">
        <v>40.791065000000003</v>
      </c>
      <c r="P210">
        <v>10.28675</v>
      </c>
      <c r="Q210">
        <v>41.993398999999997</v>
      </c>
      <c r="R210">
        <v>0</v>
      </c>
      <c r="S210">
        <v>0</v>
      </c>
      <c r="T210" t="s">
        <v>1329</v>
      </c>
      <c r="U210">
        <v>0</v>
      </c>
      <c r="V210">
        <v>0.56200000000000006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1330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t="s">
        <v>1331</v>
      </c>
      <c r="AS210">
        <v>0</v>
      </c>
      <c r="AT210" t="s">
        <v>1332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60</v>
      </c>
      <c r="BR210">
        <v>826</v>
      </c>
    </row>
    <row r="211" spans="2:82" x14ac:dyDescent="0.25">
      <c r="B211" t="s">
        <v>514</v>
      </c>
      <c r="C211">
        <v>30</v>
      </c>
      <c r="D211" t="s">
        <v>398</v>
      </c>
      <c r="E211" t="s">
        <v>316</v>
      </c>
      <c r="F211">
        <v>1</v>
      </c>
      <c r="G211">
        <v>60</v>
      </c>
      <c r="H211">
        <v>60</v>
      </c>
      <c r="I211">
        <v>60</v>
      </c>
      <c r="J211">
        <v>30</v>
      </c>
      <c r="K211">
        <v>5.603898</v>
      </c>
      <c r="L211">
        <v>22.187048000000001</v>
      </c>
      <c r="M211">
        <v>5.603898</v>
      </c>
      <c r="N211">
        <v>22.886555999999999</v>
      </c>
      <c r="O211">
        <v>5.603898</v>
      </c>
      <c r="P211">
        <v>25.001286</v>
      </c>
      <c r="Q211">
        <v>0</v>
      </c>
      <c r="R211">
        <v>0</v>
      </c>
      <c r="S211">
        <v>1118.0540000000001</v>
      </c>
      <c r="T211">
        <v>0.33300000000000002</v>
      </c>
      <c r="U211">
        <v>0.113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1333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t="s">
        <v>1334</v>
      </c>
      <c r="AS211">
        <v>0</v>
      </c>
      <c r="AT211" t="s">
        <v>1335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21</v>
      </c>
      <c r="BR211">
        <v>272</v>
      </c>
    </row>
    <row r="212" spans="2:82" x14ac:dyDescent="0.25">
      <c r="B212" t="s">
        <v>515</v>
      </c>
      <c r="C212">
        <v>30</v>
      </c>
      <c r="D212" t="s">
        <v>398</v>
      </c>
      <c r="E212" t="s">
        <v>323</v>
      </c>
      <c r="F212">
        <v>1</v>
      </c>
      <c r="G212">
        <v>60</v>
      </c>
      <c r="H212">
        <v>60</v>
      </c>
      <c r="I212">
        <v>60</v>
      </c>
      <c r="J212">
        <v>60</v>
      </c>
      <c r="K212">
        <v>30</v>
      </c>
      <c r="L212">
        <v>5.1791260000000001</v>
      </c>
      <c r="M212">
        <v>23.932732999999999</v>
      </c>
      <c r="N212">
        <v>5.1791260000000001</v>
      </c>
      <c r="O212">
        <v>21.881715</v>
      </c>
      <c r="P212">
        <v>5.1791260000000001</v>
      </c>
      <c r="Q212">
        <v>21.609283999999999</v>
      </c>
      <c r="R212">
        <v>5.1791260000000001</v>
      </c>
      <c r="S212">
        <v>20.461185</v>
      </c>
      <c r="T212">
        <v>8519.2000000000007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23.44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18.41</v>
      </c>
      <c r="AW212">
        <v>0</v>
      </c>
      <c r="AX212">
        <v>0</v>
      </c>
      <c r="AY212">
        <v>0</v>
      </c>
      <c r="AZ212">
        <v>0.5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t="s">
        <v>1336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11</v>
      </c>
      <c r="BW212">
        <v>148</v>
      </c>
    </row>
    <row r="213" spans="2:82" x14ac:dyDescent="0.25">
      <c r="B213" t="s">
        <v>516</v>
      </c>
      <c r="C213">
        <v>28</v>
      </c>
      <c r="D213" t="s">
        <v>335</v>
      </c>
      <c r="E213" t="s">
        <v>496</v>
      </c>
      <c r="F213">
        <v>1</v>
      </c>
      <c r="G213">
        <v>60</v>
      </c>
      <c r="H213">
        <v>28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7.0559750000000001</v>
      </c>
      <c r="P213">
        <v>25.381627000000002</v>
      </c>
      <c r="Q213">
        <v>27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1337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4</v>
      </c>
      <c r="BX213">
        <v>60</v>
      </c>
    </row>
    <row r="214" spans="2:82" x14ac:dyDescent="0.25">
      <c r="B214" t="s">
        <v>517</v>
      </c>
      <c r="C214" t="s">
        <v>13</v>
      </c>
      <c r="D214" t="s">
        <v>336</v>
      </c>
      <c r="E214" t="s">
        <v>337</v>
      </c>
      <c r="F214">
        <v>6</v>
      </c>
      <c r="G214">
        <v>80</v>
      </c>
      <c r="H214">
        <v>37</v>
      </c>
      <c r="I214">
        <v>0</v>
      </c>
      <c r="J214">
        <v>0</v>
      </c>
      <c r="K214">
        <v>0</v>
      </c>
      <c r="L214">
        <v>0</v>
      </c>
      <c r="M214">
        <v>19.633527999999998</v>
      </c>
      <c r="N214">
        <v>66.338040000000007</v>
      </c>
      <c r="O214">
        <v>0</v>
      </c>
      <c r="P214">
        <v>0</v>
      </c>
      <c r="Q214">
        <v>104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97.23</v>
      </c>
      <c r="AX214">
        <v>0.75</v>
      </c>
      <c r="AY214">
        <v>0</v>
      </c>
      <c r="AZ214">
        <v>1.1659999999999999</v>
      </c>
      <c r="BA214">
        <v>4.6109999999999998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70</v>
      </c>
      <c r="BW214">
        <v>1260</v>
      </c>
    </row>
    <row r="215" spans="2:82" x14ac:dyDescent="0.25">
      <c r="B215" t="s">
        <v>518</v>
      </c>
      <c r="C215" t="s">
        <v>13</v>
      </c>
      <c r="D215" t="s">
        <v>336</v>
      </c>
      <c r="E215" t="s">
        <v>337</v>
      </c>
      <c r="F215">
        <v>6</v>
      </c>
      <c r="G215">
        <v>60</v>
      </c>
      <c r="H215">
        <v>120</v>
      </c>
      <c r="I215">
        <v>37</v>
      </c>
      <c r="J215">
        <v>20.003520999999999</v>
      </c>
      <c r="K215">
        <v>67.712331000000006</v>
      </c>
      <c r="L215">
        <v>0</v>
      </c>
      <c r="M215">
        <v>0</v>
      </c>
      <c r="N215">
        <v>20.003520999999999</v>
      </c>
      <c r="O215">
        <v>65.459136000000001</v>
      </c>
      <c r="P215">
        <v>0</v>
      </c>
      <c r="Q215">
        <v>0</v>
      </c>
      <c r="R215">
        <v>122</v>
      </c>
      <c r="S215">
        <v>0</v>
      </c>
      <c r="T215">
        <v>0</v>
      </c>
      <c r="U215">
        <v>95</v>
      </c>
      <c r="V215">
        <v>0</v>
      </c>
      <c r="W215">
        <v>0</v>
      </c>
      <c r="X215">
        <v>0</v>
      </c>
      <c r="Y215">
        <v>0</v>
      </c>
      <c r="Z215">
        <v>5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18.5</v>
      </c>
      <c r="AY215">
        <v>0</v>
      </c>
      <c r="AZ215">
        <v>0</v>
      </c>
      <c r="BA215">
        <v>0</v>
      </c>
      <c r="BB215">
        <v>0</v>
      </c>
      <c r="BC215">
        <v>3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79</v>
      </c>
      <c r="CA215">
        <v>1367</v>
      </c>
    </row>
    <row r="216" spans="2:82" x14ac:dyDescent="0.25">
      <c r="B216" t="s">
        <v>519</v>
      </c>
      <c r="C216">
        <v>2</v>
      </c>
      <c r="D216">
        <v>60</v>
      </c>
      <c r="E216">
        <v>60</v>
      </c>
      <c r="F216">
        <v>60</v>
      </c>
      <c r="G216">
        <v>60</v>
      </c>
      <c r="H216">
        <v>12.722401</v>
      </c>
      <c r="I216">
        <v>45.513877000000001</v>
      </c>
      <c r="J216">
        <v>12.722401</v>
      </c>
      <c r="K216">
        <v>44.028097000000002</v>
      </c>
      <c r="L216">
        <v>12.722401</v>
      </c>
      <c r="M216">
        <v>47.205931</v>
      </c>
      <c r="N216">
        <v>12.722401</v>
      </c>
      <c r="O216">
        <v>41.849986000000001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2:82" x14ac:dyDescent="0.25">
      <c r="B217" t="s">
        <v>520</v>
      </c>
      <c r="C217">
        <v>2</v>
      </c>
      <c r="D217">
        <v>60</v>
      </c>
      <c r="E217">
        <v>60</v>
      </c>
      <c r="F217">
        <v>60</v>
      </c>
      <c r="G217">
        <v>60</v>
      </c>
      <c r="H217">
        <v>6.4790830000000001</v>
      </c>
      <c r="I217">
        <v>19.563866000000001</v>
      </c>
      <c r="J217">
        <v>6.4790830000000001</v>
      </c>
      <c r="K217">
        <v>19.459367</v>
      </c>
      <c r="L217">
        <v>6.4790830000000001</v>
      </c>
      <c r="M217">
        <v>19.854956999999999</v>
      </c>
      <c r="N217">
        <v>6.4790830000000001</v>
      </c>
      <c r="O217">
        <v>18.946196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2:82" x14ac:dyDescent="0.25">
      <c r="B218" t="s">
        <v>521</v>
      </c>
      <c r="C218">
        <v>2</v>
      </c>
      <c r="D218">
        <v>60</v>
      </c>
      <c r="E218">
        <v>60</v>
      </c>
      <c r="F218">
        <v>60</v>
      </c>
      <c r="G218">
        <v>60</v>
      </c>
      <c r="H218">
        <v>23.643363999999998</v>
      </c>
      <c r="I218">
        <v>87.524265</v>
      </c>
      <c r="J218">
        <v>23.643363999999998</v>
      </c>
      <c r="K218">
        <v>83.619923999999997</v>
      </c>
      <c r="L218">
        <v>23.643363999999998</v>
      </c>
      <c r="M218">
        <v>88.852261999999996</v>
      </c>
      <c r="N218">
        <v>23.643363999999998</v>
      </c>
      <c r="O218">
        <v>79.288392999999999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2:82" x14ac:dyDescent="0.25">
      <c r="B219" t="s">
        <v>522</v>
      </c>
      <c r="C219">
        <v>2</v>
      </c>
      <c r="D219">
        <v>30</v>
      </c>
      <c r="E219">
        <v>30</v>
      </c>
      <c r="F219">
        <v>30</v>
      </c>
      <c r="G219">
        <v>60</v>
      </c>
      <c r="H219">
        <v>8.1493970000000004</v>
      </c>
      <c r="I219">
        <v>29.575665999999998</v>
      </c>
      <c r="J219">
        <v>8.1493970000000004</v>
      </c>
      <c r="K219">
        <v>29.481323</v>
      </c>
      <c r="L219">
        <v>8.1493970000000004</v>
      </c>
      <c r="M219">
        <v>30.735759999999999</v>
      </c>
      <c r="N219">
        <v>8.1493970000000004</v>
      </c>
      <c r="O219">
        <v>27.660354000000002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2:82" x14ac:dyDescent="0.25">
      <c r="B220" t="s">
        <v>523</v>
      </c>
      <c r="C220">
        <v>2</v>
      </c>
      <c r="D220">
        <v>30</v>
      </c>
      <c r="E220">
        <v>30</v>
      </c>
      <c r="F220">
        <v>30</v>
      </c>
      <c r="G220">
        <v>60</v>
      </c>
      <c r="H220">
        <v>18.762094000000001</v>
      </c>
      <c r="I220">
        <v>80.994370000000004</v>
      </c>
      <c r="J220">
        <v>18.762094000000001</v>
      </c>
      <c r="K220">
        <v>74.799875</v>
      </c>
      <c r="L220">
        <v>18.762094000000001</v>
      </c>
      <c r="M220">
        <v>80.993373000000005</v>
      </c>
      <c r="N220">
        <v>18.762094000000001</v>
      </c>
      <c r="O220">
        <v>67.567400000000006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2:82" x14ac:dyDescent="0.25">
      <c r="B221" t="s">
        <v>524</v>
      </c>
      <c r="C221">
        <v>86</v>
      </c>
      <c r="D221" t="s">
        <v>525</v>
      </c>
      <c r="E221" t="s">
        <v>526</v>
      </c>
      <c r="F221" t="s">
        <v>527</v>
      </c>
      <c r="G221">
        <v>6</v>
      </c>
      <c r="H221">
        <v>90</v>
      </c>
      <c r="I221">
        <v>90</v>
      </c>
      <c r="J221">
        <v>90</v>
      </c>
      <c r="K221">
        <v>90</v>
      </c>
      <c r="L221">
        <v>86</v>
      </c>
      <c r="M221">
        <v>22.233007000000001</v>
      </c>
      <c r="N221">
        <v>72.805784000000003</v>
      </c>
      <c r="O221">
        <v>22.233007000000001</v>
      </c>
      <c r="P221">
        <v>55.097793000000003</v>
      </c>
      <c r="Q221">
        <v>22.233007000000001</v>
      </c>
      <c r="R221">
        <v>80.001052999999999</v>
      </c>
      <c r="S221">
        <v>22.233007000000001</v>
      </c>
      <c r="T221">
        <v>56.184266000000001</v>
      </c>
      <c r="U221">
        <v>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3.5830000000000002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5.2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8</v>
      </c>
      <c r="CC221">
        <v>167</v>
      </c>
    </row>
    <row r="222" spans="2:82" x14ac:dyDescent="0.25">
      <c r="B222" t="s">
        <v>528</v>
      </c>
      <c r="C222">
        <v>77</v>
      </c>
      <c r="D222" t="s">
        <v>529</v>
      </c>
      <c r="E222" t="s">
        <v>530</v>
      </c>
      <c r="F222">
        <v>1</v>
      </c>
      <c r="G222">
        <v>45</v>
      </c>
      <c r="H222">
        <v>45</v>
      </c>
      <c r="I222">
        <v>45</v>
      </c>
      <c r="J222">
        <v>45</v>
      </c>
      <c r="K222">
        <v>77</v>
      </c>
      <c r="L222">
        <v>5.842168</v>
      </c>
      <c r="M222">
        <v>21.605304</v>
      </c>
      <c r="N222">
        <v>5.842168</v>
      </c>
      <c r="O222">
        <v>20.494485999999998</v>
      </c>
      <c r="P222">
        <v>5.842168</v>
      </c>
      <c r="Q222">
        <v>23.343532</v>
      </c>
      <c r="R222">
        <v>5.842168</v>
      </c>
      <c r="S222">
        <v>19.622612</v>
      </c>
      <c r="T222">
        <v>34</v>
      </c>
      <c r="U222">
        <v>4</v>
      </c>
      <c r="V222">
        <v>0</v>
      </c>
      <c r="W222">
        <v>0</v>
      </c>
      <c r="X222">
        <v>0.55000000000000004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5.5810000000000004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11.92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1338</v>
      </c>
      <c r="BK222">
        <v>0</v>
      </c>
      <c r="BL222">
        <v>0</v>
      </c>
      <c r="BM222">
        <v>0.57099999999999995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5</v>
      </c>
      <c r="BX222">
        <v>78</v>
      </c>
    </row>
    <row r="223" spans="2:82" x14ac:dyDescent="0.25">
      <c r="B223" t="s">
        <v>531</v>
      </c>
      <c r="C223">
        <v>77</v>
      </c>
      <c r="D223" t="s">
        <v>529</v>
      </c>
      <c r="E223" t="s">
        <v>530</v>
      </c>
      <c r="F223">
        <v>1</v>
      </c>
      <c r="G223">
        <v>45</v>
      </c>
      <c r="H223">
        <v>45</v>
      </c>
      <c r="I223">
        <v>45</v>
      </c>
      <c r="J223">
        <v>45</v>
      </c>
      <c r="K223">
        <v>77</v>
      </c>
      <c r="L223">
        <v>5.6899800000000003</v>
      </c>
      <c r="M223">
        <v>2.7716759999999998</v>
      </c>
      <c r="N223">
        <v>5.6899800000000003</v>
      </c>
      <c r="O223">
        <v>2.6691530000000001</v>
      </c>
      <c r="P223">
        <v>5.6899800000000003</v>
      </c>
      <c r="Q223">
        <v>2.8278789999999998</v>
      </c>
      <c r="R223">
        <v>5.6899800000000003</v>
      </c>
      <c r="S223">
        <v>2.5172029999999999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</row>
    <row r="224" spans="2:82" x14ac:dyDescent="0.25">
      <c r="B224" t="s">
        <v>532</v>
      </c>
      <c r="C224">
        <v>36</v>
      </c>
      <c r="D224" t="s">
        <v>429</v>
      </c>
      <c r="E224" t="s">
        <v>163</v>
      </c>
      <c r="F224" t="s">
        <v>323</v>
      </c>
      <c r="G224">
        <v>6</v>
      </c>
      <c r="H224">
        <v>90</v>
      </c>
      <c r="I224">
        <v>90</v>
      </c>
      <c r="J224">
        <v>90</v>
      </c>
      <c r="K224">
        <v>90</v>
      </c>
      <c r="L224">
        <v>36</v>
      </c>
      <c r="M224">
        <v>11.175176</v>
      </c>
      <c r="N224">
        <v>35.335039999999999</v>
      </c>
      <c r="O224">
        <v>11.175176</v>
      </c>
      <c r="P224">
        <v>29.602367999999998</v>
      </c>
      <c r="Q224">
        <v>11.175176</v>
      </c>
      <c r="R224">
        <v>30.314881</v>
      </c>
      <c r="S224">
        <v>11.175176</v>
      </c>
      <c r="T224">
        <v>25.48612</v>
      </c>
      <c r="U224">
        <v>103</v>
      </c>
      <c r="V224">
        <v>0</v>
      </c>
      <c r="W224">
        <v>56.5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12.4</v>
      </c>
      <c r="BA224">
        <v>0</v>
      </c>
      <c r="BB224">
        <v>0</v>
      </c>
      <c r="BC224">
        <v>0</v>
      </c>
      <c r="BD224">
        <v>0</v>
      </c>
      <c r="BE224">
        <v>3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41</v>
      </c>
      <c r="CC224">
        <v>842</v>
      </c>
    </row>
    <row r="225" spans="2:82" x14ac:dyDescent="0.25">
      <c r="B225" t="s">
        <v>533</v>
      </c>
      <c r="C225">
        <v>36</v>
      </c>
      <c r="D225" t="s">
        <v>429</v>
      </c>
      <c r="E225" t="s">
        <v>163</v>
      </c>
      <c r="F225" t="s">
        <v>316</v>
      </c>
      <c r="G225">
        <v>6</v>
      </c>
      <c r="H225">
        <v>90</v>
      </c>
      <c r="I225">
        <v>90</v>
      </c>
      <c r="J225">
        <v>90</v>
      </c>
      <c r="K225">
        <v>90</v>
      </c>
      <c r="L225">
        <v>36</v>
      </c>
      <c r="M225">
        <v>11.179099000000001</v>
      </c>
      <c r="N225">
        <v>27.985904000000001</v>
      </c>
      <c r="O225">
        <v>11.179099000000001</v>
      </c>
      <c r="P225">
        <v>28.597166999999999</v>
      </c>
      <c r="Q225">
        <v>11.179099000000001</v>
      </c>
      <c r="R225">
        <v>35.362681000000002</v>
      </c>
      <c r="S225">
        <v>11.179099000000001</v>
      </c>
      <c r="T225">
        <v>26.848001</v>
      </c>
      <c r="U225">
        <v>98</v>
      </c>
      <c r="V225">
        <v>0</v>
      </c>
      <c r="W225">
        <v>0</v>
      </c>
      <c r="X225">
        <v>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25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49</v>
      </c>
      <c r="BA225">
        <v>0</v>
      </c>
      <c r="BB225">
        <v>0</v>
      </c>
      <c r="BC225">
        <v>0</v>
      </c>
      <c r="BD225">
        <v>0.5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16.5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34</v>
      </c>
      <c r="CA225">
        <v>756</v>
      </c>
    </row>
    <row r="226" spans="2:82" x14ac:dyDescent="0.25">
      <c r="B226" t="s">
        <v>534</v>
      </c>
      <c r="C226">
        <v>21</v>
      </c>
      <c r="D226" t="s">
        <v>535</v>
      </c>
      <c r="E226" t="s">
        <v>536</v>
      </c>
      <c r="F226">
        <v>1</v>
      </c>
      <c r="G226">
        <v>60</v>
      </c>
      <c r="H226">
        <v>60</v>
      </c>
      <c r="I226">
        <v>60</v>
      </c>
      <c r="J226">
        <v>60</v>
      </c>
      <c r="K226">
        <v>21</v>
      </c>
      <c r="L226">
        <v>10.772651</v>
      </c>
      <c r="M226">
        <v>46.533206999999997</v>
      </c>
      <c r="N226">
        <v>10.772651</v>
      </c>
      <c r="O226">
        <v>44.211401000000002</v>
      </c>
      <c r="P226">
        <v>10.772651</v>
      </c>
      <c r="Q226">
        <v>47.185595999999997</v>
      </c>
      <c r="R226">
        <v>10.772651</v>
      </c>
      <c r="S226">
        <v>40.808005000000001</v>
      </c>
      <c r="T226">
        <v>528.06399999999996</v>
      </c>
      <c r="U226">
        <v>0</v>
      </c>
      <c r="V226">
        <v>0</v>
      </c>
      <c r="W226" t="s">
        <v>1339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13.53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5.1459999999999999</v>
      </c>
      <c r="AT226">
        <v>0</v>
      </c>
      <c r="AU226">
        <v>0</v>
      </c>
      <c r="AV226">
        <v>10.79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9.15</v>
      </c>
      <c r="BG226">
        <v>0</v>
      </c>
      <c r="BH226">
        <v>0</v>
      </c>
      <c r="BI226">
        <v>0</v>
      </c>
      <c r="BJ226">
        <v>2.25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11</v>
      </c>
      <c r="BU226">
        <v>154</v>
      </c>
    </row>
    <row r="227" spans="2:82" x14ac:dyDescent="0.25">
      <c r="B227" t="s">
        <v>537</v>
      </c>
      <c r="C227">
        <v>21</v>
      </c>
      <c r="D227" t="s">
        <v>535</v>
      </c>
      <c r="E227" t="s">
        <v>536</v>
      </c>
      <c r="F227">
        <v>1</v>
      </c>
      <c r="G227">
        <v>60</v>
      </c>
      <c r="H227">
        <v>60</v>
      </c>
      <c r="I227">
        <v>60</v>
      </c>
      <c r="J227">
        <v>60</v>
      </c>
      <c r="K227">
        <v>21</v>
      </c>
      <c r="L227">
        <v>10.660522</v>
      </c>
      <c r="M227">
        <v>41.565308999999999</v>
      </c>
      <c r="N227">
        <v>10.660522</v>
      </c>
      <c r="O227">
        <v>39.658884</v>
      </c>
      <c r="P227">
        <v>10.660522</v>
      </c>
      <c r="Q227">
        <v>42.842069000000002</v>
      </c>
      <c r="R227">
        <v>10.660522</v>
      </c>
      <c r="S227">
        <v>36.325639000000002</v>
      </c>
      <c r="T227">
        <v>6513.6</v>
      </c>
      <c r="U227">
        <v>0</v>
      </c>
      <c r="V227">
        <v>0</v>
      </c>
      <c r="W227" t="s">
        <v>1340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17.829999999999998</v>
      </c>
      <c r="AG227">
        <v>0</v>
      </c>
      <c r="AH227">
        <v>0</v>
      </c>
      <c r="AI227">
        <v>0</v>
      </c>
      <c r="AJ227">
        <v>0.66600000000000004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15.09</v>
      </c>
      <c r="AT227">
        <v>0.44400000000000001</v>
      </c>
      <c r="AU227" t="s">
        <v>1341</v>
      </c>
      <c r="AV227">
        <v>0</v>
      </c>
      <c r="AW227">
        <v>0</v>
      </c>
      <c r="AX227">
        <v>1.333</v>
      </c>
      <c r="AY227">
        <v>0</v>
      </c>
      <c r="AZ227">
        <v>0</v>
      </c>
      <c r="BA227">
        <v>0</v>
      </c>
      <c r="BB227">
        <v>0</v>
      </c>
      <c r="BC227">
        <v>5.5</v>
      </c>
      <c r="BD227">
        <v>0</v>
      </c>
      <c r="BE227">
        <v>0</v>
      </c>
      <c r="BF227">
        <v>0</v>
      </c>
      <c r="BG227">
        <v>5.2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15</v>
      </c>
      <c r="BR227">
        <v>231</v>
      </c>
    </row>
    <row r="228" spans="2:82" x14ac:dyDescent="0.25">
      <c r="B228" t="s">
        <v>538</v>
      </c>
      <c r="C228">
        <v>43</v>
      </c>
      <c r="D228" t="s">
        <v>404</v>
      </c>
      <c r="E228" t="s">
        <v>539</v>
      </c>
      <c r="F228" t="s">
        <v>323</v>
      </c>
      <c r="G228">
        <v>1</v>
      </c>
      <c r="H228">
        <v>60</v>
      </c>
      <c r="I228">
        <v>60</v>
      </c>
      <c r="J228">
        <v>60</v>
      </c>
      <c r="K228">
        <v>60</v>
      </c>
      <c r="L228">
        <v>43</v>
      </c>
      <c r="M228">
        <v>12.500419000000001</v>
      </c>
      <c r="N228">
        <v>49.149765000000002</v>
      </c>
      <c r="O228">
        <v>12.500419000000001</v>
      </c>
      <c r="P228">
        <v>44.016770999999999</v>
      </c>
      <c r="Q228">
        <v>12.500419000000001</v>
      </c>
      <c r="R228">
        <v>45.258710999999998</v>
      </c>
      <c r="S228">
        <v>12.500419000000001</v>
      </c>
      <c r="T228">
        <v>40.551558999999997</v>
      </c>
      <c r="U228">
        <v>2710.5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2.25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11</v>
      </c>
      <c r="CC228">
        <v>174</v>
      </c>
    </row>
    <row r="229" spans="2:82" x14ac:dyDescent="0.25">
      <c r="B229" t="s">
        <v>540</v>
      </c>
      <c r="C229">
        <v>43</v>
      </c>
      <c r="D229" t="s">
        <v>404</v>
      </c>
      <c r="E229" t="s">
        <v>539</v>
      </c>
      <c r="F229" t="s">
        <v>316</v>
      </c>
      <c r="G229">
        <v>1</v>
      </c>
      <c r="H229">
        <v>60</v>
      </c>
      <c r="I229">
        <v>60</v>
      </c>
      <c r="J229">
        <v>60</v>
      </c>
      <c r="K229">
        <v>60</v>
      </c>
      <c r="L229">
        <v>43</v>
      </c>
      <c r="M229">
        <v>12.665187</v>
      </c>
      <c r="N229">
        <v>41.072622000000003</v>
      </c>
      <c r="O229">
        <v>12.665187</v>
      </c>
      <c r="P229">
        <v>41.323712999999998</v>
      </c>
      <c r="Q229">
        <v>12.665187</v>
      </c>
      <c r="R229">
        <v>47.564267999999998</v>
      </c>
      <c r="S229">
        <v>12.665187</v>
      </c>
      <c r="T229">
        <v>39.801727999999997</v>
      </c>
      <c r="U229" t="s">
        <v>1342</v>
      </c>
      <c r="V229">
        <v>0</v>
      </c>
      <c r="W229" t="s">
        <v>1343</v>
      </c>
      <c r="X229">
        <v>0.5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7.3719999999999999</v>
      </c>
      <c r="AF229">
        <v>1</v>
      </c>
      <c r="AG229">
        <v>0</v>
      </c>
      <c r="AH229">
        <v>0</v>
      </c>
      <c r="AI229">
        <v>1.5</v>
      </c>
      <c r="AJ229">
        <v>0.77200000000000002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t="s">
        <v>1344</v>
      </c>
      <c r="AR229">
        <v>0</v>
      </c>
      <c r="AS229" t="s">
        <v>1345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6.3330000000000002</v>
      </c>
      <c r="BA229">
        <v>0</v>
      </c>
      <c r="BB229">
        <v>0</v>
      </c>
      <c r="BC229">
        <v>0</v>
      </c>
      <c r="BD229" t="s">
        <v>1346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16</v>
      </c>
      <c r="BN229">
        <v>289</v>
      </c>
    </row>
    <row r="230" spans="2:82" x14ac:dyDescent="0.25">
      <c r="B230" t="s">
        <v>541</v>
      </c>
      <c r="C230">
        <v>2</v>
      </c>
      <c r="D230">
        <v>60</v>
      </c>
      <c r="E230">
        <v>60</v>
      </c>
      <c r="F230">
        <v>60</v>
      </c>
      <c r="G230">
        <v>60</v>
      </c>
      <c r="H230">
        <v>29.200665000000001</v>
      </c>
      <c r="I230">
        <v>77.961382</v>
      </c>
      <c r="J230">
        <v>29.200665000000001</v>
      </c>
      <c r="K230">
        <v>72.921091000000004</v>
      </c>
      <c r="L230">
        <v>29.200665000000001</v>
      </c>
      <c r="M230">
        <v>78.498541000000003</v>
      </c>
      <c r="N230">
        <v>29.200665000000001</v>
      </c>
      <c r="O230">
        <v>68.517937000000003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2:82" x14ac:dyDescent="0.25">
      <c r="B231" t="s">
        <v>542</v>
      </c>
      <c r="C231">
        <v>84</v>
      </c>
      <c r="D231" t="s">
        <v>316</v>
      </c>
      <c r="E231">
        <v>6</v>
      </c>
      <c r="F231">
        <v>90</v>
      </c>
      <c r="G231">
        <v>90</v>
      </c>
      <c r="H231">
        <v>90</v>
      </c>
      <c r="I231">
        <v>90</v>
      </c>
      <c r="J231">
        <v>84</v>
      </c>
      <c r="K231" t="s">
        <v>1347</v>
      </c>
      <c r="L231">
        <v>39.791592000000001</v>
      </c>
      <c r="M231">
        <v>93.914733999999996</v>
      </c>
      <c r="N231" t="s">
        <v>1348</v>
      </c>
      <c r="O231">
        <v>39.791592000000001</v>
      </c>
      <c r="P231">
        <v>92.248572999999993</v>
      </c>
      <c r="Q231">
        <v>104</v>
      </c>
      <c r="R231">
        <v>0</v>
      </c>
      <c r="S231">
        <v>0</v>
      </c>
      <c r="T231">
        <v>7</v>
      </c>
      <c r="U231">
        <v>0</v>
      </c>
      <c r="V231">
        <v>0</v>
      </c>
      <c r="W231">
        <v>0</v>
      </c>
      <c r="X231">
        <v>0</v>
      </c>
      <c r="Y231">
        <v>13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16.5</v>
      </c>
      <c r="AI231">
        <v>0</v>
      </c>
      <c r="AJ231">
        <v>0</v>
      </c>
      <c r="AK231">
        <v>0</v>
      </c>
      <c r="AL231">
        <v>0</v>
      </c>
      <c r="AM231">
        <v>10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19</v>
      </c>
      <c r="AX231">
        <v>0</v>
      </c>
      <c r="AY231">
        <v>0</v>
      </c>
      <c r="AZ231">
        <v>0</v>
      </c>
      <c r="BA231">
        <v>30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6.5</v>
      </c>
      <c r="BK231">
        <v>0</v>
      </c>
      <c r="BL231">
        <v>0</v>
      </c>
      <c r="BM231">
        <v>0</v>
      </c>
      <c r="BN231">
        <v>0</v>
      </c>
      <c r="BO231">
        <v>2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81</v>
      </c>
      <c r="BX231">
        <v>1310</v>
      </c>
    </row>
    <row r="232" spans="2:82" x14ac:dyDescent="0.25">
      <c r="B232" t="s">
        <v>543</v>
      </c>
      <c r="C232">
        <v>84</v>
      </c>
      <c r="D232" t="s">
        <v>323</v>
      </c>
      <c r="E232">
        <v>6</v>
      </c>
      <c r="F232">
        <v>90</v>
      </c>
      <c r="G232">
        <v>90</v>
      </c>
      <c r="H232">
        <v>90</v>
      </c>
      <c r="I232">
        <v>90</v>
      </c>
      <c r="J232">
        <v>84</v>
      </c>
      <c r="K232" t="s">
        <v>1349</v>
      </c>
      <c r="L232">
        <v>38.812660000000001</v>
      </c>
      <c r="M232">
        <v>94.774814000000006</v>
      </c>
      <c r="N232" t="s">
        <v>1350</v>
      </c>
      <c r="O232">
        <v>38.812660000000001</v>
      </c>
      <c r="P232">
        <v>89.639163999999994</v>
      </c>
      <c r="Q232">
        <v>145</v>
      </c>
      <c r="R232">
        <v>0</v>
      </c>
      <c r="S232">
        <v>0</v>
      </c>
      <c r="T232">
        <v>13</v>
      </c>
      <c r="U232">
        <v>0</v>
      </c>
      <c r="V232">
        <v>0</v>
      </c>
      <c r="W232">
        <v>0</v>
      </c>
      <c r="X232">
        <v>0</v>
      </c>
      <c r="Y232">
        <v>28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24.5</v>
      </c>
      <c r="AI232">
        <v>0</v>
      </c>
      <c r="AJ232">
        <v>0</v>
      </c>
      <c r="AK232">
        <v>0</v>
      </c>
      <c r="AL232">
        <v>0</v>
      </c>
      <c r="AM232">
        <v>11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12</v>
      </c>
      <c r="AX232">
        <v>0</v>
      </c>
      <c r="AY232">
        <v>0</v>
      </c>
      <c r="AZ232">
        <v>0</v>
      </c>
      <c r="BA232">
        <v>47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3.5</v>
      </c>
      <c r="BK232">
        <v>0</v>
      </c>
      <c r="BL232">
        <v>0</v>
      </c>
      <c r="BM232">
        <v>0</v>
      </c>
      <c r="BN232">
        <v>0</v>
      </c>
      <c r="BO232">
        <v>6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56</v>
      </c>
      <c r="BX232">
        <v>1479</v>
      </c>
    </row>
    <row r="233" spans="2:82" x14ac:dyDescent="0.25">
      <c r="B233" t="s">
        <v>544</v>
      </c>
      <c r="C233">
        <v>86</v>
      </c>
      <c r="D233" t="s">
        <v>525</v>
      </c>
      <c r="E233" t="s">
        <v>526</v>
      </c>
      <c r="F233" t="s">
        <v>527</v>
      </c>
      <c r="G233">
        <v>6</v>
      </c>
      <c r="H233">
        <v>90</v>
      </c>
      <c r="I233">
        <v>90</v>
      </c>
      <c r="J233">
        <v>90</v>
      </c>
      <c r="K233">
        <v>90</v>
      </c>
      <c r="L233">
        <v>86</v>
      </c>
      <c r="M233">
        <v>22.794003</v>
      </c>
      <c r="N233">
        <v>58.659891999999999</v>
      </c>
      <c r="O233">
        <v>22.794003</v>
      </c>
      <c r="P233">
        <v>36.828614000000002</v>
      </c>
      <c r="Q233">
        <v>22.794003</v>
      </c>
      <c r="R233">
        <v>54.129091000000003</v>
      </c>
      <c r="S233">
        <v>22.794003</v>
      </c>
      <c r="T233">
        <v>34.017477</v>
      </c>
      <c r="U233">
        <v>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2.5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3</v>
      </c>
      <c r="CD233">
        <v>88</v>
      </c>
    </row>
    <row r="234" spans="2:82" x14ac:dyDescent="0.25">
      <c r="B234" t="s">
        <v>545</v>
      </c>
      <c r="C234">
        <v>92</v>
      </c>
      <c r="D234" t="s">
        <v>164</v>
      </c>
      <c r="E234" t="s">
        <v>316</v>
      </c>
      <c r="F234">
        <v>7</v>
      </c>
      <c r="G234">
        <v>80</v>
      </c>
      <c r="H234">
        <v>92</v>
      </c>
      <c r="I234">
        <v>0</v>
      </c>
      <c r="J234">
        <v>0</v>
      </c>
      <c r="K234">
        <v>0</v>
      </c>
      <c r="L234">
        <v>0</v>
      </c>
      <c r="M234">
        <v>26.056865999999999</v>
      </c>
      <c r="N234">
        <v>82.879469999999998</v>
      </c>
      <c r="O234">
        <v>0</v>
      </c>
      <c r="P234">
        <v>0</v>
      </c>
      <c r="Q234">
        <v>25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20.47</v>
      </c>
      <c r="AX234">
        <v>0</v>
      </c>
      <c r="AY234">
        <v>0</v>
      </c>
      <c r="AZ234">
        <v>0</v>
      </c>
      <c r="BA234">
        <v>0</v>
      </c>
      <c r="BB234">
        <v>3</v>
      </c>
      <c r="BC234">
        <v>1.722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5</v>
      </c>
      <c r="BY234">
        <v>88</v>
      </c>
    </row>
    <row r="235" spans="2:82" x14ac:dyDescent="0.25">
      <c r="B235" t="s">
        <v>546</v>
      </c>
      <c r="C235">
        <v>96</v>
      </c>
      <c r="D235" t="s">
        <v>325</v>
      </c>
      <c r="E235" t="s">
        <v>464</v>
      </c>
      <c r="F235">
        <v>7</v>
      </c>
      <c r="G235">
        <v>180</v>
      </c>
      <c r="H235">
        <v>360</v>
      </c>
      <c r="I235">
        <v>60</v>
      </c>
      <c r="J235">
        <v>96</v>
      </c>
      <c r="K235" t="s">
        <v>1351</v>
      </c>
      <c r="L235" t="s">
        <v>1352</v>
      </c>
      <c r="M235" t="s">
        <v>1353</v>
      </c>
      <c r="N235">
        <v>0</v>
      </c>
      <c r="O235">
        <v>0</v>
      </c>
      <c r="P235">
        <v>69</v>
      </c>
      <c r="Q235">
        <v>0</v>
      </c>
      <c r="R235">
        <v>0</v>
      </c>
      <c r="S235">
        <v>7</v>
      </c>
      <c r="T235">
        <v>0</v>
      </c>
      <c r="U235">
        <v>0</v>
      </c>
      <c r="V235">
        <v>0</v>
      </c>
      <c r="W235">
        <v>0</v>
      </c>
      <c r="X235">
        <v>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12</v>
      </c>
      <c r="AH235">
        <v>0</v>
      </c>
      <c r="AI235">
        <v>0</v>
      </c>
      <c r="AJ235">
        <v>0</v>
      </c>
      <c r="AK235">
        <v>0</v>
      </c>
      <c r="AL235">
        <v>16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23.66</v>
      </c>
      <c r="AV235">
        <v>0</v>
      </c>
      <c r="AW235">
        <v>0</v>
      </c>
      <c r="AX235">
        <v>0</v>
      </c>
      <c r="AY235">
        <v>0</v>
      </c>
      <c r="AZ235">
        <v>2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41</v>
      </c>
      <c r="BX235">
        <v>796</v>
      </c>
    </row>
    <row r="236" spans="2:82" x14ac:dyDescent="0.25">
      <c r="B236" t="s">
        <v>547</v>
      </c>
      <c r="C236">
        <v>96</v>
      </c>
      <c r="D236" t="s">
        <v>325</v>
      </c>
      <c r="E236" t="s">
        <v>464</v>
      </c>
      <c r="F236">
        <v>7</v>
      </c>
      <c r="G236">
        <v>60</v>
      </c>
      <c r="H236">
        <v>120</v>
      </c>
      <c r="I236">
        <v>96</v>
      </c>
      <c r="J236" t="s">
        <v>1354</v>
      </c>
      <c r="K236">
        <v>0</v>
      </c>
      <c r="L236">
        <v>0</v>
      </c>
      <c r="M236" t="s">
        <v>1355</v>
      </c>
      <c r="N236">
        <v>0</v>
      </c>
      <c r="O236">
        <v>0</v>
      </c>
      <c r="P236">
        <v>41</v>
      </c>
      <c r="Q236">
        <v>0</v>
      </c>
      <c r="R236">
        <v>0</v>
      </c>
      <c r="S236">
        <v>22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11</v>
      </c>
      <c r="AX236">
        <v>0</v>
      </c>
      <c r="AY236">
        <v>0</v>
      </c>
      <c r="AZ236">
        <v>0</v>
      </c>
      <c r="BA236">
        <v>0</v>
      </c>
      <c r="BB236">
        <v>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22</v>
      </c>
      <c r="BZ236">
        <v>359</v>
      </c>
    </row>
    <row r="237" spans="2:82" x14ac:dyDescent="0.25">
      <c r="B237" t="s">
        <v>548</v>
      </c>
      <c r="C237">
        <v>96</v>
      </c>
      <c r="D237" t="s">
        <v>325</v>
      </c>
      <c r="E237" t="s">
        <v>465</v>
      </c>
      <c r="F237" t="s">
        <v>432</v>
      </c>
      <c r="G237">
        <v>6</v>
      </c>
      <c r="H237">
        <v>80</v>
      </c>
      <c r="I237">
        <v>96</v>
      </c>
      <c r="J237">
        <v>0</v>
      </c>
      <c r="K237">
        <v>0</v>
      </c>
      <c r="L237">
        <v>0</v>
      </c>
      <c r="M237">
        <v>0</v>
      </c>
      <c r="N237" t="s">
        <v>1356</v>
      </c>
      <c r="O237">
        <v>0</v>
      </c>
      <c r="P237">
        <v>0</v>
      </c>
      <c r="Q237">
        <v>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19.5</v>
      </c>
      <c r="AX237">
        <v>0</v>
      </c>
      <c r="AY237">
        <v>0</v>
      </c>
      <c r="AZ237">
        <v>0</v>
      </c>
      <c r="BA237">
        <v>16.579999999999998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28</v>
      </c>
      <c r="BY237">
        <v>467</v>
      </c>
    </row>
    <row r="238" spans="2:82" x14ac:dyDescent="0.25">
      <c r="B238" t="s">
        <v>549</v>
      </c>
      <c r="C238">
        <v>96</v>
      </c>
      <c r="D238" t="s">
        <v>325</v>
      </c>
      <c r="E238" t="s">
        <v>465</v>
      </c>
      <c r="F238" t="s">
        <v>432</v>
      </c>
      <c r="G238">
        <v>6</v>
      </c>
      <c r="H238">
        <v>90</v>
      </c>
      <c r="I238">
        <v>96</v>
      </c>
      <c r="J238" t="s">
        <v>1357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13</v>
      </c>
      <c r="R238">
        <v>0</v>
      </c>
      <c r="S238">
        <v>0</v>
      </c>
      <c r="T238">
        <v>5</v>
      </c>
      <c r="U238">
        <v>0</v>
      </c>
      <c r="V238">
        <v>0</v>
      </c>
      <c r="W238">
        <v>0</v>
      </c>
      <c r="X238">
        <v>6.5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8</v>
      </c>
      <c r="BZ238">
        <v>128</v>
      </c>
    </row>
    <row r="239" spans="2:82" x14ac:dyDescent="0.25">
      <c r="B239" t="s">
        <v>550</v>
      </c>
      <c r="C239">
        <v>91</v>
      </c>
      <c r="D239" t="s">
        <v>449</v>
      </c>
      <c r="E239">
        <v>6</v>
      </c>
      <c r="F239">
        <v>80</v>
      </c>
      <c r="G239">
        <v>91</v>
      </c>
      <c r="H239">
        <v>0</v>
      </c>
      <c r="I239">
        <v>0</v>
      </c>
      <c r="J239">
        <v>0</v>
      </c>
      <c r="K239">
        <v>0</v>
      </c>
      <c r="L239">
        <v>28.722698000000001</v>
      </c>
      <c r="M239">
        <v>75.875659999999996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2:82" x14ac:dyDescent="0.25">
      <c r="B240" t="s">
        <v>551</v>
      </c>
      <c r="C240">
        <v>18</v>
      </c>
      <c r="D240" t="s">
        <v>314</v>
      </c>
      <c r="E240" t="s">
        <v>162</v>
      </c>
      <c r="F240" t="s">
        <v>316</v>
      </c>
      <c r="G240">
        <v>1</v>
      </c>
      <c r="H240">
        <v>60</v>
      </c>
      <c r="I240">
        <v>120</v>
      </c>
      <c r="J240">
        <v>18</v>
      </c>
      <c r="K240">
        <v>8.1040229999999998</v>
      </c>
      <c r="L240">
        <v>31.974239000000001</v>
      </c>
      <c r="M240">
        <v>8.1040229999999998</v>
      </c>
      <c r="N240">
        <v>31.426601999999999</v>
      </c>
      <c r="O240">
        <v>0</v>
      </c>
      <c r="P240">
        <v>0</v>
      </c>
      <c r="Q240">
        <v>0</v>
      </c>
      <c r="R240">
        <v>0</v>
      </c>
      <c r="S240" t="s">
        <v>1358</v>
      </c>
      <c r="T240" t="s">
        <v>1359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1360</v>
      </c>
      <c r="AB240">
        <v>0</v>
      </c>
      <c r="AC240" t="s">
        <v>1361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16</v>
      </c>
      <c r="BP240">
        <v>229</v>
      </c>
    </row>
    <row r="241" spans="2:80" x14ac:dyDescent="0.25">
      <c r="B241" t="s">
        <v>552</v>
      </c>
      <c r="C241">
        <v>18</v>
      </c>
      <c r="D241" t="s">
        <v>314</v>
      </c>
      <c r="E241" t="s">
        <v>162</v>
      </c>
      <c r="F241" t="s">
        <v>323</v>
      </c>
      <c r="G241">
        <v>1</v>
      </c>
      <c r="H241">
        <v>120</v>
      </c>
      <c r="I241">
        <v>80</v>
      </c>
      <c r="J241">
        <v>18</v>
      </c>
      <c r="K241">
        <v>0</v>
      </c>
      <c r="L241">
        <v>0</v>
      </c>
      <c r="M241">
        <v>8.1787159999999997</v>
      </c>
      <c r="N241">
        <v>32.522207000000002</v>
      </c>
      <c r="O241">
        <v>8.1787159999999997</v>
      </c>
      <c r="P241">
        <v>34.117738000000003</v>
      </c>
      <c r="Q241">
        <v>0</v>
      </c>
      <c r="R241">
        <v>0</v>
      </c>
      <c r="S241">
        <v>256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1362</v>
      </c>
      <c r="AI241">
        <v>1</v>
      </c>
      <c r="AJ241">
        <v>0</v>
      </c>
      <c r="AK241">
        <v>0</v>
      </c>
      <c r="AL241" t="s">
        <v>1363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1364</v>
      </c>
      <c r="AT241" t="s">
        <v>1365</v>
      </c>
      <c r="AU241">
        <v>4.2000000000000003E-2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33</v>
      </c>
      <c r="BQ241">
        <v>433</v>
      </c>
    </row>
    <row r="242" spans="2:80" x14ac:dyDescent="0.25">
      <c r="B242" t="s">
        <v>553</v>
      </c>
      <c r="C242">
        <v>95</v>
      </c>
      <c r="D242" t="s">
        <v>460</v>
      </c>
      <c r="E242" t="s">
        <v>461</v>
      </c>
      <c r="F242" t="s">
        <v>315</v>
      </c>
      <c r="G242" t="s">
        <v>316</v>
      </c>
      <c r="H242">
        <v>6</v>
      </c>
      <c r="I242">
        <v>120</v>
      </c>
      <c r="J242">
        <v>95</v>
      </c>
      <c r="K242">
        <v>0</v>
      </c>
      <c r="L242">
        <v>0</v>
      </c>
      <c r="M242">
        <v>0</v>
      </c>
      <c r="N242">
        <v>0</v>
      </c>
      <c r="O242" t="s">
        <v>1366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2:80" x14ac:dyDescent="0.25">
      <c r="B243" t="s">
        <v>554</v>
      </c>
      <c r="C243">
        <v>35</v>
      </c>
      <c r="D243" t="s">
        <v>455</v>
      </c>
      <c r="E243" t="s">
        <v>315</v>
      </c>
      <c r="F243" t="s">
        <v>323</v>
      </c>
      <c r="G243">
        <v>6</v>
      </c>
      <c r="H243">
        <v>60</v>
      </c>
      <c r="I243">
        <v>240</v>
      </c>
      <c r="J243">
        <v>35</v>
      </c>
      <c r="K243">
        <v>16.726143</v>
      </c>
      <c r="L243">
        <v>54.831983000000001</v>
      </c>
      <c r="M243">
        <v>0</v>
      </c>
      <c r="N243">
        <v>0</v>
      </c>
      <c r="O243">
        <v>16.726143</v>
      </c>
      <c r="P243">
        <v>50.130595999999997</v>
      </c>
      <c r="Q243">
        <v>0</v>
      </c>
      <c r="R243">
        <v>0</v>
      </c>
      <c r="S243">
        <v>29</v>
      </c>
      <c r="T243">
        <v>0</v>
      </c>
      <c r="U243">
        <v>18.5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4</v>
      </c>
      <c r="AZ243">
        <v>0</v>
      </c>
      <c r="BA243">
        <v>0</v>
      </c>
      <c r="BB243">
        <v>0</v>
      </c>
      <c r="BC243">
        <v>0</v>
      </c>
      <c r="BD243">
        <v>5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16</v>
      </c>
      <c r="CB243">
        <v>314</v>
      </c>
    </row>
    <row r="244" spans="2:80" x14ac:dyDescent="0.25">
      <c r="B244" t="s">
        <v>762</v>
      </c>
      <c r="C244">
        <v>87</v>
      </c>
      <c r="D244" t="s">
        <v>333</v>
      </c>
      <c r="E244" t="s">
        <v>464</v>
      </c>
      <c r="F244" t="s">
        <v>164</v>
      </c>
      <c r="G244">
        <v>7</v>
      </c>
      <c r="H244">
        <v>90</v>
      </c>
      <c r="I244">
        <v>87</v>
      </c>
      <c r="J244">
        <v>30.292349000000002</v>
      </c>
      <c r="K244">
        <v>87.402377000000001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2:80" x14ac:dyDescent="0.25">
      <c r="B245" t="s">
        <v>763</v>
      </c>
      <c r="C245">
        <v>92</v>
      </c>
      <c r="D245" t="s">
        <v>164</v>
      </c>
      <c r="E245" t="s">
        <v>323</v>
      </c>
      <c r="F245">
        <v>7</v>
      </c>
      <c r="G245">
        <v>90</v>
      </c>
      <c r="H245">
        <v>92</v>
      </c>
      <c r="I245">
        <v>25.562177999999999</v>
      </c>
      <c r="J245">
        <v>80.915448999999995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3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2</v>
      </c>
      <c r="CA245">
        <v>49</v>
      </c>
    </row>
    <row r="246" spans="2:80" x14ac:dyDescent="0.25">
      <c r="B246" t="s">
        <v>764</v>
      </c>
      <c r="C246">
        <v>91</v>
      </c>
      <c r="D246" t="s">
        <v>449</v>
      </c>
      <c r="E246">
        <v>6</v>
      </c>
      <c r="F246">
        <v>60</v>
      </c>
      <c r="G246">
        <v>91</v>
      </c>
      <c r="H246">
        <v>25.172152000000001</v>
      </c>
      <c r="I246">
        <v>88.097015999999996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2:80" x14ac:dyDescent="0.25">
      <c r="B247" t="s">
        <v>765</v>
      </c>
      <c r="C247">
        <v>95</v>
      </c>
      <c r="D247" t="s">
        <v>460</v>
      </c>
      <c r="E247" t="s">
        <v>461</v>
      </c>
      <c r="F247" t="s">
        <v>315</v>
      </c>
      <c r="G247" t="s">
        <v>323</v>
      </c>
      <c r="H247">
        <v>6</v>
      </c>
      <c r="I247">
        <v>90</v>
      </c>
      <c r="J247">
        <v>95</v>
      </c>
      <c r="K247" t="s">
        <v>1367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2:80" x14ac:dyDescent="0.25">
      <c r="B248" t="s">
        <v>795</v>
      </c>
      <c r="C248">
        <v>6</v>
      </c>
      <c r="D248" t="s">
        <v>399</v>
      </c>
      <c r="E248" t="s">
        <v>304</v>
      </c>
      <c r="F248" t="s">
        <v>316</v>
      </c>
      <c r="G248">
        <v>1</v>
      </c>
      <c r="H248">
        <v>25</v>
      </c>
      <c r="I248">
        <v>60</v>
      </c>
      <c r="J248">
        <v>25</v>
      </c>
      <c r="K248">
        <v>6</v>
      </c>
      <c r="L248">
        <v>14.764640999999999</v>
      </c>
      <c r="M248">
        <v>55.426699999999997</v>
      </c>
      <c r="N248">
        <v>14.764640999999999</v>
      </c>
      <c r="O248">
        <v>55.549059</v>
      </c>
      <c r="P248">
        <v>14.764640999999999</v>
      </c>
      <c r="Q248">
        <v>65.370379999999997</v>
      </c>
      <c r="R248">
        <v>0</v>
      </c>
      <c r="S248">
        <v>0</v>
      </c>
      <c r="T248" t="s">
        <v>1368</v>
      </c>
      <c r="U248" t="s">
        <v>1369</v>
      </c>
      <c r="V248">
        <v>1.2050000000000001</v>
      </c>
      <c r="W248">
        <v>0</v>
      </c>
      <c r="X248">
        <v>0</v>
      </c>
      <c r="Y248">
        <v>0</v>
      </c>
      <c r="Z248">
        <v>0</v>
      </c>
      <c r="AA248" t="s">
        <v>1370</v>
      </c>
      <c r="AB248">
        <v>0</v>
      </c>
      <c r="AC248" t="s">
        <v>1371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1372</v>
      </c>
      <c r="AK248" t="s">
        <v>1373</v>
      </c>
      <c r="AL248">
        <v>0</v>
      </c>
      <c r="AM248">
        <v>0</v>
      </c>
      <c r="AN248">
        <v>65.33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154</v>
      </c>
      <c r="BJ248">
        <v>2079</v>
      </c>
    </row>
    <row r="249" spans="2:80" x14ac:dyDescent="0.25">
      <c r="B249" t="s">
        <v>796</v>
      </c>
      <c r="C249">
        <v>6</v>
      </c>
      <c r="D249" t="s">
        <v>399</v>
      </c>
      <c r="E249" t="s">
        <v>304</v>
      </c>
      <c r="F249" t="s">
        <v>323</v>
      </c>
      <c r="G249">
        <v>1</v>
      </c>
      <c r="H249">
        <v>25</v>
      </c>
      <c r="I249">
        <v>90</v>
      </c>
      <c r="J249">
        <v>25</v>
      </c>
      <c r="K249">
        <v>6</v>
      </c>
      <c r="L249">
        <v>14.944394000000001</v>
      </c>
      <c r="M249">
        <v>68.123423000000003</v>
      </c>
      <c r="N249">
        <v>14.944394000000001</v>
      </c>
      <c r="O249">
        <v>59.129013999999998</v>
      </c>
      <c r="P249">
        <v>14.944394000000001</v>
      </c>
      <c r="Q249">
        <v>61.212229000000001</v>
      </c>
      <c r="R249">
        <v>0</v>
      </c>
      <c r="S249">
        <v>0</v>
      </c>
      <c r="T249" t="s">
        <v>1374</v>
      </c>
      <c r="U249">
        <v>0</v>
      </c>
      <c r="V249" t="s">
        <v>1375</v>
      </c>
      <c r="W249">
        <v>3.044</v>
      </c>
      <c r="X249">
        <v>27.45</v>
      </c>
      <c r="Y249">
        <v>0</v>
      </c>
      <c r="Z249">
        <v>0</v>
      </c>
      <c r="AA249">
        <v>0</v>
      </c>
      <c r="AB249">
        <v>0</v>
      </c>
      <c r="AC249" t="s">
        <v>1376</v>
      </c>
      <c r="AD249">
        <v>0</v>
      </c>
      <c r="AE249">
        <v>0</v>
      </c>
      <c r="AF249">
        <v>0</v>
      </c>
      <c r="AG249">
        <v>1</v>
      </c>
      <c r="AH249">
        <v>0.58799999999999997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">
        <v>1377</v>
      </c>
      <c r="AP249" t="s">
        <v>1378</v>
      </c>
      <c r="AQ249">
        <v>3.226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100</v>
      </c>
      <c r="BM249">
        <v>1300</v>
      </c>
    </row>
    <row r="250" spans="2:80" x14ac:dyDescent="0.25">
      <c r="B250" t="s">
        <v>797</v>
      </c>
      <c r="C250">
        <v>27</v>
      </c>
      <c r="D250" t="s">
        <v>358</v>
      </c>
      <c r="E250" t="s">
        <v>404</v>
      </c>
      <c r="F250" t="s">
        <v>316</v>
      </c>
      <c r="G250">
        <v>1</v>
      </c>
      <c r="H250">
        <v>90</v>
      </c>
      <c r="I250">
        <v>90</v>
      </c>
      <c r="J250">
        <v>90</v>
      </c>
      <c r="K250">
        <v>90</v>
      </c>
      <c r="L250">
        <v>27</v>
      </c>
      <c r="M250">
        <v>24.898282999999999</v>
      </c>
      <c r="N250">
        <v>93.294256000000004</v>
      </c>
      <c r="O250">
        <v>24.898282999999999</v>
      </c>
      <c r="P250">
        <v>88.889174999999994</v>
      </c>
      <c r="Q250" t="s">
        <v>1379</v>
      </c>
      <c r="R250">
        <v>24.898282999999999</v>
      </c>
      <c r="S250">
        <v>82.019144999999995</v>
      </c>
      <c r="T250">
        <v>26</v>
      </c>
      <c r="U250">
        <v>2</v>
      </c>
      <c r="V250">
        <v>2.5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7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8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5</v>
      </c>
      <c r="BK250">
        <v>0.5</v>
      </c>
      <c r="BL250">
        <v>0</v>
      </c>
      <c r="BM250">
        <v>1.5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15</v>
      </c>
      <c r="BX250">
        <v>280</v>
      </c>
    </row>
    <row r="251" spans="2:80" x14ac:dyDescent="0.25">
      <c r="B251" t="s">
        <v>798</v>
      </c>
      <c r="C251">
        <v>27</v>
      </c>
      <c r="D251" t="s">
        <v>358</v>
      </c>
      <c r="E251" t="s">
        <v>404</v>
      </c>
      <c r="F251" t="s">
        <v>323</v>
      </c>
      <c r="G251">
        <v>1</v>
      </c>
      <c r="H251">
        <v>90</v>
      </c>
      <c r="I251">
        <v>90</v>
      </c>
      <c r="J251">
        <v>90</v>
      </c>
      <c r="K251">
        <v>90</v>
      </c>
      <c r="L251">
        <v>27</v>
      </c>
      <c r="M251" t="s">
        <v>1380</v>
      </c>
      <c r="N251">
        <v>25.979723</v>
      </c>
      <c r="O251">
        <v>94.465468999999999</v>
      </c>
      <c r="P251" t="s">
        <v>1381</v>
      </c>
      <c r="Q251">
        <v>25.979723</v>
      </c>
      <c r="R251">
        <v>84.091128999999995</v>
      </c>
      <c r="S251">
        <v>513.57600000000002</v>
      </c>
      <c r="T251">
        <v>2.5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16.93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1382</v>
      </c>
      <c r="AU251">
        <v>0</v>
      </c>
      <c r="AV251">
        <v>0.26900000000000002</v>
      </c>
      <c r="AW251">
        <v>0.26900000000000002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1383</v>
      </c>
      <c r="BE251">
        <v>0</v>
      </c>
      <c r="BF251">
        <v>0</v>
      </c>
      <c r="BG251">
        <v>0.2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14</v>
      </c>
      <c r="BQ251">
        <v>302</v>
      </c>
    </row>
    <row r="252" spans="2:80" x14ac:dyDescent="0.25">
      <c r="B252" t="s">
        <v>799</v>
      </c>
      <c r="C252">
        <v>2</v>
      </c>
      <c r="D252">
        <v>30</v>
      </c>
      <c r="E252">
        <v>30</v>
      </c>
      <c r="F252">
        <v>30</v>
      </c>
      <c r="G252">
        <v>60</v>
      </c>
      <c r="H252">
        <v>16.143602000000001</v>
      </c>
      <c r="I252">
        <v>74.871105</v>
      </c>
      <c r="J252">
        <v>16.143602000000001</v>
      </c>
      <c r="K252">
        <v>72.272000000000006</v>
      </c>
      <c r="L252">
        <v>16.143602000000001</v>
      </c>
      <c r="M252">
        <v>75.671522999999993</v>
      </c>
      <c r="N252">
        <v>16.143602000000001</v>
      </c>
      <c r="O252">
        <v>68.506397000000007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6" spans="2:80" x14ac:dyDescent="0.25">
      <c r="B256" t="s">
        <v>488</v>
      </c>
      <c r="C256" t="s">
        <v>157</v>
      </c>
      <c r="D256" t="s">
        <v>489</v>
      </c>
      <c r="E256" t="s">
        <v>5</v>
      </c>
      <c r="F256" t="s">
        <v>845</v>
      </c>
      <c r="G256" t="s">
        <v>846</v>
      </c>
      <c r="H256">
        <v>1</v>
      </c>
      <c r="I256">
        <v>2020</v>
      </c>
      <c r="J256" t="s">
        <v>1384</v>
      </c>
    </row>
    <row r="257" spans="2:10" x14ac:dyDescent="0.25">
      <c r="B257" t="s">
        <v>488</v>
      </c>
      <c r="C257" t="s">
        <v>157</v>
      </c>
      <c r="D257" t="s">
        <v>489</v>
      </c>
      <c r="E257" t="s">
        <v>5</v>
      </c>
      <c r="F257" t="s">
        <v>776</v>
      </c>
      <c r="G257" t="s">
        <v>770</v>
      </c>
      <c r="H257">
        <v>16</v>
      </c>
      <c r="I257">
        <v>2020</v>
      </c>
      <c r="J257" t="s">
        <v>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36" sqref="C36"/>
    </sheetView>
  </sheetViews>
  <sheetFormatPr defaultRowHeight="15" x14ac:dyDescent="0.25"/>
  <cols>
    <col min="1" max="1" width="6.28515625" bestFit="1" customWidth="1"/>
  </cols>
  <sheetData>
    <row r="1" spans="1:2" x14ac:dyDescent="0.25">
      <c r="A1" t="s">
        <v>92</v>
      </c>
      <c r="B1" t="s">
        <v>39</v>
      </c>
    </row>
    <row r="2" spans="1:2" x14ac:dyDescent="0.25">
      <c r="A2" s="29">
        <v>1</v>
      </c>
      <c r="B2" t="s">
        <v>41</v>
      </c>
    </row>
    <row r="3" spans="1:2" x14ac:dyDescent="0.25">
      <c r="A3" s="29">
        <v>10</v>
      </c>
      <c r="B3" t="s">
        <v>42</v>
      </c>
    </row>
    <row r="4" spans="1:2" x14ac:dyDescent="0.25">
      <c r="A4" s="29">
        <v>12</v>
      </c>
      <c r="B4" t="s">
        <v>43</v>
      </c>
    </row>
    <row r="5" spans="1:2" x14ac:dyDescent="0.25">
      <c r="A5" s="29">
        <v>14</v>
      </c>
      <c r="B5" t="s">
        <v>44</v>
      </c>
    </row>
    <row r="6" spans="1:2" x14ac:dyDescent="0.25">
      <c r="A6" s="29">
        <v>15</v>
      </c>
      <c r="B6" t="s">
        <v>45</v>
      </c>
    </row>
    <row r="7" spans="1:2" x14ac:dyDescent="0.25">
      <c r="A7" s="29">
        <v>17</v>
      </c>
      <c r="B7" t="s">
        <v>46</v>
      </c>
    </row>
    <row r="8" spans="1:2" x14ac:dyDescent="0.25">
      <c r="A8" s="29">
        <v>18</v>
      </c>
      <c r="B8" t="s">
        <v>47</v>
      </c>
    </row>
    <row r="9" spans="1:2" x14ac:dyDescent="0.25">
      <c r="A9" s="29" t="s">
        <v>9</v>
      </c>
      <c r="B9" t="s">
        <v>48</v>
      </c>
    </row>
    <row r="10" spans="1:2" x14ac:dyDescent="0.25">
      <c r="A10" s="29">
        <v>19</v>
      </c>
      <c r="B10" t="s">
        <v>49</v>
      </c>
    </row>
    <row r="11" spans="1:2" x14ac:dyDescent="0.25">
      <c r="A11" s="29">
        <v>2</v>
      </c>
      <c r="B11" t="s">
        <v>50</v>
      </c>
    </row>
    <row r="12" spans="1:2" x14ac:dyDescent="0.25">
      <c r="A12" s="29">
        <v>20</v>
      </c>
      <c r="B12" t="s">
        <v>51</v>
      </c>
    </row>
    <row r="13" spans="1:2" x14ac:dyDescent="0.25">
      <c r="A13" s="29">
        <v>22</v>
      </c>
      <c r="B13" t="s">
        <v>52</v>
      </c>
    </row>
    <row r="14" spans="1:2" x14ac:dyDescent="0.25">
      <c r="A14" s="29">
        <v>23</v>
      </c>
      <c r="B14" t="s">
        <v>53</v>
      </c>
    </row>
    <row r="15" spans="1:2" x14ac:dyDescent="0.25">
      <c r="A15" s="29" t="s">
        <v>10</v>
      </c>
      <c r="B15" t="s">
        <v>54</v>
      </c>
    </row>
    <row r="16" spans="1:2" x14ac:dyDescent="0.25">
      <c r="A16" s="29">
        <v>25</v>
      </c>
      <c r="B16" t="s">
        <v>55</v>
      </c>
    </row>
    <row r="17" spans="1:2" x14ac:dyDescent="0.25">
      <c r="A17" s="29">
        <v>26</v>
      </c>
      <c r="B17" t="s">
        <v>56</v>
      </c>
    </row>
    <row r="18" spans="1:2" x14ac:dyDescent="0.25">
      <c r="A18" s="29">
        <v>28</v>
      </c>
      <c r="B18" t="s">
        <v>57</v>
      </c>
    </row>
    <row r="19" spans="1:2" x14ac:dyDescent="0.25">
      <c r="A19" s="29">
        <v>29</v>
      </c>
      <c r="B19" t="s">
        <v>58</v>
      </c>
    </row>
    <row r="20" spans="1:2" x14ac:dyDescent="0.25">
      <c r="A20" s="29">
        <v>3</v>
      </c>
      <c r="B20" t="s">
        <v>59</v>
      </c>
    </row>
    <row r="21" spans="1:2" x14ac:dyDescent="0.25">
      <c r="A21" s="29">
        <v>30</v>
      </c>
      <c r="B21" t="s">
        <v>60</v>
      </c>
    </row>
    <row r="22" spans="1:2" x14ac:dyDescent="0.25">
      <c r="A22" s="29" t="s">
        <v>11</v>
      </c>
      <c r="B22" t="s">
        <v>61</v>
      </c>
    </row>
    <row r="23" spans="1:2" x14ac:dyDescent="0.25">
      <c r="A23" s="29">
        <v>34</v>
      </c>
      <c r="B23" t="s">
        <v>62</v>
      </c>
    </row>
    <row r="24" spans="1:2" x14ac:dyDescent="0.25">
      <c r="A24" s="29" t="s">
        <v>12</v>
      </c>
      <c r="B24" t="s">
        <v>63</v>
      </c>
    </row>
    <row r="25" spans="1:2" x14ac:dyDescent="0.25">
      <c r="A25" s="29" t="s">
        <v>13</v>
      </c>
      <c r="B25" t="s">
        <v>64</v>
      </c>
    </row>
    <row r="26" spans="1:2" x14ac:dyDescent="0.25">
      <c r="A26" s="29" t="s">
        <v>14</v>
      </c>
      <c r="B26" t="s">
        <v>65</v>
      </c>
    </row>
    <row r="27" spans="1:2" x14ac:dyDescent="0.25">
      <c r="A27" s="29" t="s">
        <v>15</v>
      </c>
      <c r="B27" t="s">
        <v>66</v>
      </c>
    </row>
    <row r="28" spans="1:2" x14ac:dyDescent="0.25">
      <c r="A28" s="29">
        <v>4</v>
      </c>
      <c r="B28" t="s">
        <v>67</v>
      </c>
    </row>
    <row r="29" spans="1:2" x14ac:dyDescent="0.25">
      <c r="A29" s="29">
        <v>41</v>
      </c>
      <c r="B29" t="s">
        <v>68</v>
      </c>
    </row>
    <row r="30" spans="1:2" x14ac:dyDescent="0.25">
      <c r="A30" s="29">
        <v>42</v>
      </c>
      <c r="B30" t="s">
        <v>69</v>
      </c>
    </row>
    <row r="31" spans="1:2" x14ac:dyDescent="0.25">
      <c r="A31" s="29">
        <v>56</v>
      </c>
      <c r="B31" t="s">
        <v>70</v>
      </c>
    </row>
    <row r="32" spans="1:2" x14ac:dyDescent="0.25">
      <c r="A32" s="29">
        <v>6</v>
      </c>
      <c r="B32" t="s">
        <v>71</v>
      </c>
    </row>
    <row r="33" spans="1:2" x14ac:dyDescent="0.25">
      <c r="A33" s="29">
        <v>60</v>
      </c>
      <c r="B33" t="s">
        <v>72</v>
      </c>
    </row>
    <row r="34" spans="1:2" x14ac:dyDescent="0.25">
      <c r="A34" s="29">
        <v>61</v>
      </c>
      <c r="B34" t="s">
        <v>73</v>
      </c>
    </row>
    <row r="35" spans="1:2" x14ac:dyDescent="0.25">
      <c r="A35" s="29">
        <v>62</v>
      </c>
      <c r="B35" t="s">
        <v>74</v>
      </c>
    </row>
    <row r="36" spans="1:2" x14ac:dyDescent="0.25">
      <c r="A36" s="29">
        <v>7</v>
      </c>
      <c r="B36" t="s">
        <v>75</v>
      </c>
    </row>
    <row r="37" spans="1:2" x14ac:dyDescent="0.25">
      <c r="A37" s="29">
        <v>72</v>
      </c>
      <c r="B37" t="s">
        <v>76</v>
      </c>
    </row>
    <row r="38" spans="1:2" x14ac:dyDescent="0.25">
      <c r="A38" s="29">
        <v>76</v>
      </c>
      <c r="B38" t="s">
        <v>77</v>
      </c>
    </row>
    <row r="39" spans="1:2" x14ac:dyDescent="0.25">
      <c r="A39" s="29">
        <v>8</v>
      </c>
      <c r="B39" t="s">
        <v>78</v>
      </c>
    </row>
    <row r="40" spans="1:2" x14ac:dyDescent="0.25">
      <c r="A40" s="29" t="s">
        <v>16</v>
      </c>
      <c r="B40" t="s">
        <v>79</v>
      </c>
    </row>
    <row r="41" spans="1:2" x14ac:dyDescent="0.25">
      <c r="A41" s="29">
        <v>9</v>
      </c>
      <c r="B41" t="s">
        <v>80</v>
      </c>
    </row>
    <row r="42" spans="1:2" x14ac:dyDescent="0.25">
      <c r="A42" s="29" t="s">
        <v>17</v>
      </c>
      <c r="B42" t="s">
        <v>81</v>
      </c>
    </row>
    <row r="43" spans="1:2" x14ac:dyDescent="0.25">
      <c r="A43" s="29" t="s">
        <v>18</v>
      </c>
      <c r="B43" t="s">
        <v>82</v>
      </c>
    </row>
    <row r="44" spans="1:2" x14ac:dyDescent="0.25">
      <c r="A44" s="29">
        <v>93</v>
      </c>
      <c r="B44" t="s">
        <v>83</v>
      </c>
    </row>
    <row r="45" spans="1:2" x14ac:dyDescent="0.25">
      <c r="A45" s="29" t="s">
        <v>19</v>
      </c>
      <c r="B45" t="s">
        <v>84</v>
      </c>
    </row>
    <row r="46" spans="1:2" x14ac:dyDescent="0.25">
      <c r="A46" s="29" t="s">
        <v>20</v>
      </c>
      <c r="B46" t="s">
        <v>85</v>
      </c>
    </row>
    <row r="47" spans="1:2" x14ac:dyDescent="0.25">
      <c r="A47" s="29" t="s">
        <v>21</v>
      </c>
      <c r="B47" t="s">
        <v>86</v>
      </c>
    </row>
    <row r="48" spans="1:2" x14ac:dyDescent="0.25">
      <c r="A48" s="29" t="s">
        <v>22</v>
      </c>
      <c r="B48" t="s">
        <v>87</v>
      </c>
    </row>
    <row r="49" spans="1:2" x14ac:dyDescent="0.25">
      <c r="A49" s="29" t="s">
        <v>23</v>
      </c>
      <c r="B49" t="s">
        <v>88</v>
      </c>
    </row>
    <row r="50" spans="1:2" x14ac:dyDescent="0.25">
      <c r="A50" s="29" t="s">
        <v>24</v>
      </c>
      <c r="B50" t="s">
        <v>89</v>
      </c>
    </row>
    <row r="51" spans="1:2" x14ac:dyDescent="0.25">
      <c r="A51" s="29" t="s">
        <v>25</v>
      </c>
      <c r="B51" t="s">
        <v>90</v>
      </c>
    </row>
    <row r="52" spans="1:2" x14ac:dyDescent="0.25">
      <c r="A52" s="29" t="s">
        <v>26</v>
      </c>
      <c r="B5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opLeftCell="A9" workbookViewId="0">
      <selection activeCell="K37" sqref="K37"/>
    </sheetView>
  </sheetViews>
  <sheetFormatPr defaultRowHeight="15" x14ac:dyDescent="0.25"/>
  <cols>
    <col min="2" max="2" width="19.140625" bestFit="1" customWidth="1"/>
    <col min="3" max="3" width="32.7109375" bestFit="1" customWidth="1"/>
    <col min="10" max="10" width="9.140625" style="51"/>
    <col min="11" max="11" width="33" style="51" bestFit="1" customWidth="1"/>
    <col min="12" max="14" width="9.140625" style="51"/>
  </cols>
  <sheetData>
    <row r="1" spans="1:14" x14ac:dyDescent="0.25">
      <c r="A1" s="4" t="s">
        <v>40</v>
      </c>
      <c r="B1" s="4" t="s">
        <v>759</v>
      </c>
      <c r="C1" s="4" t="s">
        <v>39</v>
      </c>
      <c r="D1" s="25" t="s">
        <v>36</v>
      </c>
      <c r="E1" s="84" t="s">
        <v>615</v>
      </c>
      <c r="J1" s="51" t="s">
        <v>758</v>
      </c>
      <c r="K1" s="51" t="s">
        <v>616</v>
      </c>
      <c r="L1" s="51" t="s">
        <v>757</v>
      </c>
      <c r="M1" s="51" t="s">
        <v>36</v>
      </c>
      <c r="N1" s="51" t="s">
        <v>615</v>
      </c>
    </row>
    <row r="2" spans="1:14" x14ac:dyDescent="0.25">
      <c r="A2">
        <v>1</v>
      </c>
      <c r="B2" t="str">
        <f>VLOOKUP(A2,$J:$M,2,FALSE)</f>
        <v>Rte 1 100 Oaks IB</v>
      </c>
      <c r="C2" t="str">
        <f>IF(ISNUMBER(SEARCH("IB",B2)),LEFT(B2,LEN(B2)-3),IF(ISNUMBER(SEARCH("OB",B2)),LEFT(B2,LEN(B2)-3),B2))</f>
        <v>Rte 1 100 Oaks</v>
      </c>
      <c r="D2">
        <f>VLOOKUP($A2,$J:$M,4,FALSE)</f>
        <v>1</v>
      </c>
      <c r="E2" s="51">
        <f>VLOOKUP($A2,$J:$N,5,FALSE)</f>
        <v>1</v>
      </c>
      <c r="J2" s="51">
        <v>1</v>
      </c>
      <c r="K2" s="51" t="s">
        <v>617</v>
      </c>
      <c r="L2" s="51">
        <v>4</v>
      </c>
      <c r="M2" s="51">
        <v>1</v>
      </c>
      <c r="N2" s="51">
        <v>1</v>
      </c>
    </row>
    <row r="3" spans="1:14" x14ac:dyDescent="0.25">
      <c r="A3">
        <v>2</v>
      </c>
      <c r="B3" s="51" t="str">
        <f t="shared" ref="B3:B47" si="0">VLOOKUP(A3,$J:$M,2,FALSE)</f>
        <v>Rte 2 Belmont OB</v>
      </c>
      <c r="C3" s="51" t="str">
        <f t="shared" ref="C3:C47" si="1">IF(ISNUMBER(SEARCH("IB",B3)),LEFT(B3,LEN(B3)-3),IF(ISNUMBER(SEARCH("OB",B3)),LEFT(B3,LEN(B3)-3),B3))</f>
        <v>Rte 2 Belmont</v>
      </c>
      <c r="D3" s="51">
        <f t="shared" ref="D3:D47" si="2">VLOOKUP($A3,$J:$M,4,FALSE)</f>
        <v>1</v>
      </c>
      <c r="E3" s="51">
        <f t="shared" ref="E3:E47" si="3">VLOOKUP($A3,$J:$N,5,FALSE)</f>
        <v>2</v>
      </c>
      <c r="J3" s="51">
        <v>1</v>
      </c>
      <c r="K3" s="51" t="s">
        <v>618</v>
      </c>
      <c r="L3" s="51">
        <v>4</v>
      </c>
      <c r="M3" s="51">
        <v>1</v>
      </c>
      <c r="N3" s="51">
        <v>1</v>
      </c>
    </row>
    <row r="4" spans="1:14" x14ac:dyDescent="0.25">
      <c r="A4">
        <v>3</v>
      </c>
      <c r="B4" s="51" t="str">
        <f t="shared" si="0"/>
        <v>Rte 3 West End (White Bridge) IB</v>
      </c>
      <c r="C4" s="51" t="str">
        <f t="shared" si="1"/>
        <v>Rte 3 West End (White Bridge)</v>
      </c>
      <c r="D4" s="51">
        <f t="shared" si="2"/>
        <v>1</v>
      </c>
      <c r="E4" s="51">
        <f t="shared" si="3"/>
        <v>3</v>
      </c>
      <c r="J4" s="51">
        <v>2</v>
      </c>
      <c r="K4" s="51" t="s">
        <v>619</v>
      </c>
      <c r="L4" s="51">
        <v>4</v>
      </c>
      <c r="M4" s="51">
        <v>1</v>
      </c>
      <c r="N4" s="51">
        <v>2</v>
      </c>
    </row>
    <row r="5" spans="1:14" x14ac:dyDescent="0.25">
      <c r="A5">
        <v>4</v>
      </c>
      <c r="B5" s="51" t="str">
        <f t="shared" si="0"/>
        <v>Rte 4 Shelby IB</v>
      </c>
      <c r="C5" s="51" t="str">
        <f t="shared" si="1"/>
        <v>Rte 4 Shelby</v>
      </c>
      <c r="D5" s="51">
        <f t="shared" si="2"/>
        <v>1</v>
      </c>
      <c r="E5" s="51">
        <f t="shared" si="3"/>
        <v>4</v>
      </c>
      <c r="J5" s="51">
        <v>2</v>
      </c>
      <c r="K5" s="51" t="s">
        <v>620</v>
      </c>
      <c r="L5" s="51">
        <v>4</v>
      </c>
      <c r="M5" s="51">
        <v>1</v>
      </c>
      <c r="N5" s="51">
        <v>2</v>
      </c>
    </row>
    <row r="6" spans="1:14" x14ac:dyDescent="0.25">
      <c r="A6">
        <v>5</v>
      </c>
      <c r="B6" s="51" t="str">
        <f t="shared" si="0"/>
        <v>Rte 5 West End (Bellevue) IB</v>
      </c>
      <c r="C6" s="51" t="str">
        <f t="shared" si="1"/>
        <v>Rte 5 West End (Bellevue)</v>
      </c>
      <c r="D6" s="51">
        <f t="shared" si="2"/>
        <v>1</v>
      </c>
      <c r="E6" s="51">
        <f t="shared" si="3"/>
        <v>3</v>
      </c>
      <c r="J6" s="51">
        <v>3</v>
      </c>
      <c r="K6" s="51" t="s">
        <v>621</v>
      </c>
      <c r="L6" s="51">
        <v>4</v>
      </c>
      <c r="M6" s="51">
        <v>1</v>
      </c>
      <c r="N6" s="51">
        <v>3</v>
      </c>
    </row>
    <row r="7" spans="1:14" x14ac:dyDescent="0.25">
      <c r="A7">
        <v>6</v>
      </c>
      <c r="B7" s="51" t="str">
        <f t="shared" si="0"/>
        <v>Rte 6 Lebanon Rd OB</v>
      </c>
      <c r="C7" s="51" t="str">
        <f t="shared" si="1"/>
        <v>Rte 6 Lebanon Rd</v>
      </c>
      <c r="D7" s="51">
        <f t="shared" si="2"/>
        <v>1</v>
      </c>
      <c r="E7" s="51">
        <f t="shared" si="3"/>
        <v>6</v>
      </c>
      <c r="J7" s="51">
        <v>5</v>
      </c>
      <c r="K7" s="51" t="s">
        <v>622</v>
      </c>
      <c r="L7" s="51">
        <v>4</v>
      </c>
      <c r="M7" s="51">
        <v>1</v>
      </c>
      <c r="N7" s="51">
        <v>3</v>
      </c>
    </row>
    <row r="8" spans="1:14" x14ac:dyDescent="0.25">
      <c r="A8">
        <v>7</v>
      </c>
      <c r="B8" s="51" t="str">
        <f t="shared" si="0"/>
        <v>Rte 7 Hillsboro IB</v>
      </c>
      <c r="C8" s="51" t="str">
        <f t="shared" si="1"/>
        <v>Rte 7 Hillsboro</v>
      </c>
      <c r="D8" s="51">
        <f t="shared" si="2"/>
        <v>1</v>
      </c>
      <c r="E8" s="51">
        <f t="shared" si="3"/>
        <v>7</v>
      </c>
      <c r="J8" s="51">
        <v>5</v>
      </c>
      <c r="K8" s="51" t="s">
        <v>623</v>
      </c>
      <c r="L8" s="51">
        <v>4</v>
      </c>
      <c r="M8" s="51">
        <v>1</v>
      </c>
      <c r="N8" s="51">
        <v>3</v>
      </c>
    </row>
    <row r="9" spans="1:14" x14ac:dyDescent="0.25">
      <c r="A9">
        <v>8</v>
      </c>
      <c r="B9" s="51" t="str">
        <f t="shared" si="0"/>
        <v>Rte 8 8th Avenue South OB</v>
      </c>
      <c r="C9" s="51" t="str">
        <f t="shared" si="1"/>
        <v>Rte 8 8th Avenue South</v>
      </c>
      <c r="D9" s="51">
        <f t="shared" si="2"/>
        <v>1</v>
      </c>
      <c r="E9" s="51">
        <f t="shared" si="3"/>
        <v>8</v>
      </c>
      <c r="J9" s="51">
        <v>3</v>
      </c>
      <c r="K9" s="51" t="s">
        <v>624</v>
      </c>
      <c r="L9" s="51">
        <v>4</v>
      </c>
      <c r="M9" s="51">
        <v>1</v>
      </c>
      <c r="N9" s="51">
        <v>3</v>
      </c>
    </row>
    <row r="10" spans="1:14" x14ac:dyDescent="0.25">
      <c r="A10">
        <v>9</v>
      </c>
      <c r="B10" s="51" t="str">
        <f t="shared" si="0"/>
        <v>Rte 9 MetroCenter OB</v>
      </c>
      <c r="C10" s="51" t="str">
        <f t="shared" si="1"/>
        <v>Rte 9 MetroCenter</v>
      </c>
      <c r="D10" s="51">
        <f t="shared" si="2"/>
        <v>1</v>
      </c>
      <c r="E10" s="51">
        <f t="shared" si="3"/>
        <v>9</v>
      </c>
      <c r="J10" s="51">
        <v>4</v>
      </c>
      <c r="K10" s="51" t="s">
        <v>625</v>
      </c>
      <c r="L10" s="51">
        <v>4</v>
      </c>
      <c r="M10" s="51">
        <v>1</v>
      </c>
      <c r="N10" s="51">
        <v>4</v>
      </c>
    </row>
    <row r="11" spans="1:14" x14ac:dyDescent="0.25">
      <c r="A11">
        <v>10</v>
      </c>
      <c r="B11" s="51" t="str">
        <f t="shared" si="0"/>
        <v>Rte 10 Charlotte OB</v>
      </c>
      <c r="C11" s="51" t="str">
        <f t="shared" si="1"/>
        <v>Rte 10 Charlotte</v>
      </c>
      <c r="D11" s="51">
        <f t="shared" si="2"/>
        <v>1</v>
      </c>
      <c r="E11" s="51">
        <f t="shared" si="3"/>
        <v>10</v>
      </c>
      <c r="J11" s="51">
        <v>4</v>
      </c>
      <c r="K11" s="51" t="s">
        <v>626</v>
      </c>
      <c r="L11" s="51">
        <v>4</v>
      </c>
      <c r="M11" s="51">
        <v>1</v>
      </c>
      <c r="N11" s="51">
        <v>4</v>
      </c>
    </row>
    <row r="12" spans="1:14" x14ac:dyDescent="0.25">
      <c r="A12">
        <v>14</v>
      </c>
      <c r="B12" s="51" t="str">
        <f t="shared" si="0"/>
        <v>Rte 14 Whites Creek OB</v>
      </c>
      <c r="C12" s="51" t="str">
        <f t="shared" si="1"/>
        <v>Rte 14 Whites Creek</v>
      </c>
      <c r="D12" s="51">
        <f t="shared" si="2"/>
        <v>1</v>
      </c>
      <c r="E12" s="51">
        <f t="shared" si="3"/>
        <v>14</v>
      </c>
      <c r="J12" s="51">
        <v>6</v>
      </c>
      <c r="K12" s="51" t="s">
        <v>627</v>
      </c>
      <c r="L12" s="51">
        <v>4</v>
      </c>
      <c r="M12" s="51">
        <v>1</v>
      </c>
      <c r="N12" s="51">
        <v>6</v>
      </c>
    </row>
    <row r="13" spans="1:14" x14ac:dyDescent="0.25">
      <c r="A13">
        <v>15</v>
      </c>
      <c r="B13" s="51" t="str">
        <f t="shared" si="0"/>
        <v>Rte 15 Murfreesboro Rd OB</v>
      </c>
      <c r="C13" s="51" t="str">
        <f t="shared" si="1"/>
        <v>Rte 15 Murfreesboro Rd</v>
      </c>
      <c r="D13" s="51">
        <f t="shared" si="2"/>
        <v>1</v>
      </c>
      <c r="E13" s="51">
        <f t="shared" si="3"/>
        <v>15</v>
      </c>
      <c r="J13" s="51">
        <v>6</v>
      </c>
      <c r="K13" s="51" t="s">
        <v>628</v>
      </c>
      <c r="L13" s="51">
        <v>4</v>
      </c>
      <c r="M13" s="51">
        <v>1</v>
      </c>
      <c r="N13" s="51">
        <v>6</v>
      </c>
    </row>
    <row r="14" spans="1:14" x14ac:dyDescent="0.25">
      <c r="A14">
        <v>17</v>
      </c>
      <c r="B14" s="51" t="str">
        <f t="shared" si="0"/>
        <v>Rte 17 12th Ave South Loop1 IB</v>
      </c>
      <c r="C14" s="51" t="str">
        <f t="shared" si="1"/>
        <v>Rte 17 12th Ave South Loop1</v>
      </c>
      <c r="D14" s="51">
        <f t="shared" si="2"/>
        <v>1</v>
      </c>
      <c r="E14" s="51">
        <f t="shared" si="3"/>
        <v>17</v>
      </c>
      <c r="J14" s="51">
        <v>7</v>
      </c>
      <c r="K14" s="51" t="s">
        <v>629</v>
      </c>
      <c r="L14" s="51">
        <v>4</v>
      </c>
      <c r="M14" s="51">
        <v>1</v>
      </c>
      <c r="N14" s="51">
        <v>7</v>
      </c>
    </row>
    <row r="15" spans="1:14" x14ac:dyDescent="0.25">
      <c r="A15">
        <v>18</v>
      </c>
      <c r="B15" s="51" t="str">
        <f t="shared" si="0"/>
        <v>Rte 18 Airport Exp OB</v>
      </c>
      <c r="C15" s="51" t="str">
        <f t="shared" si="1"/>
        <v>Rte 18 Airport Exp</v>
      </c>
      <c r="D15" s="51">
        <f t="shared" si="2"/>
        <v>6</v>
      </c>
      <c r="E15" s="51">
        <f t="shared" si="3"/>
        <v>18</v>
      </c>
      <c r="J15" s="51">
        <v>7</v>
      </c>
      <c r="K15" s="51" t="s">
        <v>630</v>
      </c>
      <c r="L15" s="51">
        <v>4</v>
      </c>
      <c r="M15" s="51">
        <v>1</v>
      </c>
      <c r="N15" s="51">
        <v>7</v>
      </c>
    </row>
    <row r="16" spans="1:14" x14ac:dyDescent="0.25">
      <c r="A16">
        <v>19</v>
      </c>
      <c r="B16" s="51" t="str">
        <f t="shared" si="0"/>
        <v>Rte 19 Herman IB</v>
      </c>
      <c r="C16" s="51" t="str">
        <f t="shared" si="1"/>
        <v>Rte 19 Herman</v>
      </c>
      <c r="D16" s="51">
        <f t="shared" si="2"/>
        <v>1</v>
      </c>
      <c r="E16" s="51">
        <f t="shared" si="3"/>
        <v>19</v>
      </c>
      <c r="J16" s="51">
        <v>8</v>
      </c>
      <c r="K16" s="51" t="s">
        <v>631</v>
      </c>
      <c r="L16" s="51">
        <v>4</v>
      </c>
      <c r="M16" s="51">
        <v>1</v>
      </c>
      <c r="N16" s="51">
        <v>8</v>
      </c>
    </row>
    <row r="17" spans="1:14" x14ac:dyDescent="0.25">
      <c r="A17">
        <v>20</v>
      </c>
      <c r="B17" s="51" t="str">
        <f t="shared" si="0"/>
        <v>Rte 20 Scott OB</v>
      </c>
      <c r="C17" s="51" t="str">
        <f t="shared" si="1"/>
        <v>Rte 20 Scott</v>
      </c>
      <c r="D17" s="51">
        <f t="shared" si="2"/>
        <v>1</v>
      </c>
      <c r="E17" s="51">
        <f t="shared" si="3"/>
        <v>20</v>
      </c>
      <c r="J17" s="51">
        <v>8</v>
      </c>
      <c r="K17" s="51" t="s">
        <v>632</v>
      </c>
      <c r="L17" s="51">
        <v>4</v>
      </c>
      <c r="M17" s="51">
        <v>1</v>
      </c>
      <c r="N17" s="51">
        <v>8</v>
      </c>
    </row>
    <row r="18" spans="1:14" x14ac:dyDescent="0.25">
      <c r="A18">
        <v>21</v>
      </c>
      <c r="B18" s="51" t="str">
        <f t="shared" si="0"/>
        <v>Rte 21 University Connector SB</v>
      </c>
      <c r="C18" s="51" t="str">
        <f t="shared" si="1"/>
        <v>Rte 21 University Connector SB</v>
      </c>
      <c r="D18" s="51">
        <f t="shared" si="2"/>
        <v>1</v>
      </c>
      <c r="E18" s="51">
        <f t="shared" si="3"/>
        <v>21</v>
      </c>
      <c r="J18" s="51">
        <v>9</v>
      </c>
      <c r="K18" s="51" t="s">
        <v>633</v>
      </c>
      <c r="L18" s="51">
        <v>4</v>
      </c>
      <c r="M18" s="51">
        <v>1</v>
      </c>
      <c r="N18" s="51">
        <v>9</v>
      </c>
    </row>
    <row r="19" spans="1:14" x14ac:dyDescent="0.25">
      <c r="A19">
        <v>22</v>
      </c>
      <c r="B19" s="51" t="str">
        <f t="shared" si="0"/>
        <v>Rte 22 Bordeaux (Panaroma) IB</v>
      </c>
      <c r="C19" s="51" t="str">
        <f t="shared" si="1"/>
        <v>Rte 22 Bordeaux (Panaroma)</v>
      </c>
      <c r="D19" s="51">
        <f t="shared" si="2"/>
        <v>1</v>
      </c>
      <c r="E19" s="51">
        <f t="shared" si="3"/>
        <v>22</v>
      </c>
      <c r="J19" s="51">
        <v>9</v>
      </c>
      <c r="K19" s="51" t="s">
        <v>634</v>
      </c>
      <c r="L19" s="51">
        <v>4</v>
      </c>
      <c r="M19" s="51">
        <v>1</v>
      </c>
      <c r="N19" s="51">
        <v>9</v>
      </c>
    </row>
    <row r="20" spans="1:14" x14ac:dyDescent="0.25">
      <c r="A20">
        <v>23</v>
      </c>
      <c r="B20" s="51" t="str">
        <f t="shared" si="0"/>
        <v>Rte 23 Dickerson Rd Loop1 OB</v>
      </c>
      <c r="C20" s="51" t="str">
        <f t="shared" si="1"/>
        <v>Rte 23 Dickerson Rd Loop1</v>
      </c>
      <c r="D20" s="51">
        <f t="shared" si="2"/>
        <v>1</v>
      </c>
      <c r="E20" s="51">
        <f t="shared" si="3"/>
        <v>23</v>
      </c>
      <c r="J20" s="51">
        <v>10</v>
      </c>
      <c r="K20" s="51" t="s">
        <v>635</v>
      </c>
      <c r="L20" s="51">
        <v>4</v>
      </c>
      <c r="M20" s="51">
        <v>1</v>
      </c>
      <c r="N20" s="51">
        <v>10</v>
      </c>
    </row>
    <row r="21" spans="1:14" x14ac:dyDescent="0.25">
      <c r="A21">
        <v>24</v>
      </c>
      <c r="B21" s="51" t="str">
        <f t="shared" si="0"/>
        <v>Rte 24 Bellevue Exp AM</v>
      </c>
      <c r="C21" s="51" t="str">
        <f t="shared" si="1"/>
        <v>Rte 24 Bellevue Exp AM</v>
      </c>
      <c r="D21" s="51">
        <f t="shared" si="2"/>
        <v>6</v>
      </c>
      <c r="E21" s="51">
        <f t="shared" si="3"/>
        <v>24</v>
      </c>
      <c r="J21" s="51">
        <v>10</v>
      </c>
      <c r="K21" s="51" t="s">
        <v>636</v>
      </c>
      <c r="L21" s="51">
        <v>4</v>
      </c>
      <c r="M21" s="51">
        <v>1</v>
      </c>
      <c r="N21" s="51">
        <v>10</v>
      </c>
    </row>
    <row r="22" spans="1:14" x14ac:dyDescent="0.25">
      <c r="A22">
        <v>25</v>
      </c>
      <c r="B22" s="51" t="str">
        <f t="shared" si="0"/>
        <v>Rte 25 Midtown CW Loop</v>
      </c>
      <c r="C22" s="51" t="str">
        <f t="shared" si="1"/>
        <v>Rte 25 Midtown CW Loop</v>
      </c>
      <c r="D22" s="51">
        <f t="shared" si="2"/>
        <v>1</v>
      </c>
      <c r="E22" s="51">
        <f t="shared" si="3"/>
        <v>25</v>
      </c>
      <c r="J22" s="51">
        <v>52</v>
      </c>
      <c r="K22" s="51" t="s">
        <v>637</v>
      </c>
      <c r="L22" s="51">
        <v>4</v>
      </c>
      <c r="M22" s="51">
        <v>1</v>
      </c>
      <c r="N22" s="51">
        <v>12</v>
      </c>
    </row>
    <row r="23" spans="1:14" x14ac:dyDescent="0.25">
      <c r="A23">
        <v>26</v>
      </c>
      <c r="B23" s="51" t="str">
        <f t="shared" si="0"/>
        <v>Rte 26 Gallatin Rd IB</v>
      </c>
      <c r="C23" s="51" t="str">
        <f t="shared" si="1"/>
        <v>Rte 26 Gallatin Rd</v>
      </c>
      <c r="D23" s="51">
        <f t="shared" si="2"/>
        <v>1</v>
      </c>
      <c r="E23" s="51">
        <f t="shared" si="3"/>
        <v>26</v>
      </c>
      <c r="J23" s="51">
        <v>52</v>
      </c>
      <c r="K23" s="51" t="s">
        <v>638</v>
      </c>
      <c r="L23" s="51">
        <v>4</v>
      </c>
      <c r="M23" s="51">
        <v>1</v>
      </c>
      <c r="N23" s="51">
        <v>12</v>
      </c>
    </row>
    <row r="24" spans="1:14" x14ac:dyDescent="0.25">
      <c r="A24">
        <v>27</v>
      </c>
      <c r="B24" s="51" t="str">
        <f t="shared" si="0"/>
        <v>Rte 27 Old Hickory OB</v>
      </c>
      <c r="C24" s="51" t="str">
        <f t="shared" si="1"/>
        <v>Rte 27 Old Hickory</v>
      </c>
      <c r="D24" s="51">
        <f t="shared" si="2"/>
        <v>1</v>
      </c>
      <c r="E24" s="51">
        <f t="shared" si="3"/>
        <v>27</v>
      </c>
      <c r="J24" s="51">
        <v>52</v>
      </c>
      <c r="K24" s="51" t="s">
        <v>639</v>
      </c>
      <c r="L24" s="51">
        <v>4</v>
      </c>
      <c r="M24" s="51">
        <v>1</v>
      </c>
      <c r="N24" s="51">
        <v>12</v>
      </c>
    </row>
    <row r="25" spans="1:14" x14ac:dyDescent="0.25">
      <c r="A25">
        <v>28</v>
      </c>
      <c r="B25" s="51" t="str">
        <f t="shared" si="0"/>
        <v>Rte 28 Meridian OB</v>
      </c>
      <c r="C25" s="51" t="str">
        <f t="shared" si="1"/>
        <v>Rte 28 Meridian</v>
      </c>
      <c r="D25" s="51">
        <f t="shared" si="2"/>
        <v>1</v>
      </c>
      <c r="E25" s="51">
        <f t="shared" si="3"/>
        <v>28</v>
      </c>
      <c r="J25" s="51">
        <v>52</v>
      </c>
      <c r="K25" s="51" t="s">
        <v>640</v>
      </c>
      <c r="L25" s="51">
        <v>4</v>
      </c>
      <c r="M25" s="51">
        <v>1</v>
      </c>
      <c r="N25" s="51">
        <v>12</v>
      </c>
    </row>
    <row r="26" spans="1:14" x14ac:dyDescent="0.25">
      <c r="A26">
        <v>29</v>
      </c>
      <c r="B26" s="51" t="str">
        <f t="shared" si="0"/>
        <v>Rte 29 Jefferson IB</v>
      </c>
      <c r="C26" s="51" t="str">
        <f t="shared" si="1"/>
        <v>Rte 29 Jefferson</v>
      </c>
      <c r="D26" s="51">
        <f t="shared" si="2"/>
        <v>1</v>
      </c>
      <c r="E26" s="51">
        <f t="shared" si="3"/>
        <v>29</v>
      </c>
      <c r="J26" s="51">
        <v>52</v>
      </c>
      <c r="K26" s="51" t="s">
        <v>641</v>
      </c>
      <c r="L26" s="51">
        <v>4</v>
      </c>
      <c r="M26" s="51">
        <v>1</v>
      </c>
      <c r="N26" s="51">
        <v>12</v>
      </c>
    </row>
    <row r="27" spans="1:14" x14ac:dyDescent="0.25">
      <c r="A27">
        <v>30</v>
      </c>
      <c r="B27" s="51" t="str">
        <f t="shared" si="0"/>
        <v>Rte 30 McFerrin OB Night</v>
      </c>
      <c r="C27" s="51" t="str">
        <f t="shared" si="1"/>
        <v>Rte 30 McFerrin OB Ni</v>
      </c>
      <c r="D27" s="51">
        <f t="shared" si="2"/>
        <v>1</v>
      </c>
      <c r="E27" s="51">
        <f t="shared" si="3"/>
        <v>30</v>
      </c>
      <c r="J27" s="51">
        <v>52</v>
      </c>
      <c r="K27" s="51" t="s">
        <v>642</v>
      </c>
      <c r="L27" s="51">
        <v>4</v>
      </c>
      <c r="M27" s="51">
        <v>1</v>
      </c>
      <c r="N27" s="51">
        <v>12</v>
      </c>
    </row>
    <row r="28" spans="1:14" x14ac:dyDescent="0.25">
      <c r="A28">
        <v>33</v>
      </c>
      <c r="B28" s="51" t="str">
        <f t="shared" si="0"/>
        <v>Rte 33 Old Hickory Exp IB</v>
      </c>
      <c r="C28" s="51" t="str">
        <f t="shared" si="1"/>
        <v>Rte 33 Old Hickory Exp</v>
      </c>
      <c r="D28" s="51">
        <f t="shared" si="2"/>
        <v>6</v>
      </c>
      <c r="E28" s="51">
        <f t="shared" si="3"/>
        <v>33</v>
      </c>
      <c r="J28" s="51">
        <v>14</v>
      </c>
      <c r="K28" s="51" t="s">
        <v>643</v>
      </c>
      <c r="L28" s="51">
        <v>4</v>
      </c>
      <c r="M28" s="51">
        <v>1</v>
      </c>
      <c r="N28" s="51">
        <v>14</v>
      </c>
    </row>
    <row r="29" spans="1:14" x14ac:dyDescent="0.25">
      <c r="A29">
        <v>34</v>
      </c>
      <c r="B29" s="51" t="str">
        <f t="shared" si="0"/>
        <v>Rte 34 Opry Mills Loop</v>
      </c>
      <c r="C29" s="51" t="str">
        <f t="shared" si="1"/>
        <v>Rte 34 Opry Mills Loop</v>
      </c>
      <c r="D29" s="51">
        <f t="shared" si="2"/>
        <v>1</v>
      </c>
      <c r="E29" s="51">
        <f t="shared" si="3"/>
        <v>34</v>
      </c>
      <c r="J29" s="51">
        <v>14</v>
      </c>
      <c r="K29" s="51" t="s">
        <v>644</v>
      </c>
      <c r="L29" s="51">
        <v>4</v>
      </c>
      <c r="M29" s="51">
        <v>1</v>
      </c>
      <c r="N29" s="51">
        <v>14</v>
      </c>
    </row>
    <row r="30" spans="1:14" x14ac:dyDescent="0.25">
      <c r="A30">
        <v>35</v>
      </c>
      <c r="B30" s="51" t="str">
        <f t="shared" si="0"/>
        <v>Rte 35 Rivergate Exp IB</v>
      </c>
      <c r="C30" s="51" t="str">
        <f t="shared" si="1"/>
        <v>Rte 35 Rivergate Exp</v>
      </c>
      <c r="D30" s="51">
        <f t="shared" si="2"/>
        <v>6</v>
      </c>
      <c r="E30" s="51">
        <f t="shared" si="3"/>
        <v>35</v>
      </c>
      <c r="J30" s="51">
        <v>15</v>
      </c>
      <c r="K30" s="51" t="s">
        <v>645</v>
      </c>
      <c r="L30" s="51">
        <v>4</v>
      </c>
      <c r="M30" s="51">
        <v>1</v>
      </c>
      <c r="N30" s="51">
        <v>15</v>
      </c>
    </row>
    <row r="31" spans="1:14" x14ac:dyDescent="0.25">
      <c r="A31">
        <v>36</v>
      </c>
      <c r="B31" s="51" t="str">
        <f t="shared" si="0"/>
        <v>Rte 36 Madison Express IB</v>
      </c>
      <c r="C31" s="51" t="str">
        <f t="shared" si="1"/>
        <v>Rte 36 Madison Express</v>
      </c>
      <c r="D31" s="51">
        <f t="shared" si="2"/>
        <v>6</v>
      </c>
      <c r="E31" s="51">
        <f t="shared" si="3"/>
        <v>36</v>
      </c>
      <c r="J31" s="51">
        <v>15</v>
      </c>
      <c r="K31" s="51" t="s">
        <v>646</v>
      </c>
      <c r="L31" s="51">
        <v>4</v>
      </c>
      <c r="M31" s="51">
        <v>1</v>
      </c>
      <c r="N31" s="51">
        <v>15</v>
      </c>
    </row>
    <row r="32" spans="1:14" x14ac:dyDescent="0.25">
      <c r="A32">
        <v>37</v>
      </c>
      <c r="B32" s="51" t="str">
        <f t="shared" si="0"/>
        <v>Rte 37X Tusculum/McMurray EXP IB</v>
      </c>
      <c r="C32" s="51" t="str">
        <f t="shared" si="1"/>
        <v>Rte 37X Tusculum/McMurray EXP</v>
      </c>
      <c r="D32" s="51">
        <f t="shared" si="2"/>
        <v>6</v>
      </c>
      <c r="E32" s="51">
        <f t="shared" si="3"/>
        <v>37</v>
      </c>
      <c r="J32" s="51">
        <v>17</v>
      </c>
      <c r="K32" s="51" t="s">
        <v>647</v>
      </c>
      <c r="L32" s="51">
        <v>4</v>
      </c>
      <c r="M32" s="51">
        <v>1</v>
      </c>
      <c r="N32" s="51">
        <v>17</v>
      </c>
    </row>
    <row r="33" spans="1:14" x14ac:dyDescent="0.25">
      <c r="A33">
        <v>38</v>
      </c>
      <c r="B33" s="51" t="str">
        <f t="shared" si="0"/>
        <v>Rte 38 Antioch Exp IB</v>
      </c>
      <c r="C33" s="51" t="str">
        <f t="shared" si="1"/>
        <v>Rte 38 Antioch Exp</v>
      </c>
      <c r="D33" s="51">
        <f t="shared" si="2"/>
        <v>6</v>
      </c>
      <c r="E33" s="51">
        <f t="shared" si="3"/>
        <v>38</v>
      </c>
      <c r="J33" s="51">
        <v>17</v>
      </c>
      <c r="K33" s="51" t="s">
        <v>648</v>
      </c>
      <c r="L33" s="51">
        <v>4</v>
      </c>
      <c r="M33" s="51">
        <v>1</v>
      </c>
      <c r="N33" s="51">
        <v>17</v>
      </c>
    </row>
    <row r="34" spans="1:14" x14ac:dyDescent="0.25">
      <c r="A34">
        <v>41</v>
      </c>
      <c r="B34" s="51" t="str">
        <f t="shared" si="0"/>
        <v>Rte 41 Golden Valley OB PM</v>
      </c>
      <c r="C34" s="51" t="str">
        <f t="shared" si="1"/>
        <v>Rte 41 Golden Valley OB</v>
      </c>
      <c r="D34" s="51">
        <f t="shared" si="2"/>
        <v>1</v>
      </c>
      <c r="E34" s="51">
        <f t="shared" si="3"/>
        <v>41</v>
      </c>
      <c r="J34" s="51">
        <v>17</v>
      </c>
      <c r="K34" s="51" t="s">
        <v>649</v>
      </c>
      <c r="L34" s="51">
        <v>4</v>
      </c>
      <c r="M34" s="51">
        <v>1</v>
      </c>
      <c r="N34" s="51">
        <v>17</v>
      </c>
    </row>
    <row r="35" spans="1:14" x14ac:dyDescent="0.25">
      <c r="A35">
        <v>42</v>
      </c>
      <c r="B35" s="51" t="str">
        <f t="shared" si="0"/>
        <v>Rte 42 Cecilia/Cumberland IB</v>
      </c>
      <c r="C35" s="51" t="str">
        <f t="shared" si="1"/>
        <v>Rte 42 Cecilia/Cumberland</v>
      </c>
      <c r="D35" s="51">
        <f t="shared" si="2"/>
        <v>1</v>
      </c>
      <c r="E35" s="51">
        <f t="shared" si="3"/>
        <v>42</v>
      </c>
      <c r="J35" s="51">
        <v>17</v>
      </c>
      <c r="K35" s="51" t="s">
        <v>650</v>
      </c>
      <c r="L35" s="51">
        <v>4</v>
      </c>
      <c r="M35" s="51">
        <v>1</v>
      </c>
      <c r="N35" s="51">
        <v>17</v>
      </c>
    </row>
    <row r="36" spans="1:14" x14ac:dyDescent="0.25">
      <c r="A36">
        <v>43</v>
      </c>
      <c r="B36" s="51" t="str">
        <f t="shared" si="0"/>
        <v>Rte 43 Hickory Hills IB</v>
      </c>
      <c r="C36" s="51" t="str">
        <f t="shared" si="1"/>
        <v>Rte 43 Hickory Hills</v>
      </c>
      <c r="D36" s="51">
        <f t="shared" si="2"/>
        <v>1</v>
      </c>
      <c r="E36" s="51">
        <f t="shared" si="3"/>
        <v>43</v>
      </c>
      <c r="J36" s="51">
        <v>18</v>
      </c>
      <c r="K36" s="51" t="s">
        <v>651</v>
      </c>
      <c r="L36" s="51">
        <v>5</v>
      </c>
      <c r="M36" s="51">
        <v>6</v>
      </c>
      <c r="N36" s="51">
        <v>18</v>
      </c>
    </row>
    <row r="37" spans="1:14" x14ac:dyDescent="0.25">
      <c r="A37">
        <v>52</v>
      </c>
      <c r="B37" s="51" t="str">
        <f t="shared" si="0"/>
        <v>Rte 12 Nolensville Rd (Hick) OB</v>
      </c>
      <c r="C37" s="51" t="str">
        <f t="shared" si="1"/>
        <v>Rte 12 Nolensville Rd (Hick)</v>
      </c>
      <c r="D37" s="51">
        <f t="shared" si="2"/>
        <v>1</v>
      </c>
      <c r="E37" s="51">
        <f t="shared" si="3"/>
        <v>12</v>
      </c>
      <c r="J37" s="51">
        <v>18</v>
      </c>
      <c r="K37" s="51" t="s">
        <v>652</v>
      </c>
      <c r="L37" s="51">
        <v>5</v>
      </c>
      <c r="M37" s="51">
        <v>6</v>
      </c>
      <c r="N37" s="51">
        <v>18</v>
      </c>
    </row>
    <row r="38" spans="1:14" x14ac:dyDescent="0.25">
      <c r="A38">
        <v>56</v>
      </c>
      <c r="B38" s="51" t="str">
        <f t="shared" si="0"/>
        <v>Rte 56 Gallatin Rd BRT OB</v>
      </c>
      <c r="C38" s="51" t="str">
        <f t="shared" si="1"/>
        <v>Rte 56 Gallatin Rd BRT</v>
      </c>
      <c r="D38" s="51">
        <f t="shared" si="2"/>
        <v>8</v>
      </c>
      <c r="E38" s="51">
        <f t="shared" si="3"/>
        <v>56</v>
      </c>
      <c r="J38" s="51">
        <v>18</v>
      </c>
      <c r="K38" s="51" t="s">
        <v>653</v>
      </c>
      <c r="L38" s="51">
        <v>4</v>
      </c>
      <c r="M38" s="51">
        <v>1</v>
      </c>
      <c r="N38" s="51">
        <v>18</v>
      </c>
    </row>
    <row r="39" spans="1:14" x14ac:dyDescent="0.25">
      <c r="A39">
        <v>60</v>
      </c>
      <c r="B39" s="51" t="str">
        <f t="shared" si="0"/>
        <v>Rte 60 Music City Blue Circuit</v>
      </c>
      <c r="C39" s="51" t="str">
        <f t="shared" si="1"/>
        <v>Rte 60 Music City Blue Circuit</v>
      </c>
      <c r="D39" s="51">
        <f t="shared" si="2"/>
        <v>1</v>
      </c>
      <c r="E39" s="51">
        <f t="shared" si="3"/>
        <v>60</v>
      </c>
      <c r="J39" s="51">
        <v>18</v>
      </c>
      <c r="K39" s="51" t="s">
        <v>654</v>
      </c>
      <c r="L39" s="51">
        <v>4</v>
      </c>
      <c r="M39" s="51">
        <v>1</v>
      </c>
      <c r="N39" s="51">
        <v>18</v>
      </c>
    </row>
    <row r="40" spans="1:14" x14ac:dyDescent="0.25">
      <c r="A40">
        <v>61</v>
      </c>
      <c r="B40" s="51" t="str">
        <f t="shared" si="0"/>
        <v>Rte 61 Music City Green Circuit</v>
      </c>
      <c r="C40" s="51" t="str">
        <f t="shared" si="1"/>
        <v>Rte 61 Music City Green Circuit</v>
      </c>
      <c r="D40" s="51">
        <f t="shared" si="2"/>
        <v>1</v>
      </c>
      <c r="E40" s="51">
        <f t="shared" si="3"/>
        <v>61</v>
      </c>
      <c r="J40" s="51">
        <v>19</v>
      </c>
      <c r="K40" s="51" t="s">
        <v>655</v>
      </c>
      <c r="L40" s="51">
        <v>4</v>
      </c>
      <c r="M40" s="51">
        <v>1</v>
      </c>
      <c r="N40" s="51">
        <v>19</v>
      </c>
    </row>
    <row r="41" spans="1:14" x14ac:dyDescent="0.25">
      <c r="A41">
        <v>72</v>
      </c>
      <c r="B41" s="51" t="str">
        <f t="shared" si="0"/>
        <v>Rte 72 Edmondson Pike Conn Loop</v>
      </c>
      <c r="C41" s="51" t="str">
        <f t="shared" si="1"/>
        <v>Rte 72 Edmondson Pike Conn Loop</v>
      </c>
      <c r="D41" s="51">
        <f t="shared" si="2"/>
        <v>1</v>
      </c>
      <c r="E41" s="51">
        <f t="shared" si="3"/>
        <v>72</v>
      </c>
      <c r="J41" s="51">
        <v>19</v>
      </c>
      <c r="K41" s="51" t="s">
        <v>656</v>
      </c>
      <c r="L41" s="51">
        <v>4</v>
      </c>
      <c r="M41" s="51">
        <v>1</v>
      </c>
      <c r="N41" s="51">
        <v>19</v>
      </c>
    </row>
    <row r="42" spans="1:14" x14ac:dyDescent="0.25">
      <c r="A42">
        <v>76</v>
      </c>
      <c r="B42" s="51" t="str">
        <f t="shared" si="0"/>
        <v>Rte 76 Madison Conn Anderson</v>
      </c>
      <c r="C42" s="51" t="str">
        <f t="shared" si="1"/>
        <v>Rte 76 Madison Conn Anderson</v>
      </c>
      <c r="D42" s="51">
        <f t="shared" si="2"/>
        <v>1</v>
      </c>
      <c r="E42" s="51">
        <f t="shared" si="3"/>
        <v>76</v>
      </c>
      <c r="J42" s="51">
        <v>20</v>
      </c>
      <c r="K42" s="51" t="s">
        <v>657</v>
      </c>
      <c r="L42" s="51">
        <v>4</v>
      </c>
      <c r="M42" s="51">
        <v>1</v>
      </c>
      <c r="N42" s="51">
        <v>20</v>
      </c>
    </row>
    <row r="43" spans="1:14" x14ac:dyDescent="0.25">
      <c r="A43">
        <v>77</v>
      </c>
      <c r="B43" s="51" t="str">
        <f t="shared" si="0"/>
        <v>Rte 77 Thompson Connector EB</v>
      </c>
      <c r="C43" s="51" t="str">
        <f t="shared" si="1"/>
        <v>Rte 77 Thompson Connector EB</v>
      </c>
      <c r="D43" s="51">
        <f t="shared" si="2"/>
        <v>1</v>
      </c>
      <c r="E43" s="51">
        <f t="shared" si="3"/>
        <v>77</v>
      </c>
      <c r="J43" s="51">
        <v>20</v>
      </c>
      <c r="K43" s="51" t="s">
        <v>658</v>
      </c>
      <c r="L43" s="51">
        <v>4</v>
      </c>
      <c r="M43" s="51">
        <v>1</v>
      </c>
      <c r="N43" s="51">
        <v>20</v>
      </c>
    </row>
    <row r="44" spans="1:14" x14ac:dyDescent="0.25">
      <c r="A44">
        <v>84</v>
      </c>
      <c r="B44" s="51" t="str">
        <f t="shared" si="0"/>
        <v>Rte 84 OB</v>
      </c>
      <c r="C44" s="51" t="str">
        <f t="shared" si="1"/>
        <v>Rte 84</v>
      </c>
      <c r="D44" s="51">
        <f t="shared" si="2"/>
        <v>6</v>
      </c>
      <c r="E44" s="51">
        <f t="shared" si="3"/>
        <v>357</v>
      </c>
      <c r="J44" s="51">
        <v>21</v>
      </c>
      <c r="K44" s="51" t="s">
        <v>659</v>
      </c>
      <c r="L44" s="51">
        <v>4</v>
      </c>
      <c r="M44" s="51">
        <v>1</v>
      </c>
      <c r="N44" s="51">
        <v>21</v>
      </c>
    </row>
    <row r="45" spans="1:14" x14ac:dyDescent="0.25">
      <c r="A45">
        <v>86</v>
      </c>
      <c r="B45" s="51" t="str">
        <f t="shared" si="0"/>
        <v>Rte 86 Smyrna Lavergne Exp OB</v>
      </c>
      <c r="C45" s="51" t="str">
        <f t="shared" si="1"/>
        <v>Rte 86 Smyrna Lavergne Exp</v>
      </c>
      <c r="D45" s="51">
        <f t="shared" si="2"/>
        <v>6</v>
      </c>
      <c r="E45" s="51">
        <f t="shared" si="3"/>
        <v>86</v>
      </c>
      <c r="J45" s="51">
        <v>21</v>
      </c>
      <c r="K45" s="51" t="s">
        <v>660</v>
      </c>
      <c r="L45" s="51">
        <v>4</v>
      </c>
      <c r="M45" s="51">
        <v>1</v>
      </c>
      <c r="N45" s="51">
        <v>21</v>
      </c>
    </row>
    <row r="46" spans="1:14" x14ac:dyDescent="0.25">
      <c r="A46">
        <v>87</v>
      </c>
      <c r="B46" s="51" t="str">
        <f t="shared" si="0"/>
        <v>Rte 87 Gallatin Comm Bus OB</v>
      </c>
      <c r="C46" s="51" t="str">
        <f t="shared" si="1"/>
        <v>Rte 87 Gallatin Comm Bus</v>
      </c>
      <c r="D46" s="51">
        <f t="shared" si="2"/>
        <v>7</v>
      </c>
      <c r="E46" s="51">
        <f t="shared" si="3"/>
        <v>92</v>
      </c>
      <c r="J46" s="51">
        <v>22</v>
      </c>
      <c r="K46" s="51" t="s">
        <v>661</v>
      </c>
      <c r="L46" s="51">
        <v>4</v>
      </c>
      <c r="M46" s="51">
        <v>1</v>
      </c>
      <c r="N46" s="51">
        <v>22</v>
      </c>
    </row>
    <row r="47" spans="1:14" x14ac:dyDescent="0.25">
      <c r="A47">
        <v>89</v>
      </c>
      <c r="B47" s="51" t="str">
        <f t="shared" si="0"/>
        <v>Rte 89 Sprgfield/Joelton Exp IB</v>
      </c>
      <c r="C47" s="51" t="str">
        <f t="shared" si="1"/>
        <v>Rte 89 Sprgfield/Joelton Exp</v>
      </c>
      <c r="D47" s="51">
        <f t="shared" si="2"/>
        <v>6</v>
      </c>
      <c r="E47" s="51">
        <f t="shared" si="3"/>
        <v>89</v>
      </c>
      <c r="J47" s="51">
        <v>22</v>
      </c>
      <c r="K47" s="51" t="s">
        <v>662</v>
      </c>
      <c r="L47" s="51">
        <v>4</v>
      </c>
      <c r="M47" s="51">
        <v>1</v>
      </c>
      <c r="N47" s="51">
        <v>22</v>
      </c>
    </row>
    <row r="48" spans="1:14" x14ac:dyDescent="0.25">
      <c r="A48">
        <v>91</v>
      </c>
      <c r="B48" s="51" t="str">
        <f t="shared" ref="B48:B53" si="4">VLOOKUP(A48,$J:$M,2,FALSE)</f>
        <v>Rte 91 Franklin/Brentwood Exp IB</v>
      </c>
      <c r="C48" s="51" t="str">
        <f t="shared" ref="C48:C53" si="5">IF(ISNUMBER(SEARCH("IB",B48)),LEFT(B48,LEN(B48)-3),IF(ISNUMBER(SEARCH("OB",B48)),LEFT(B48,LEN(B48)-3),B48))</f>
        <v>Rte 91 Franklin/Brentwood Exp</v>
      </c>
      <c r="D48" s="51">
        <f t="shared" ref="D48:D53" si="6">VLOOKUP($A48,$J:$M,4,FALSE)</f>
        <v>6</v>
      </c>
      <c r="E48" s="51">
        <f t="shared" ref="E48:E53" si="7">VLOOKUP($A48,$J:$N,5,FALSE)</f>
        <v>91</v>
      </c>
      <c r="J48" s="51">
        <v>22</v>
      </c>
      <c r="K48" s="51" t="s">
        <v>663</v>
      </c>
      <c r="L48" s="51">
        <v>4</v>
      </c>
      <c r="M48" s="51">
        <v>1</v>
      </c>
      <c r="N48" s="51">
        <v>22</v>
      </c>
    </row>
    <row r="49" spans="1:14" x14ac:dyDescent="0.25">
      <c r="A49">
        <v>92</v>
      </c>
      <c r="B49" s="51" t="str">
        <f t="shared" si="4"/>
        <v>Rte 92 Bus IB</v>
      </c>
      <c r="C49" s="51" t="str">
        <f t="shared" si="5"/>
        <v>Rte 92 Bus</v>
      </c>
      <c r="D49" s="51">
        <f t="shared" si="6"/>
        <v>7</v>
      </c>
      <c r="E49" s="51">
        <f t="shared" si="7"/>
        <v>92</v>
      </c>
      <c r="J49" s="51">
        <v>22</v>
      </c>
      <c r="K49" s="51" t="s">
        <v>664</v>
      </c>
      <c r="L49" s="51">
        <v>4</v>
      </c>
      <c r="M49" s="51">
        <v>1</v>
      </c>
      <c r="N49" s="51">
        <v>22</v>
      </c>
    </row>
    <row r="50" spans="1:14" x14ac:dyDescent="0.25">
      <c r="A50">
        <v>93</v>
      </c>
      <c r="B50" s="51" t="str">
        <f t="shared" si="4"/>
        <v>Rte 201 MCS West End Shuttle</v>
      </c>
      <c r="C50" s="51" t="str">
        <f t="shared" si="5"/>
        <v>Rte 201 MCS West End Shuttle</v>
      </c>
      <c r="D50" s="51">
        <f t="shared" si="6"/>
        <v>11</v>
      </c>
      <c r="E50" s="51">
        <f t="shared" si="7"/>
        <v>201</v>
      </c>
      <c r="J50" s="51">
        <v>23</v>
      </c>
      <c r="K50" s="51" t="s">
        <v>665</v>
      </c>
      <c r="L50" s="51">
        <v>4</v>
      </c>
      <c r="M50" s="51">
        <v>1</v>
      </c>
      <c r="N50" s="51">
        <v>23</v>
      </c>
    </row>
    <row r="51" spans="1:14" x14ac:dyDescent="0.25">
      <c r="A51">
        <v>95</v>
      </c>
      <c r="B51" s="51" t="str">
        <f t="shared" si="4"/>
        <v>Rte 95 Spring Hill Exp OB</v>
      </c>
      <c r="C51" s="51" t="str">
        <f t="shared" si="5"/>
        <v>Rte 95 Spring Hill Exp</v>
      </c>
      <c r="D51" s="51">
        <f t="shared" si="6"/>
        <v>6</v>
      </c>
      <c r="E51" s="51">
        <f t="shared" si="7"/>
        <v>95</v>
      </c>
      <c r="J51" s="51">
        <v>23</v>
      </c>
      <c r="K51" s="51" t="s">
        <v>666</v>
      </c>
      <c r="L51" s="51">
        <v>4</v>
      </c>
      <c r="M51" s="51">
        <v>1</v>
      </c>
      <c r="N51" s="51">
        <v>23</v>
      </c>
    </row>
    <row r="52" spans="1:14" x14ac:dyDescent="0.25">
      <c r="A52">
        <v>96</v>
      </c>
      <c r="B52" s="51" t="str">
        <f t="shared" si="4"/>
        <v>Rte 96 Murfreesboro Comm Bus OB</v>
      </c>
      <c r="C52" s="51" t="str">
        <f t="shared" si="5"/>
        <v>Rte 96 Murfreesboro Comm Bus</v>
      </c>
      <c r="D52" s="51">
        <f t="shared" si="6"/>
        <v>7</v>
      </c>
      <c r="E52" s="51">
        <f t="shared" si="7"/>
        <v>96</v>
      </c>
      <c r="J52" s="51">
        <v>23</v>
      </c>
      <c r="K52" s="51" t="s">
        <v>667</v>
      </c>
      <c r="L52" s="51">
        <v>4</v>
      </c>
      <c r="M52" s="51">
        <v>1</v>
      </c>
      <c r="N52" s="51">
        <v>23</v>
      </c>
    </row>
    <row r="53" spans="1:14" x14ac:dyDescent="0.25">
      <c r="A53">
        <v>301</v>
      </c>
      <c r="B53" t="str">
        <f t="shared" si="4"/>
        <v>Rte 301 Music City Star IB</v>
      </c>
      <c r="C53" t="str">
        <f t="shared" si="5"/>
        <v>Rte 301 Music City Star</v>
      </c>
      <c r="D53">
        <f t="shared" si="6"/>
        <v>12</v>
      </c>
      <c r="E53">
        <f t="shared" si="7"/>
        <v>301</v>
      </c>
      <c r="J53" s="51">
        <v>23</v>
      </c>
      <c r="K53" s="51" t="s">
        <v>668</v>
      </c>
      <c r="L53" s="51">
        <v>4</v>
      </c>
      <c r="M53" s="51">
        <v>1</v>
      </c>
      <c r="N53" s="51">
        <v>23</v>
      </c>
    </row>
    <row r="54" spans="1:14" x14ac:dyDescent="0.25">
      <c r="J54" s="51">
        <v>24</v>
      </c>
      <c r="K54" s="51" t="s">
        <v>669</v>
      </c>
      <c r="L54" s="51">
        <v>5</v>
      </c>
      <c r="M54" s="51">
        <v>6</v>
      </c>
      <c r="N54" s="51">
        <v>24</v>
      </c>
    </row>
    <row r="55" spans="1:14" x14ac:dyDescent="0.25">
      <c r="J55" s="51">
        <v>24</v>
      </c>
      <c r="K55" s="51" t="s">
        <v>670</v>
      </c>
      <c r="L55" s="51">
        <v>5</v>
      </c>
      <c r="M55" s="51">
        <v>6</v>
      </c>
      <c r="N55" s="51">
        <v>24</v>
      </c>
    </row>
    <row r="56" spans="1:14" x14ac:dyDescent="0.25">
      <c r="J56" s="51">
        <v>25</v>
      </c>
      <c r="K56" s="51" t="s">
        <v>671</v>
      </c>
      <c r="L56" s="51">
        <v>4</v>
      </c>
      <c r="M56" s="51">
        <v>1</v>
      </c>
      <c r="N56" s="51">
        <v>25</v>
      </c>
    </row>
    <row r="57" spans="1:14" x14ac:dyDescent="0.25">
      <c r="J57" s="51">
        <v>25</v>
      </c>
      <c r="K57" s="51" t="s">
        <v>672</v>
      </c>
      <c r="L57" s="51">
        <v>4</v>
      </c>
      <c r="M57" s="51">
        <v>1</v>
      </c>
      <c r="N57" s="51">
        <v>25</v>
      </c>
    </row>
    <row r="58" spans="1:14" x14ac:dyDescent="0.25">
      <c r="J58" s="51">
        <v>26</v>
      </c>
      <c r="K58" s="51" t="s">
        <v>673</v>
      </c>
      <c r="L58" s="51">
        <v>4</v>
      </c>
      <c r="M58" s="51">
        <v>1</v>
      </c>
      <c r="N58" s="51">
        <v>26</v>
      </c>
    </row>
    <row r="59" spans="1:14" x14ac:dyDescent="0.25">
      <c r="J59" s="51">
        <v>26</v>
      </c>
      <c r="K59" s="51" t="s">
        <v>674</v>
      </c>
      <c r="L59" s="51">
        <v>4</v>
      </c>
      <c r="M59" s="51">
        <v>1</v>
      </c>
      <c r="N59" s="51">
        <v>26</v>
      </c>
    </row>
    <row r="60" spans="1:14" x14ac:dyDescent="0.25">
      <c r="J60" s="51">
        <v>27</v>
      </c>
      <c r="K60" s="51" t="s">
        <v>675</v>
      </c>
      <c r="L60" s="51">
        <v>4</v>
      </c>
      <c r="M60" s="51">
        <v>1</v>
      </c>
      <c r="N60" s="51">
        <v>27</v>
      </c>
    </row>
    <row r="61" spans="1:14" x14ac:dyDescent="0.25">
      <c r="J61" s="51">
        <v>27</v>
      </c>
      <c r="K61" s="51" t="s">
        <v>676</v>
      </c>
      <c r="L61" s="51">
        <v>4</v>
      </c>
      <c r="M61" s="51">
        <v>1</v>
      </c>
      <c r="N61" s="51">
        <v>27</v>
      </c>
    </row>
    <row r="62" spans="1:14" x14ac:dyDescent="0.25">
      <c r="J62" s="51">
        <v>28</v>
      </c>
      <c r="K62" s="51" t="s">
        <v>677</v>
      </c>
      <c r="L62" s="51">
        <v>4</v>
      </c>
      <c r="M62" s="51">
        <v>1</v>
      </c>
      <c r="N62" s="51">
        <v>28</v>
      </c>
    </row>
    <row r="63" spans="1:14" x14ac:dyDescent="0.25">
      <c r="J63" s="51">
        <v>28</v>
      </c>
      <c r="K63" s="51" t="s">
        <v>678</v>
      </c>
      <c r="L63" s="51">
        <v>4</v>
      </c>
      <c r="M63" s="51">
        <v>1</v>
      </c>
      <c r="N63" s="51">
        <v>28</v>
      </c>
    </row>
    <row r="64" spans="1:14" x14ac:dyDescent="0.25">
      <c r="J64" s="51">
        <v>28</v>
      </c>
      <c r="K64" s="51" t="s">
        <v>679</v>
      </c>
      <c r="L64" s="51">
        <v>4</v>
      </c>
      <c r="M64" s="51">
        <v>1</v>
      </c>
      <c r="N64" s="51">
        <v>28</v>
      </c>
    </row>
    <row r="65" spans="10:14" x14ac:dyDescent="0.25">
      <c r="J65" s="51">
        <v>29</v>
      </c>
      <c r="K65" s="51" t="s">
        <v>680</v>
      </c>
      <c r="L65" s="51">
        <v>4</v>
      </c>
      <c r="M65" s="51">
        <v>1</v>
      </c>
      <c r="N65" s="51">
        <v>29</v>
      </c>
    </row>
    <row r="66" spans="10:14" x14ac:dyDescent="0.25">
      <c r="J66" s="51">
        <v>29</v>
      </c>
      <c r="K66" s="51" t="s">
        <v>681</v>
      </c>
      <c r="L66" s="51">
        <v>4</v>
      </c>
      <c r="M66" s="51">
        <v>1</v>
      </c>
      <c r="N66" s="51">
        <v>29</v>
      </c>
    </row>
    <row r="67" spans="10:14" x14ac:dyDescent="0.25">
      <c r="J67" s="51">
        <v>30</v>
      </c>
      <c r="K67" s="51" t="s">
        <v>682</v>
      </c>
      <c r="L67" s="51">
        <v>4</v>
      </c>
      <c r="M67" s="51">
        <v>1</v>
      </c>
      <c r="N67" s="51">
        <v>30</v>
      </c>
    </row>
    <row r="68" spans="10:14" x14ac:dyDescent="0.25">
      <c r="J68" s="51">
        <v>30</v>
      </c>
      <c r="K68" s="51" t="s">
        <v>683</v>
      </c>
      <c r="L68" s="51">
        <v>4</v>
      </c>
      <c r="M68" s="51">
        <v>1</v>
      </c>
      <c r="N68" s="51">
        <v>30</v>
      </c>
    </row>
    <row r="69" spans="10:14" x14ac:dyDescent="0.25">
      <c r="J69" s="51">
        <v>30</v>
      </c>
      <c r="K69" s="51" t="s">
        <v>684</v>
      </c>
      <c r="L69" s="51">
        <v>4</v>
      </c>
      <c r="M69" s="51">
        <v>1</v>
      </c>
      <c r="N69" s="51">
        <v>30</v>
      </c>
    </row>
    <row r="70" spans="10:14" x14ac:dyDescent="0.25">
      <c r="J70" s="51">
        <v>33</v>
      </c>
      <c r="K70" s="51" t="s">
        <v>685</v>
      </c>
      <c r="L70" s="51">
        <v>5</v>
      </c>
      <c r="M70" s="51">
        <v>6</v>
      </c>
      <c r="N70" s="51">
        <v>33</v>
      </c>
    </row>
    <row r="71" spans="10:14" x14ac:dyDescent="0.25">
      <c r="J71" s="51">
        <v>33</v>
      </c>
      <c r="K71" s="51" t="s">
        <v>686</v>
      </c>
      <c r="L71" s="51">
        <v>5</v>
      </c>
      <c r="M71" s="51">
        <v>6</v>
      </c>
      <c r="N71" s="51">
        <v>33</v>
      </c>
    </row>
    <row r="72" spans="10:14" x14ac:dyDescent="0.25">
      <c r="J72" s="51">
        <v>34</v>
      </c>
      <c r="K72" s="51" t="s">
        <v>687</v>
      </c>
      <c r="L72" s="51">
        <v>4</v>
      </c>
      <c r="M72" s="51">
        <v>1</v>
      </c>
      <c r="N72" s="51">
        <v>34</v>
      </c>
    </row>
    <row r="73" spans="10:14" x14ac:dyDescent="0.25">
      <c r="J73" s="51">
        <v>35</v>
      </c>
      <c r="K73" s="51" t="s">
        <v>688</v>
      </c>
      <c r="L73" s="51">
        <v>5</v>
      </c>
      <c r="M73" s="51">
        <v>6</v>
      </c>
      <c r="N73" s="51">
        <v>35</v>
      </c>
    </row>
    <row r="74" spans="10:14" x14ac:dyDescent="0.25">
      <c r="J74" s="51">
        <v>35</v>
      </c>
      <c r="K74" s="51" t="s">
        <v>689</v>
      </c>
      <c r="L74" s="51">
        <v>5</v>
      </c>
      <c r="M74" s="51">
        <v>6</v>
      </c>
      <c r="N74" s="51">
        <v>35</v>
      </c>
    </row>
    <row r="75" spans="10:14" x14ac:dyDescent="0.25">
      <c r="J75" s="51">
        <v>36</v>
      </c>
      <c r="K75" s="51" t="s">
        <v>690</v>
      </c>
      <c r="L75" s="51">
        <v>5</v>
      </c>
      <c r="M75" s="51">
        <v>6</v>
      </c>
      <c r="N75" s="51">
        <v>36</v>
      </c>
    </row>
    <row r="76" spans="10:14" x14ac:dyDescent="0.25">
      <c r="J76" s="51">
        <v>36</v>
      </c>
      <c r="K76" s="51" t="s">
        <v>691</v>
      </c>
      <c r="L76" s="51">
        <v>5</v>
      </c>
      <c r="M76" s="51">
        <v>6</v>
      </c>
      <c r="N76" s="51">
        <v>36</v>
      </c>
    </row>
    <row r="77" spans="10:14" x14ac:dyDescent="0.25">
      <c r="J77" s="51">
        <v>37</v>
      </c>
      <c r="K77" s="51" t="s">
        <v>692</v>
      </c>
      <c r="L77" s="51">
        <v>5</v>
      </c>
      <c r="M77" s="51">
        <v>6</v>
      </c>
      <c r="N77" s="51">
        <v>37</v>
      </c>
    </row>
    <row r="78" spans="10:14" x14ac:dyDescent="0.25">
      <c r="J78" s="51">
        <v>37</v>
      </c>
      <c r="K78" s="51" t="s">
        <v>693</v>
      </c>
      <c r="L78" s="51">
        <v>5</v>
      </c>
      <c r="M78" s="51">
        <v>6</v>
      </c>
      <c r="N78" s="51">
        <v>37</v>
      </c>
    </row>
    <row r="79" spans="10:14" x14ac:dyDescent="0.25">
      <c r="J79" s="51">
        <v>37</v>
      </c>
      <c r="K79" s="51" t="s">
        <v>694</v>
      </c>
      <c r="L79" s="51">
        <v>5</v>
      </c>
      <c r="M79" s="51">
        <v>6</v>
      </c>
      <c r="N79" s="51">
        <v>37</v>
      </c>
    </row>
    <row r="80" spans="10:14" x14ac:dyDescent="0.25">
      <c r="J80" s="51">
        <v>38</v>
      </c>
      <c r="K80" s="51" t="s">
        <v>695</v>
      </c>
      <c r="L80" s="51">
        <v>5</v>
      </c>
      <c r="M80" s="51">
        <v>6</v>
      </c>
      <c r="N80" s="51">
        <v>38</v>
      </c>
    </row>
    <row r="81" spans="10:14" x14ac:dyDescent="0.25">
      <c r="J81" s="51">
        <v>38</v>
      </c>
      <c r="K81" s="51" t="s">
        <v>696</v>
      </c>
      <c r="L81" s="51">
        <v>5</v>
      </c>
      <c r="M81" s="51">
        <v>6</v>
      </c>
      <c r="N81" s="51">
        <v>38</v>
      </c>
    </row>
    <row r="82" spans="10:14" x14ac:dyDescent="0.25">
      <c r="J82" s="51">
        <v>39</v>
      </c>
      <c r="K82" s="51" t="s">
        <v>697</v>
      </c>
      <c r="L82" s="51">
        <v>5</v>
      </c>
      <c r="M82" s="51">
        <v>6</v>
      </c>
      <c r="N82" s="51">
        <v>39</v>
      </c>
    </row>
    <row r="83" spans="10:14" x14ac:dyDescent="0.25">
      <c r="J83" s="51">
        <v>39</v>
      </c>
      <c r="K83" s="51" t="s">
        <v>698</v>
      </c>
      <c r="L83" s="51">
        <v>5</v>
      </c>
      <c r="M83" s="51">
        <v>6</v>
      </c>
      <c r="N83" s="51">
        <v>39</v>
      </c>
    </row>
    <row r="84" spans="10:14" x14ac:dyDescent="0.25">
      <c r="J84" s="51">
        <v>41</v>
      </c>
      <c r="K84" s="51" t="s">
        <v>699</v>
      </c>
      <c r="L84" s="51">
        <v>4</v>
      </c>
      <c r="M84" s="51">
        <v>1</v>
      </c>
      <c r="N84" s="51">
        <v>41</v>
      </c>
    </row>
    <row r="85" spans="10:14" x14ac:dyDescent="0.25">
      <c r="J85" s="51">
        <v>41</v>
      </c>
      <c r="K85" s="51" t="s">
        <v>700</v>
      </c>
      <c r="L85" s="51">
        <v>4</v>
      </c>
      <c r="M85" s="51">
        <v>1</v>
      </c>
      <c r="N85" s="51">
        <v>41</v>
      </c>
    </row>
    <row r="86" spans="10:14" x14ac:dyDescent="0.25">
      <c r="J86" s="51">
        <v>41</v>
      </c>
      <c r="K86" s="51" t="s">
        <v>701</v>
      </c>
      <c r="L86" s="51">
        <v>4</v>
      </c>
      <c r="M86" s="51">
        <v>1</v>
      </c>
      <c r="N86" s="51">
        <v>41</v>
      </c>
    </row>
    <row r="87" spans="10:14" x14ac:dyDescent="0.25">
      <c r="J87" s="51">
        <v>41</v>
      </c>
      <c r="K87" s="51" t="s">
        <v>702</v>
      </c>
      <c r="L87" s="51">
        <v>4</v>
      </c>
      <c r="M87" s="51">
        <v>1</v>
      </c>
      <c r="N87" s="51">
        <v>41</v>
      </c>
    </row>
    <row r="88" spans="10:14" x14ac:dyDescent="0.25">
      <c r="J88" s="51">
        <v>42</v>
      </c>
      <c r="K88" s="51" t="s">
        <v>703</v>
      </c>
      <c r="L88" s="51">
        <v>4</v>
      </c>
      <c r="M88" s="51">
        <v>1</v>
      </c>
      <c r="N88" s="51">
        <v>42</v>
      </c>
    </row>
    <row r="89" spans="10:14" x14ac:dyDescent="0.25">
      <c r="J89" s="51">
        <v>42</v>
      </c>
      <c r="K89" s="51" t="s">
        <v>704</v>
      </c>
      <c r="L89" s="51">
        <v>4</v>
      </c>
      <c r="M89" s="51">
        <v>1</v>
      </c>
      <c r="N89" s="51">
        <v>42</v>
      </c>
    </row>
    <row r="90" spans="10:14" x14ac:dyDescent="0.25">
      <c r="J90" s="51">
        <v>43</v>
      </c>
      <c r="K90" s="51" t="s">
        <v>705</v>
      </c>
      <c r="L90" s="51">
        <v>4</v>
      </c>
      <c r="M90" s="51">
        <v>1</v>
      </c>
      <c r="N90" s="51">
        <v>43</v>
      </c>
    </row>
    <row r="91" spans="10:14" x14ac:dyDescent="0.25">
      <c r="J91" s="51">
        <v>43</v>
      </c>
      <c r="K91" s="51" t="s">
        <v>706</v>
      </c>
      <c r="L91" s="51">
        <v>4</v>
      </c>
      <c r="M91" s="51">
        <v>1</v>
      </c>
      <c r="N91" s="51">
        <v>43</v>
      </c>
    </row>
    <row r="92" spans="10:14" x14ac:dyDescent="0.25">
      <c r="J92" s="51">
        <v>44</v>
      </c>
      <c r="K92" s="51" t="s">
        <v>707</v>
      </c>
      <c r="L92" s="51">
        <v>4</v>
      </c>
      <c r="M92" s="51">
        <v>1</v>
      </c>
      <c r="N92" s="51">
        <v>44</v>
      </c>
    </row>
    <row r="93" spans="10:14" x14ac:dyDescent="0.25">
      <c r="J93" s="51">
        <v>44</v>
      </c>
      <c r="K93" s="51" t="s">
        <v>708</v>
      </c>
      <c r="L93" s="51">
        <v>4</v>
      </c>
      <c r="M93" s="51">
        <v>1</v>
      </c>
      <c r="N93" s="51">
        <v>44</v>
      </c>
    </row>
    <row r="94" spans="10:14" x14ac:dyDescent="0.25">
      <c r="J94" s="51">
        <v>56</v>
      </c>
      <c r="K94" s="51" t="s">
        <v>709</v>
      </c>
      <c r="L94" s="51">
        <v>7</v>
      </c>
      <c r="M94" s="51">
        <v>8</v>
      </c>
      <c r="N94" s="51">
        <v>56</v>
      </c>
    </row>
    <row r="95" spans="10:14" x14ac:dyDescent="0.25">
      <c r="J95" s="51">
        <v>56</v>
      </c>
      <c r="K95" s="51" t="s">
        <v>710</v>
      </c>
      <c r="L95" s="51">
        <v>7</v>
      </c>
      <c r="M95" s="51">
        <v>8</v>
      </c>
      <c r="N95" s="51">
        <v>56</v>
      </c>
    </row>
    <row r="96" spans="10:14" x14ac:dyDescent="0.25">
      <c r="J96" s="51">
        <v>60</v>
      </c>
      <c r="K96" s="51" t="s">
        <v>711</v>
      </c>
      <c r="L96" s="51">
        <v>4</v>
      </c>
      <c r="M96" s="51">
        <v>1</v>
      </c>
      <c r="N96" s="51">
        <v>60</v>
      </c>
    </row>
    <row r="97" spans="10:14" x14ac:dyDescent="0.25">
      <c r="J97" s="51">
        <v>61</v>
      </c>
      <c r="K97" s="51" t="s">
        <v>712</v>
      </c>
      <c r="L97" s="51">
        <v>4</v>
      </c>
      <c r="M97" s="51">
        <v>1</v>
      </c>
      <c r="N97" s="51">
        <v>61</v>
      </c>
    </row>
    <row r="98" spans="10:14" x14ac:dyDescent="0.25">
      <c r="J98" s="51">
        <v>62</v>
      </c>
      <c r="K98" s="51" t="s">
        <v>713</v>
      </c>
      <c r="L98" s="51">
        <v>4</v>
      </c>
      <c r="M98" s="51">
        <v>1</v>
      </c>
      <c r="N98" s="51">
        <v>62</v>
      </c>
    </row>
    <row r="99" spans="10:14" x14ac:dyDescent="0.25">
      <c r="J99" s="51">
        <v>72</v>
      </c>
      <c r="K99" s="51" t="s">
        <v>714</v>
      </c>
      <c r="L99" s="51">
        <v>4</v>
      </c>
      <c r="M99" s="51">
        <v>1</v>
      </c>
      <c r="N99" s="51">
        <v>72</v>
      </c>
    </row>
    <row r="100" spans="10:14" x14ac:dyDescent="0.25">
      <c r="J100" s="51">
        <v>76</v>
      </c>
      <c r="K100" s="51" t="s">
        <v>715</v>
      </c>
      <c r="L100" s="51">
        <v>4</v>
      </c>
      <c r="M100" s="51">
        <v>1</v>
      </c>
      <c r="N100" s="51">
        <v>76</v>
      </c>
    </row>
    <row r="101" spans="10:14" x14ac:dyDescent="0.25">
      <c r="J101" s="51">
        <v>76</v>
      </c>
      <c r="K101" s="51" t="s">
        <v>716</v>
      </c>
      <c r="L101" s="51">
        <v>4</v>
      </c>
      <c r="M101" s="51">
        <v>1</v>
      </c>
      <c r="N101" s="51">
        <v>76</v>
      </c>
    </row>
    <row r="102" spans="10:14" x14ac:dyDescent="0.25">
      <c r="J102" s="51">
        <v>77</v>
      </c>
      <c r="K102" s="51" t="s">
        <v>717</v>
      </c>
      <c r="L102" s="51">
        <v>4</v>
      </c>
      <c r="M102" s="51">
        <v>1</v>
      </c>
      <c r="N102" s="51">
        <v>77</v>
      </c>
    </row>
    <row r="103" spans="10:14" x14ac:dyDescent="0.25">
      <c r="J103" s="51">
        <v>77</v>
      </c>
      <c r="K103" s="51" t="s">
        <v>718</v>
      </c>
      <c r="L103" s="51">
        <v>4</v>
      </c>
      <c r="M103" s="51">
        <v>1</v>
      </c>
      <c r="N103" s="51">
        <v>77</v>
      </c>
    </row>
    <row r="104" spans="10:14" x14ac:dyDescent="0.25">
      <c r="J104" s="51">
        <v>86</v>
      </c>
      <c r="K104" s="51" t="s">
        <v>719</v>
      </c>
      <c r="L104" s="51">
        <v>5</v>
      </c>
      <c r="M104" s="51">
        <v>6</v>
      </c>
      <c r="N104" s="51">
        <v>86</v>
      </c>
    </row>
    <row r="105" spans="10:14" x14ac:dyDescent="0.25">
      <c r="J105" s="51">
        <v>86</v>
      </c>
      <c r="K105" s="51" t="s">
        <v>720</v>
      </c>
      <c r="L105" s="51">
        <v>5</v>
      </c>
      <c r="M105" s="51">
        <v>6</v>
      </c>
      <c r="N105" s="51">
        <v>86</v>
      </c>
    </row>
    <row r="106" spans="10:14" x14ac:dyDescent="0.25">
      <c r="J106" s="51">
        <v>89</v>
      </c>
      <c r="K106" s="51" t="s">
        <v>721</v>
      </c>
      <c r="L106" s="51">
        <v>5</v>
      </c>
      <c r="M106" s="51">
        <v>6</v>
      </c>
      <c r="N106" s="51">
        <v>89</v>
      </c>
    </row>
    <row r="107" spans="10:14" x14ac:dyDescent="0.25">
      <c r="J107" s="51">
        <v>89</v>
      </c>
      <c r="K107" s="51" t="s">
        <v>722</v>
      </c>
      <c r="L107" s="51">
        <v>5</v>
      </c>
      <c r="M107" s="51">
        <v>6</v>
      </c>
      <c r="N107" s="51">
        <v>89</v>
      </c>
    </row>
    <row r="108" spans="10:14" x14ac:dyDescent="0.25">
      <c r="J108" s="51">
        <v>91</v>
      </c>
      <c r="K108" s="51" t="s">
        <v>723</v>
      </c>
      <c r="L108" s="51">
        <v>5</v>
      </c>
      <c r="M108" s="51">
        <v>6</v>
      </c>
      <c r="N108" s="51">
        <v>91</v>
      </c>
    </row>
    <row r="109" spans="10:14" x14ac:dyDescent="0.25">
      <c r="J109" s="51">
        <v>91</v>
      </c>
      <c r="K109" s="51" t="s">
        <v>724</v>
      </c>
      <c r="L109" s="51">
        <v>5</v>
      </c>
      <c r="M109" s="51">
        <v>6</v>
      </c>
      <c r="N109" s="51">
        <v>91</v>
      </c>
    </row>
    <row r="110" spans="10:14" x14ac:dyDescent="0.25">
      <c r="J110" s="51">
        <v>87</v>
      </c>
      <c r="K110" s="51" t="s">
        <v>725</v>
      </c>
      <c r="L110" s="51">
        <v>5</v>
      </c>
      <c r="M110" s="51">
        <v>7</v>
      </c>
      <c r="N110" s="51">
        <v>92</v>
      </c>
    </row>
    <row r="111" spans="10:14" x14ac:dyDescent="0.25">
      <c r="J111" s="51">
        <v>87</v>
      </c>
      <c r="K111" s="51" t="s">
        <v>726</v>
      </c>
      <c r="L111" s="51">
        <v>5</v>
      </c>
      <c r="M111" s="51">
        <v>7</v>
      </c>
      <c r="N111" s="51">
        <v>92</v>
      </c>
    </row>
    <row r="112" spans="10:14" x14ac:dyDescent="0.25">
      <c r="J112" s="51">
        <v>92</v>
      </c>
      <c r="K112" s="51" t="s">
        <v>727</v>
      </c>
      <c r="L112" s="51">
        <v>5</v>
      </c>
      <c r="M112" s="51">
        <v>7</v>
      </c>
      <c r="N112" s="51">
        <v>92</v>
      </c>
    </row>
    <row r="113" spans="10:14" x14ac:dyDescent="0.25">
      <c r="J113" s="51">
        <v>92</v>
      </c>
      <c r="K113" s="51" t="s">
        <v>728</v>
      </c>
      <c r="L113" s="51">
        <v>5</v>
      </c>
      <c r="M113" s="51">
        <v>7</v>
      </c>
      <c r="N113" s="51">
        <v>92</v>
      </c>
    </row>
    <row r="114" spans="10:14" x14ac:dyDescent="0.25">
      <c r="J114" s="51">
        <v>95</v>
      </c>
      <c r="K114" s="51" t="s">
        <v>729</v>
      </c>
      <c r="L114" s="51">
        <v>5</v>
      </c>
      <c r="M114" s="51">
        <v>6</v>
      </c>
      <c r="N114" s="51">
        <v>95</v>
      </c>
    </row>
    <row r="115" spans="10:14" x14ac:dyDescent="0.25">
      <c r="J115" s="51">
        <v>95</v>
      </c>
      <c r="K115" s="51" t="s">
        <v>730</v>
      </c>
      <c r="L115" s="51">
        <v>5</v>
      </c>
      <c r="M115" s="51">
        <v>6</v>
      </c>
      <c r="N115" s="51">
        <v>95</v>
      </c>
    </row>
    <row r="116" spans="10:14" x14ac:dyDescent="0.25">
      <c r="J116" s="51">
        <v>96</v>
      </c>
      <c r="K116" s="51" t="s">
        <v>731</v>
      </c>
      <c r="L116" s="51">
        <v>5</v>
      </c>
      <c r="M116" s="51">
        <v>7</v>
      </c>
      <c r="N116" s="51">
        <v>96</v>
      </c>
    </row>
    <row r="117" spans="10:14" x14ac:dyDescent="0.25">
      <c r="J117" s="51">
        <v>96</v>
      </c>
      <c r="K117" s="51" t="s">
        <v>732</v>
      </c>
      <c r="L117" s="51">
        <v>5</v>
      </c>
      <c r="M117" s="51">
        <v>7</v>
      </c>
      <c r="N117" s="51">
        <v>96</v>
      </c>
    </row>
    <row r="118" spans="10:14" x14ac:dyDescent="0.25">
      <c r="J118" s="51">
        <v>96</v>
      </c>
      <c r="K118" s="51" t="s">
        <v>733</v>
      </c>
      <c r="L118" s="51">
        <v>5</v>
      </c>
      <c r="M118" s="51">
        <v>6</v>
      </c>
      <c r="N118" s="51">
        <v>96</v>
      </c>
    </row>
    <row r="119" spans="10:14" x14ac:dyDescent="0.25">
      <c r="J119" s="51">
        <v>96</v>
      </c>
      <c r="K119" s="51" t="s">
        <v>734</v>
      </c>
      <c r="L119" s="51">
        <v>5</v>
      </c>
      <c r="M119" s="51">
        <v>6</v>
      </c>
      <c r="N119" s="51">
        <v>96</v>
      </c>
    </row>
    <row r="120" spans="10:14" x14ac:dyDescent="0.25">
      <c r="K120" s="51" t="s">
        <v>735</v>
      </c>
      <c r="L120" s="51">
        <v>4</v>
      </c>
      <c r="M120" s="51">
        <v>2</v>
      </c>
      <c r="N120" s="51">
        <v>101</v>
      </c>
    </row>
    <row r="121" spans="10:14" x14ac:dyDescent="0.25">
      <c r="K121" s="51" t="s">
        <v>736</v>
      </c>
      <c r="L121" s="51">
        <v>4</v>
      </c>
      <c r="M121" s="51">
        <v>2</v>
      </c>
      <c r="N121" s="51">
        <v>101</v>
      </c>
    </row>
    <row r="122" spans="10:14" x14ac:dyDescent="0.25">
      <c r="K122" s="51" t="s">
        <v>737</v>
      </c>
      <c r="L122" s="51">
        <v>4</v>
      </c>
      <c r="M122" s="51">
        <v>2</v>
      </c>
      <c r="N122" s="51">
        <v>101</v>
      </c>
    </row>
    <row r="123" spans="10:14" x14ac:dyDescent="0.25">
      <c r="K123" s="51" t="s">
        <v>738</v>
      </c>
      <c r="L123" s="51">
        <v>4</v>
      </c>
      <c r="M123" s="51">
        <v>2</v>
      </c>
      <c r="N123" s="51">
        <v>101</v>
      </c>
    </row>
    <row r="124" spans="10:14" x14ac:dyDescent="0.25">
      <c r="K124" s="51" t="s">
        <v>739</v>
      </c>
      <c r="L124" s="51">
        <v>4</v>
      </c>
      <c r="M124" s="51">
        <v>2</v>
      </c>
      <c r="N124" s="51">
        <v>101</v>
      </c>
    </row>
    <row r="125" spans="10:14" x14ac:dyDescent="0.25">
      <c r="K125" s="51" t="s">
        <v>740</v>
      </c>
      <c r="L125" s="51">
        <v>4</v>
      </c>
      <c r="M125" s="51">
        <v>2</v>
      </c>
      <c r="N125" s="51">
        <v>101</v>
      </c>
    </row>
    <row r="126" spans="10:14" x14ac:dyDescent="0.25">
      <c r="K126" s="51" t="s">
        <v>741</v>
      </c>
      <c r="L126" s="51">
        <v>4</v>
      </c>
      <c r="M126" s="51">
        <v>2</v>
      </c>
      <c r="N126" s="51">
        <v>101</v>
      </c>
    </row>
    <row r="127" spans="10:14" x14ac:dyDescent="0.25">
      <c r="K127" s="51" t="s">
        <v>742</v>
      </c>
      <c r="L127" s="51">
        <v>4</v>
      </c>
      <c r="M127" s="51">
        <v>2</v>
      </c>
      <c r="N127" s="51">
        <v>101</v>
      </c>
    </row>
    <row r="128" spans="10:14" x14ac:dyDescent="0.25">
      <c r="K128" s="51" t="s">
        <v>743</v>
      </c>
      <c r="L128" s="51">
        <v>4</v>
      </c>
      <c r="M128" s="51">
        <v>3</v>
      </c>
      <c r="N128" s="51">
        <v>111</v>
      </c>
    </row>
    <row r="129" spans="10:14" x14ac:dyDescent="0.25">
      <c r="K129" s="51" t="s">
        <v>744</v>
      </c>
      <c r="L129" s="51">
        <v>4</v>
      </c>
      <c r="M129" s="51">
        <v>3</v>
      </c>
      <c r="N129" s="51">
        <v>111</v>
      </c>
    </row>
    <row r="130" spans="10:14" x14ac:dyDescent="0.25">
      <c r="J130" s="51">
        <v>93</v>
      </c>
      <c r="K130" s="51" t="s">
        <v>745</v>
      </c>
      <c r="L130" s="51">
        <v>4</v>
      </c>
      <c r="M130" s="51">
        <v>11</v>
      </c>
      <c r="N130" s="51">
        <v>201</v>
      </c>
    </row>
    <row r="131" spans="10:14" x14ac:dyDescent="0.25">
      <c r="J131" s="51">
        <v>301</v>
      </c>
      <c r="K131" s="51" t="s">
        <v>746</v>
      </c>
      <c r="L131" s="51">
        <v>6</v>
      </c>
      <c r="M131" s="51">
        <v>12</v>
      </c>
      <c r="N131" s="51">
        <v>301</v>
      </c>
    </row>
    <row r="132" spans="10:14" x14ac:dyDescent="0.25">
      <c r="J132" s="51">
        <v>301</v>
      </c>
      <c r="K132" s="51" t="s">
        <v>747</v>
      </c>
      <c r="L132" s="51">
        <v>6</v>
      </c>
      <c r="M132" s="51">
        <v>12</v>
      </c>
      <c r="N132" s="51">
        <v>301</v>
      </c>
    </row>
    <row r="133" spans="10:14" x14ac:dyDescent="0.25">
      <c r="K133" s="51" t="s">
        <v>748</v>
      </c>
      <c r="L133" s="51">
        <v>4</v>
      </c>
      <c r="M133" s="51">
        <v>2</v>
      </c>
      <c r="N133" s="51">
        <v>350</v>
      </c>
    </row>
    <row r="134" spans="10:14" x14ac:dyDescent="0.25">
      <c r="K134" s="51" t="s">
        <v>749</v>
      </c>
      <c r="L134" s="51">
        <v>4</v>
      </c>
      <c r="M134" s="51">
        <v>2</v>
      </c>
      <c r="N134" s="51">
        <v>351</v>
      </c>
    </row>
    <row r="135" spans="10:14" x14ac:dyDescent="0.25">
      <c r="K135" s="51" t="s">
        <v>750</v>
      </c>
      <c r="L135" s="51">
        <v>4</v>
      </c>
      <c r="M135" s="51">
        <v>2</v>
      </c>
      <c r="N135" s="51">
        <v>352</v>
      </c>
    </row>
    <row r="136" spans="10:14" x14ac:dyDescent="0.25">
      <c r="K136" s="51" t="s">
        <v>751</v>
      </c>
      <c r="L136" s="51">
        <v>4</v>
      </c>
      <c r="M136" s="51">
        <v>2</v>
      </c>
      <c r="N136" s="51">
        <v>353</v>
      </c>
    </row>
    <row r="137" spans="10:14" x14ac:dyDescent="0.25">
      <c r="K137" s="51" t="s">
        <v>752</v>
      </c>
      <c r="L137" s="51">
        <v>4</v>
      </c>
      <c r="M137" s="51">
        <v>2</v>
      </c>
      <c r="N137" s="51">
        <v>354</v>
      </c>
    </row>
    <row r="138" spans="10:14" x14ac:dyDescent="0.25">
      <c r="K138" s="51" t="s">
        <v>753</v>
      </c>
      <c r="L138" s="51">
        <v>4</v>
      </c>
      <c r="M138" s="51">
        <v>2</v>
      </c>
      <c r="N138" s="51">
        <v>355</v>
      </c>
    </row>
    <row r="139" spans="10:14" x14ac:dyDescent="0.25">
      <c r="K139" s="51" t="s">
        <v>754</v>
      </c>
      <c r="L139" s="51">
        <v>4</v>
      </c>
      <c r="M139" s="51">
        <v>2</v>
      </c>
      <c r="N139" s="51">
        <v>356</v>
      </c>
    </row>
    <row r="140" spans="10:14" x14ac:dyDescent="0.25">
      <c r="J140" s="51">
        <v>84</v>
      </c>
      <c r="K140" s="51" t="s">
        <v>755</v>
      </c>
      <c r="L140" s="51">
        <v>5</v>
      </c>
      <c r="M140" s="51">
        <v>6</v>
      </c>
      <c r="N140" s="51">
        <v>357</v>
      </c>
    </row>
    <row r="141" spans="10:14" x14ac:dyDescent="0.25">
      <c r="J141" s="51">
        <v>84</v>
      </c>
      <c r="K141" s="51" t="s">
        <v>756</v>
      </c>
      <c r="L141" s="51">
        <v>5</v>
      </c>
      <c r="M141" s="51">
        <v>6</v>
      </c>
      <c r="N141" s="51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BoardingByRoute_All</vt:lpstr>
      <vt:lpstr>PrilimTable</vt:lpstr>
      <vt:lpstr>Aggregated_Transit_Final_V2</vt:lpstr>
      <vt:lpstr>BoardingByRoute_ABM</vt:lpstr>
      <vt:lpstr>TrnStat.asc</vt:lpstr>
      <vt:lpstr>OBS_RteName</vt:lpstr>
      <vt:lpstr>ABM_RteName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 Dhakar</dc:creator>
  <cp:lastModifiedBy>Nagendra Dhakar</cp:lastModifiedBy>
  <dcterms:created xsi:type="dcterms:W3CDTF">2015-08-26T21:05:32Z</dcterms:created>
  <dcterms:modified xsi:type="dcterms:W3CDTF">2020-06-01T17:19:25Z</dcterms:modified>
</cp:coreProperties>
</file>