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amirkouei_uidaho_edu/Documents/9. Students/24. Becca Brown/Chpt 3/"/>
    </mc:Choice>
  </mc:AlternateContent>
  <xr:revisionPtr revIDLastSave="1881" documentId="13_ncr:1_{A2BD9531-CC5F-FE47-B4FC-F3B90B8F3E8A}" xr6:coauthVersionLast="47" xr6:coauthVersionMax="47" xr10:uidLastSave="{FA61B5FA-E65C-B34E-84F6-A87A19D39BCE}"/>
  <bookViews>
    <workbookView xWindow="1120" yWindow="760" windowWidth="14060" windowHeight="18880" firstSheet="7" activeTab="8" xr2:uid="{8FD3E1D2-69CD-E44E-A730-1D445EB0B173}"/>
  </bookViews>
  <sheets>
    <sheet name="Lab scale materials and energy" sheetId="1" r:id="rId1"/>
    <sheet name="Lab scale emissions" sheetId="4" r:id="rId2"/>
    <sheet name="Lab scale materials calculation" sheetId="3" r:id="rId3"/>
    <sheet name="Batch ultrasound" sheetId="8" r:id="rId4"/>
    <sheet name="Scale up information" sheetId="2" r:id="rId5"/>
    <sheet name="Full scale material calculation" sheetId="6" r:id="rId6"/>
    <sheet name="Full scale materials and energy" sheetId="5" r:id="rId7"/>
    <sheet name="Sensitivity analysis" sheetId="9" r:id="rId8"/>
    <sheet name="Comparison with other studies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0" l="1"/>
  <c r="E4" i="10"/>
  <c r="C3" i="10"/>
  <c r="E3" i="10" s="1"/>
  <c r="C2" i="10"/>
  <c r="E2" i="10" s="1"/>
  <c r="P41" i="9"/>
  <c r="F23" i="9"/>
  <c r="N32" i="9" s="1"/>
  <c r="I46" i="9"/>
  <c r="I45" i="9"/>
  <c r="L50" i="9"/>
  <c r="I42" i="5"/>
  <c r="D2" i="10" l="1"/>
  <c r="D3" i="10"/>
  <c r="R13" i="9"/>
  <c r="O32" i="9"/>
  <c r="M50" i="9"/>
  <c r="I4" i="8"/>
  <c r="M51" i="9"/>
  <c r="L51" i="9"/>
  <c r="R14" i="9"/>
  <c r="O33" i="9"/>
  <c r="M28" i="9"/>
  <c r="M27" i="9"/>
  <c r="I28" i="9"/>
  <c r="I27" i="9"/>
  <c r="N33" i="9"/>
  <c r="F22" i="9"/>
  <c r="F21" i="9"/>
  <c r="Q14" i="9"/>
  <c r="Q13" i="9"/>
  <c r="M4" i="6"/>
  <c r="K4" i="6"/>
  <c r="F4" i="5"/>
  <c r="I41" i="5"/>
  <c r="K41" i="5" s="1"/>
  <c r="L34" i="5"/>
  <c r="M34" i="5" s="1"/>
  <c r="J42" i="5"/>
  <c r="E2" i="8"/>
  <c r="H48" i="5"/>
  <c r="M41" i="5"/>
  <c r="I43" i="5"/>
  <c r="J43" i="5" s="1"/>
  <c r="J10" i="8"/>
  <c r="I10" i="8"/>
  <c r="H41" i="5" s="1"/>
  <c r="J41" i="5" l="1"/>
  <c r="L35" i="5"/>
  <c r="N35" i="5" s="1"/>
  <c r="N34" i="5"/>
  <c r="H18" i="3"/>
  <c r="H12" i="3"/>
  <c r="H17" i="3"/>
  <c r="G18" i="3"/>
  <c r="G17" i="3"/>
  <c r="H11" i="3"/>
  <c r="M35" i="5" l="1"/>
  <c r="N26" i="5"/>
  <c r="N27" i="5"/>
  <c r="N17" i="1"/>
  <c r="N15" i="5"/>
  <c r="N14" i="5"/>
  <c r="I4" i="3"/>
  <c r="I4" i="6"/>
  <c r="I5" i="6"/>
  <c r="J5" i="6" s="1"/>
  <c r="M5" i="6" s="1"/>
  <c r="N5" i="6" s="1"/>
  <c r="I3" i="6"/>
  <c r="B4" i="6"/>
  <c r="D4" i="6" s="1"/>
  <c r="D3" i="6"/>
  <c r="G17" i="1"/>
  <c r="L10" i="5"/>
  <c r="L22" i="5" s="1"/>
  <c r="L9" i="5"/>
  <c r="L21" i="5" s="1"/>
  <c r="D27" i="5"/>
  <c r="D13" i="5"/>
  <c r="D26" i="5"/>
  <c r="D24" i="5"/>
  <c r="D23" i="5"/>
  <c r="D19" i="5"/>
  <c r="D12" i="5"/>
  <c r="D10" i="5"/>
  <c r="D9" i="5"/>
  <c r="D5" i="5"/>
  <c r="N12" i="1"/>
  <c r="N13" i="1"/>
  <c r="N14" i="1"/>
  <c r="P12" i="1"/>
  <c r="G13" i="1"/>
  <c r="M12" i="1"/>
  <c r="H12" i="1"/>
  <c r="G12" i="1"/>
  <c r="B20" i="1"/>
  <c r="J12" i="1"/>
  <c r="D18" i="1"/>
  <c r="D2" i="3"/>
  <c r="L8" i="3"/>
  <c r="G14" i="1"/>
  <c r="B12" i="4"/>
  <c r="B13" i="4"/>
  <c r="B14" i="4"/>
  <c r="J10" i="5" l="1"/>
  <c r="J22" i="5" s="1"/>
  <c r="K43" i="5" s="1"/>
  <c r="O9" i="5"/>
  <c r="D4" i="5"/>
  <c r="E4" i="5" s="1"/>
  <c r="O10" i="5"/>
  <c r="D18" i="5"/>
  <c r="E18" i="5" s="1"/>
  <c r="J9" i="5"/>
  <c r="J21" i="5" s="1"/>
  <c r="K42" i="5" s="1"/>
  <c r="O22" i="5"/>
  <c r="O21" i="5"/>
  <c r="J4" i="6"/>
  <c r="N4" i="6"/>
  <c r="K5" i="6"/>
  <c r="K3" i="1"/>
  <c r="J3" i="1"/>
  <c r="B9" i="4"/>
  <c r="H14" i="1"/>
  <c r="F4" i="4"/>
  <c r="F3" i="4"/>
  <c r="F2" i="4"/>
  <c r="E3" i="4"/>
  <c r="E2" i="4"/>
  <c r="B8" i="4" s="1"/>
  <c r="D4" i="4"/>
  <c r="E4" i="4" s="1"/>
  <c r="B10" i="4" s="1"/>
  <c r="D3" i="4"/>
  <c r="D2" i="4"/>
  <c r="H13" i="3"/>
  <c r="G13" i="3"/>
  <c r="G11" i="3"/>
  <c r="I7" i="3"/>
  <c r="G7" i="3"/>
  <c r="I14" i="1"/>
  <c r="I13" i="1"/>
  <c r="I12" i="1"/>
  <c r="H49" i="5" l="1"/>
  <c r="D7" i="5"/>
  <c r="O14" i="5" s="1"/>
  <c r="O26" i="5" s="1"/>
  <c r="D21" i="5"/>
  <c r="D20" i="5"/>
  <c r="D25" i="5"/>
  <c r="D22" i="5"/>
  <c r="D11" i="5"/>
  <c r="D8" i="5"/>
  <c r="D6" i="5"/>
  <c r="M19" i="1"/>
  <c r="M18" i="1"/>
  <c r="M17" i="1"/>
  <c r="O17" i="1" s="1"/>
  <c r="R17" i="1" s="1"/>
  <c r="D3" i="3"/>
  <c r="L3" i="3"/>
  <c r="M3" i="3" s="1"/>
  <c r="L4" i="3"/>
  <c r="M4" i="3" s="1"/>
  <c r="J3" i="3"/>
  <c r="J4" i="3"/>
  <c r="B3" i="3"/>
  <c r="L12" i="1"/>
  <c r="D3" i="2"/>
  <c r="E3" i="2" s="1"/>
  <c r="D2" i="2"/>
  <c r="E2" i="2" s="1"/>
  <c r="G7" i="1"/>
  <c r="B39" i="1" s="1"/>
  <c r="E7" i="1"/>
  <c r="B33" i="1"/>
  <c r="B35" i="1" s="1"/>
  <c r="N19" i="1" s="1"/>
  <c r="B19" i="1"/>
  <c r="B21" i="1" s="1"/>
  <c r="N18" i="1" s="1"/>
  <c r="B5" i="1"/>
  <c r="B7" i="1" s="1"/>
  <c r="I9" i="5" l="1"/>
  <c r="H10" i="5"/>
  <c r="H22" i="5"/>
  <c r="L43" i="5" s="1"/>
  <c r="M43" i="5" s="1"/>
  <c r="H9" i="5"/>
  <c r="H21" i="5"/>
  <c r="P14" i="5"/>
  <c r="S14" i="5" s="1"/>
  <c r="P26" i="5"/>
  <c r="S26" i="5" s="1"/>
  <c r="O15" i="5"/>
  <c r="I10" i="5"/>
  <c r="D4" i="1"/>
  <c r="O13" i="1"/>
  <c r="S17" i="1"/>
  <c r="T17" i="1" s="1"/>
  <c r="U17" i="1" s="1"/>
  <c r="O12" i="1"/>
  <c r="H17" i="1" s="1"/>
  <c r="D32" i="1"/>
  <c r="H13" i="1"/>
  <c r="J13" i="1" s="1"/>
  <c r="L13" i="1" s="1"/>
  <c r="O14" i="1"/>
  <c r="O19" i="1"/>
  <c r="R19" i="1" s="1"/>
  <c r="O18" i="1"/>
  <c r="R18" i="1" s="1"/>
  <c r="T18" i="1" s="1"/>
  <c r="U18" i="1" s="1"/>
  <c r="B34" i="1"/>
  <c r="J14" i="1"/>
  <c r="L14" i="1" s="1"/>
  <c r="S19" i="1" s="1"/>
  <c r="B6" i="1"/>
  <c r="P15" i="5" l="1"/>
  <c r="S15" i="5" s="1"/>
  <c r="O27" i="5"/>
  <c r="P27" i="5" s="1"/>
  <c r="S27" i="5" s="1"/>
  <c r="I21" i="5"/>
  <c r="K9" i="5"/>
  <c r="L42" i="5"/>
  <c r="M42" i="5" s="1"/>
  <c r="K10" i="5"/>
  <c r="I22" i="5"/>
  <c r="S18" i="1"/>
  <c r="P13" i="1"/>
  <c r="H18" i="1" s="1"/>
  <c r="T19" i="1"/>
  <c r="U19" i="1" s="1"/>
  <c r="M13" i="1"/>
  <c r="M14" i="1"/>
  <c r="P14" i="1"/>
  <c r="H19" i="1" s="1"/>
  <c r="M10" i="5" l="1"/>
  <c r="T15" i="5" s="1"/>
  <c r="U15" i="5" s="1"/>
  <c r="V15" i="5" s="1"/>
  <c r="K22" i="5"/>
  <c r="K21" i="5"/>
  <c r="M9" i="5"/>
  <c r="M22" i="5"/>
  <c r="N22" i="5" s="1"/>
  <c r="H27" i="5" s="1"/>
  <c r="H35" i="5"/>
  <c r="G19" i="1"/>
  <c r="G18" i="1"/>
  <c r="P10" i="5" l="1"/>
  <c r="I15" i="5" s="1"/>
  <c r="N10" i="5"/>
  <c r="H15" i="5" s="1"/>
  <c r="P22" i="5"/>
  <c r="I27" i="5" s="1"/>
  <c r="T27" i="5"/>
  <c r="U27" i="5" s="1"/>
  <c r="W27" i="5" s="1"/>
  <c r="T14" i="5"/>
  <c r="U14" i="5" s="1"/>
  <c r="V14" i="5" s="1"/>
  <c r="N9" i="5"/>
  <c r="H14" i="5" s="1"/>
  <c r="P9" i="5"/>
  <c r="I14" i="5" s="1"/>
  <c r="C5" i="10"/>
  <c r="H34" i="5"/>
  <c r="L8" i="9"/>
  <c r="M21" i="5"/>
  <c r="C6" i="10"/>
  <c r="L9" i="9"/>
  <c r="L28" i="9" s="1"/>
  <c r="N28" i="9" s="1"/>
  <c r="Y27" i="5"/>
  <c r="X27" i="5"/>
  <c r="V27" i="5"/>
  <c r="E5" i="10" l="1"/>
  <c r="D5" i="10"/>
  <c r="E6" i="10"/>
  <c r="D6" i="10"/>
  <c r="Q28" i="9"/>
  <c r="J33" i="9" s="1"/>
  <c r="O28" i="9"/>
  <c r="I33" i="9" s="1"/>
  <c r="T26" i="5"/>
  <c r="P21" i="5"/>
  <c r="I26" i="5" s="1"/>
  <c r="N21" i="5"/>
  <c r="H26" i="5" s="1"/>
  <c r="L45" i="9"/>
  <c r="L27" i="9"/>
  <c r="U26" i="5" l="1"/>
  <c r="Y26" i="5"/>
  <c r="N27" i="9"/>
  <c r="L46" i="9"/>
  <c r="M45" i="9"/>
  <c r="L49" i="9"/>
  <c r="M46" i="9" l="1"/>
  <c r="M49" i="9"/>
  <c r="Q27" i="9"/>
  <c r="J32" i="9" s="1"/>
  <c r="O27" i="9"/>
  <c r="I32" i="9" s="1"/>
  <c r="V26" i="5"/>
  <c r="X26" i="5"/>
  <c r="W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tc={9C9B15FD-C96E-2A4D-9557-31A29C4387A4}</author>
    <author>tc={04FCC7F5-69EC-CF47-BD60-D107D20C84D8}</author>
  </authors>
  <commentList>
    <comment ref="B21" authorId="0" shapeId="0" xr:uid="{9C9B15FD-C96E-2A4D-9557-31A29C4387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Replenished acid after 3 hours with recycled solids</t>
      </text>
    </comment>
    <comment ref="B35" authorId="1" shapeId="0" xr:uid="{04FCC7F5-69EC-CF47-BD60-D107D20C84D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Replenished acid after 3 hours with recycled solids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tc={B25D9E31-0D4E-894C-B94C-450DEC661B97}</author>
    <author>tc={401A9ECD-395C-E741-8B58-2DAF1C689DE2}</author>
  </authors>
  <commentList>
    <comment ref="A2" authorId="0" shapeId="0" xr:uid="{B25D9E31-0D4E-894C-B94C-450DEC661B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https://www.fishersci.com/shop/products/gluconic-acid-50-wt-solution-water-thermo-scientific/AC119890010
</t>
      </text>
    </comment>
    <comment ref="F2" authorId="1" shapeId="0" xr:uid="{401A9ECD-395C-E741-8B58-2DAF1C689DE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amazon.com/Spicy-World-Citric-10-Pound-NON-GMO/dp/B002DCPR9C/ref=sr_1_11?crid=G29HQWFI2FFF&amp;dib=eyJ2IjoiMSJ9.Ry3NoqKA4S_YiQR3SNRSZ2mvEB4aEE5n570npqnzAzizbUeoDIZwY0G8GWL3KTZPVLVBs9OzJrQHOe6NZiMjelzbZodHzyxhBkteRLKI-UHX4QNGZXgA28aSSsmQIfxUcjktxyWc_eZATCNp1UqpN-_QCUwOR2IIMEYyGIWJEWX11-zyNA-EhQweJ_BvoT6MZkruSOYIBiviO86BI3DuZRMx0vw0JYi9ODEa5C-EUo5e8O49B43G3R5wAE2e1k9NFb9tSWP-AG9BqCXRk5LhFhH4Y7B9qd2zhS84Y9N9q3E.FtbLU1VjXtVijgbYbpVbrtJ2DLhw226jZUnk3Y4tK_I&amp;dib_tag=se&amp;keywords=citric+acid+food+grade&amp;qid=1727715282&amp;rdc=1&amp;sprefix=citric+acid+food+grad%2Caps%2C127&amp;sr=8-11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tc={6E0C07F6-EAC7-C34F-B9C9-B2B65CDC8B0D}</author>
    <author>tc={BCE82645-A8FA-A747-BF46-D8979642D242}</author>
    <author>tc={BCB41A68-D37D-5E49-B483-E0334D8A4D96}</author>
  </authors>
  <commentList>
    <comment ref="A3" authorId="0" shapeId="0" xr:uid="{6E0C07F6-EAC7-C34F-B9C9-B2B65CDC8B0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https://www.spectrumchemical.com/d-gluconic-acid-50-percent-aqueous-solution-gl105?srsltid=AfmBOooF_Er38HWctMYZ9bAFx-aAsGVvCgRMQ6AaLM8tdCXdjYbET7V3</t>
      </text>
    </comment>
    <comment ref="G3" authorId="1" shapeId="0" xr:uid="{BCE82645-A8FA-A747-BF46-D8979642D24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https://www.wholesalesuppliesplus.com/products/citric-acid-powder.aspx?srsltid=AfmBOora3y7cW2wKpK9WOLa1UU91WEHgSiTo9uRcRRWSJc56jgSOCYLg</t>
      </text>
    </comment>
    <comment ref="I3" authorId="2" shapeId="0" xr:uid="{BCB41A68-D37D-5E49-B483-E0334D8A4D96}">
      <text>
        <t>[Threaded comment]
Your version of Excel allows you to read this threaded comment; however, any edits to it will get removed if the file is opened in a newer version of Excel. Learn more: https://go.microsoft.com/fwlink/?linkid=870924
Comment:
    2,000 lb of citric acid converted to kg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tc={530BE973-4D05-BD44-B05D-C7E7A531DB99}</author>
  </authors>
  <commentList>
    <comment ref="B21" authorId="0" shapeId="0" xr:uid="{530BE973-4D05-BD44-B05D-C7E7A531DB99}">
      <text>
        <t>[Threaded comment]
Your version of Excel allows you to read this threaded comment; however, any edits to it will get removed if the file is opened in a newer version of Excel. Learn more: https://go.microsoft.com/fwlink/?linkid=870924
Comment:
    Scaled based on Thompson et al., also used in Brown et al. 2024</t>
      </text>
    </comment>
  </commentList>
</comments>
</file>

<file path=xl/sharedStrings.xml><?xml version="1.0" encoding="utf-8"?>
<sst xmlns="http://schemas.openxmlformats.org/spreadsheetml/2006/main" count="482" uniqueCount="170">
  <si>
    <t>Case 1 Batch ultrasound with gluconic acid, 1% solids (from chapter 2)</t>
  </si>
  <si>
    <t>Ultrasound</t>
  </si>
  <si>
    <t>Centrifuge</t>
  </si>
  <si>
    <t>kWh</t>
  </si>
  <si>
    <t>Lab/bench scale</t>
  </si>
  <si>
    <t>Scaling factor</t>
  </si>
  <si>
    <t>W</t>
  </si>
  <si>
    <t>Volume (L)</t>
  </si>
  <si>
    <t>$/kWh</t>
  </si>
  <si>
    <t>Soil loaded (kg)</t>
  </si>
  <si>
    <t>hr</t>
  </si>
  <si>
    <t>REE leached (kg)</t>
  </si>
  <si>
    <t>Volume acid per batch (L)</t>
  </si>
  <si>
    <t>kW/h</t>
  </si>
  <si>
    <t>kw/h</t>
  </si>
  <si>
    <t>Ultrasound power</t>
  </si>
  <si>
    <t>kW</t>
  </si>
  <si>
    <t>Energy price</t>
  </si>
  <si>
    <t>Time</t>
  </si>
  <si>
    <t>hour</t>
  </si>
  <si>
    <t>Lab Scale</t>
  </si>
  <si>
    <t>Centrifuge power</t>
  </si>
  <si>
    <t>REE yield (kg)</t>
  </si>
  <si>
    <t>Energy used (kW)</t>
  </si>
  <si>
    <t>Time (h)</t>
  </si>
  <si>
    <t>Energy price ($)</t>
  </si>
  <si>
    <t>$/kg yield</t>
  </si>
  <si>
    <t>soil mass (g)</t>
  </si>
  <si>
    <t>$/g soil processed</t>
  </si>
  <si>
    <t>Batch gluconic acid</t>
  </si>
  <si>
    <t>Continuous gluconic acid</t>
  </si>
  <si>
    <t>Continuous citric acid</t>
  </si>
  <si>
    <t>Case 2 Continuous ultrasound with gluconic acid, 10% solids (chapter 3)</t>
  </si>
  <si>
    <t>Energy</t>
  </si>
  <si>
    <t>Reagent cost</t>
  </si>
  <si>
    <t>Total cost</t>
  </si>
  <si>
    <t>$/g REE leached</t>
  </si>
  <si>
    <t>$/kg soil processed</t>
  </si>
  <si>
    <t>wt %</t>
  </si>
  <si>
    <t>$/L acid</t>
  </si>
  <si>
    <t>L acid</t>
  </si>
  <si>
    <t>$ acid</t>
  </si>
  <si>
    <t>Acid cost ($)</t>
  </si>
  <si>
    <t>Energy cost ($)</t>
  </si>
  <si>
    <t>Total ($)</t>
  </si>
  <si>
    <t>Total $/g soil</t>
  </si>
  <si>
    <t xml:space="preserve">Scaling factor </t>
  </si>
  <si>
    <t>Batch gluconic</t>
  </si>
  <si>
    <t>Continuous gluconic</t>
  </si>
  <si>
    <t>Continuous citric</t>
  </si>
  <si>
    <t>Case 3 Continuous ultrasound with citric acid, 10% solids (chapter 3)</t>
  </si>
  <si>
    <t>Organic acid</t>
  </si>
  <si>
    <t>Ultrasound treatment</t>
  </si>
  <si>
    <t>Total emissions kg CO2 equivalent</t>
  </si>
  <si>
    <t>g REE leached</t>
  </si>
  <si>
    <t>emissions/g yield</t>
  </si>
  <si>
    <t xml:space="preserve">emissions/g soil </t>
  </si>
  <si>
    <t>Gluconic</t>
  </si>
  <si>
    <t>Batch</t>
  </si>
  <si>
    <t>Continuous</t>
  </si>
  <si>
    <t>Citric</t>
  </si>
  <si>
    <t>Emissions (kg CO2 eq)/g REE leached</t>
  </si>
  <si>
    <t>Emissions (kg CO2 eq)/g soil</t>
  </si>
  <si>
    <t>$</t>
  </si>
  <si>
    <t>$/L</t>
  </si>
  <si>
    <t>Mass (kg)</t>
  </si>
  <si>
    <t>water (kg)</t>
  </si>
  <si>
    <t>$/kg solution</t>
  </si>
  <si>
    <t>density</t>
  </si>
  <si>
    <t>$/kg water</t>
  </si>
  <si>
    <t>Gluconic acid 50% w/w</t>
  </si>
  <si>
    <t>Citric acid 100% anhydrous</t>
  </si>
  <si>
    <t>25% w/w dilution</t>
  </si>
  <si>
    <t>50% w/w</t>
  </si>
  <si>
    <t>25% w/w</t>
  </si>
  <si>
    <t xml:space="preserve">Gluconic acid </t>
  </si>
  <si>
    <t>density (g/mL)</t>
  </si>
  <si>
    <t>$ water</t>
  </si>
  <si>
    <t>mL</t>
  </si>
  <si>
    <t>kg</t>
  </si>
  <si>
    <t>continuous</t>
  </si>
  <si>
    <t>gluconic</t>
  </si>
  <si>
    <t>citric</t>
  </si>
  <si>
    <t>batch</t>
  </si>
  <si>
    <t xml:space="preserve">citric </t>
  </si>
  <si>
    <t>Case 3</t>
  </si>
  <si>
    <t>Small scale (lab/bench)</t>
  </si>
  <si>
    <t xml:space="preserve">Large scale per day </t>
  </si>
  <si>
    <t>Scaling factor per day</t>
  </si>
  <si>
    <t>Capacity  (L)</t>
  </si>
  <si>
    <t>Per 385 kg soil processed (per day)</t>
  </si>
  <si>
    <t>Power (kWh)</t>
  </si>
  <si>
    <t>Total CO2</t>
  </si>
  <si>
    <t>Total N2O</t>
  </si>
  <si>
    <t>Total CH4</t>
  </si>
  <si>
    <t>kg mixed REEs</t>
  </si>
  <si>
    <t>Time (hours)</t>
  </si>
  <si>
    <t>kg REE/h</t>
  </si>
  <si>
    <t>case 3</t>
  </si>
  <si>
    <t>Per 100,000 kg of soil processed (per year, 260 days)</t>
  </si>
  <si>
    <t>Soil processed per year (kg)</t>
  </si>
  <si>
    <t>REE percentage in soil</t>
  </si>
  <si>
    <t>REEs present in soil (kg)</t>
  </si>
  <si>
    <t>Leaching yield (kg)</t>
  </si>
  <si>
    <t xml:space="preserve">Per day </t>
  </si>
  <si>
    <t>Per year</t>
  </si>
  <si>
    <t xml:space="preserve">Large scale per day (260 days per year) </t>
  </si>
  <si>
    <t>Large scale (per day, 385 kg soil)</t>
  </si>
  <si>
    <t>soil mass (kg)</t>
  </si>
  <si>
    <t>Energy cost (per day, 385 kg soil)</t>
  </si>
  <si>
    <t>Reagent cost (per day, 385 kg soil)</t>
  </si>
  <si>
    <t>Total cost (per day, 385 kg soil)</t>
  </si>
  <si>
    <t>$/kg REE leached</t>
  </si>
  <si>
    <t>Total $/kg soil</t>
  </si>
  <si>
    <t>Large scale per day (260 days per year)</t>
  </si>
  <si>
    <t>Large scale (per year, 100 tonnes)</t>
  </si>
  <si>
    <t>Energy cost (per year, 100 tonnes)</t>
  </si>
  <si>
    <t>Reagent cost (per year, 100 tonnes)</t>
  </si>
  <si>
    <t>Total cost (per year, 100 tonnes)</t>
  </si>
  <si>
    <t>Acid</t>
  </si>
  <si>
    <t>Total $/tonne soil</t>
  </si>
  <si>
    <t>% total cost</t>
  </si>
  <si>
    <t>LCA Data</t>
  </si>
  <si>
    <t>Energy used (kWh)</t>
  </si>
  <si>
    <t>CO2 emissions</t>
  </si>
  <si>
    <t>N2O emissions</t>
  </si>
  <si>
    <t>CH4 emissions</t>
  </si>
  <si>
    <t>Total emissions (co2 eq.)</t>
  </si>
  <si>
    <t>GWP/tonne soil</t>
  </si>
  <si>
    <t>GWP/kg soil</t>
  </si>
  <si>
    <t>Gluconic acid</t>
  </si>
  <si>
    <t>Citric acid</t>
  </si>
  <si>
    <t>Case study</t>
  </si>
  <si>
    <t>CO2 emissions/tonne soil</t>
  </si>
  <si>
    <t>CO2 emissions/hour</t>
  </si>
  <si>
    <t>Mass REEs leached (kg)</t>
  </si>
  <si>
    <t>kg REE/hour</t>
  </si>
  <si>
    <t>Continuous (gluconic)</t>
  </si>
  <si>
    <t>Continuous (citric)</t>
  </si>
  <si>
    <t>Ultrasound units needed per day</t>
  </si>
  <si>
    <t>Purchased organic acids</t>
  </si>
  <si>
    <t>$/tonne</t>
  </si>
  <si>
    <t>Water (biolixiviant production)</t>
  </si>
  <si>
    <t xml:space="preserve">kg </t>
  </si>
  <si>
    <t>$/kg</t>
  </si>
  <si>
    <t>Glucose for biolixiviant production</t>
  </si>
  <si>
    <t>Microbially produced organic acids</t>
  </si>
  <si>
    <t>Bioilixiviant production energy</t>
  </si>
  <si>
    <t xml:space="preserve">Continuous gluconic </t>
  </si>
  <si>
    <t>Glucose and water ($)</t>
  </si>
  <si>
    <t xml:space="preserve">Continuous citric </t>
  </si>
  <si>
    <t>LCA data</t>
  </si>
  <si>
    <t>Energy usage</t>
  </si>
  <si>
    <t>Energy usage/tonne</t>
  </si>
  <si>
    <t>Purchased</t>
  </si>
  <si>
    <t>Commercial</t>
  </si>
  <si>
    <t>Microbial</t>
  </si>
  <si>
    <t xml:space="preserve">Commercial </t>
  </si>
  <si>
    <t>$/tonne gluconic</t>
  </si>
  <si>
    <t>$/tonne citric</t>
  </si>
  <si>
    <t>Study</t>
  </si>
  <si>
    <t>GWP/ton</t>
  </si>
  <si>
    <t>Electricity (kWh/year)</t>
  </si>
  <si>
    <t>ton material/kWh</t>
  </si>
  <si>
    <t>kwh/ton</t>
  </si>
  <si>
    <t>Thompson et al 2018</t>
  </si>
  <si>
    <t>Jin et al 2019</t>
  </si>
  <si>
    <t>This study (gluconic)</t>
  </si>
  <si>
    <t>This study (citric)</t>
  </si>
  <si>
    <t>Brown et al 2024 (batch ultrasound treatment)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</si>
</sst>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0.000"/>
  </numFmts>
  <fonts count="7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D9E1F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8" fontId="0" fillId="2" borderId="0" xfId="0" applyNumberFormat="1" applyFill="1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8" fontId="2" fillId="0" borderId="4" xfId="0" applyNumberFormat="1" applyFont="1" applyBorder="1"/>
    <xf numFmtId="8" fontId="2" fillId="0" borderId="6" xfId="0" applyNumberFormat="1" applyFont="1" applyBorder="1"/>
    <xf numFmtId="0" fontId="2" fillId="0" borderId="7" xfId="0" applyFont="1" applyBorder="1"/>
    <xf numFmtId="0" fontId="2" fillId="0" borderId="0" xfId="0" applyFont="1"/>
    <xf numFmtId="8" fontId="2" fillId="0" borderId="0" xfId="0" applyNumberFormat="1" applyFont="1"/>
    <xf numFmtId="0" fontId="1" fillId="0" borderId="0" xfId="0" applyFont="1"/>
    <xf numFmtId="0" fontId="0" fillId="0" borderId="2" xfId="0" applyBorder="1"/>
    <xf numFmtId="0" fontId="2" fillId="0" borderId="8" xfId="0" applyFont="1" applyBorder="1"/>
    <xf numFmtId="3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164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165" fontId="0" fillId="0" borderId="0" xfId="0" applyNumberFormat="1"/>
    <xf numFmtId="0" fontId="0" fillId="4" borderId="0" xfId="0" applyFill="1"/>
    <xf numFmtId="1" fontId="0" fillId="0" borderId="0" xfId="0" applyNumberFormat="1"/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  <xf numFmtId="2" fontId="0" fillId="5" borderId="0" xfId="0" applyNumberFormat="1" applyFill="1"/>
    <xf numFmtId="2" fontId="0" fillId="0" borderId="0" xfId="0" applyNumberFormat="1"/>
    <xf numFmtId="1" fontId="0" fillId="0" borderId="1" xfId="0" applyNumberFormat="1" applyBorder="1"/>
    <xf numFmtId="11" fontId="0" fillId="0" borderId="0" xfId="0" applyNumberFormat="1"/>
    <xf numFmtId="0" fontId="4" fillId="0" borderId="0" xfId="0" applyFont="1"/>
    <xf numFmtId="0" fontId="2" fillId="0" borderId="12" xfId="0" applyFont="1" applyBorder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0" fontId="5" fillId="0" borderId="0" xfId="0" applyFont="1"/>
    <xf numFmtId="0" fontId="2" fillId="6" borderId="0" xfId="0" applyFont="1" applyFill="1"/>
    <xf numFmtId="0" fontId="2" fillId="7" borderId="0" xfId="0" applyFont="1" applyFill="1"/>
    <xf numFmtId="11" fontId="2" fillId="6" borderId="0" xfId="0" applyNumberFormat="1" applyFont="1" applyFill="1"/>
    <xf numFmtId="0" fontId="2" fillId="0" borderId="10" xfId="0" applyFont="1" applyBorder="1"/>
    <xf numFmtId="0" fontId="2" fillId="6" borderId="10" xfId="0" applyFont="1" applyFill="1" applyBorder="1"/>
    <xf numFmtId="0" fontId="2" fillId="7" borderId="10" xfId="0" applyFont="1" applyFill="1" applyBorder="1"/>
    <xf numFmtId="8" fontId="2" fillId="6" borderId="0" xfId="0" applyNumberFormat="1" applyFont="1" applyFill="1"/>
    <xf numFmtId="8" fontId="2" fillId="7" borderId="0" xfId="0" applyNumberFormat="1" applyFont="1" applyFill="1"/>
    <xf numFmtId="0" fontId="2" fillId="0" borderId="1" xfId="0" applyFont="1" applyBorder="1"/>
    <xf numFmtId="0" fontId="2" fillId="6" borderId="1" xfId="0" applyFont="1" applyFill="1" applyBorder="1"/>
    <xf numFmtId="0" fontId="2" fillId="7" borderId="1" xfId="0" applyFont="1" applyFill="1" applyBorder="1"/>
    <xf numFmtId="4" fontId="0" fillId="0" borderId="0" xfId="0" applyNumberFormat="1"/>
    <xf numFmtId="4" fontId="0" fillId="0" borderId="1" xfId="0" applyNumberFormat="1" applyBorder="1"/>
    <xf numFmtId="11" fontId="4" fillId="0" borderId="0" xfId="0" applyNumberFormat="1" applyFont="1"/>
    <xf numFmtId="11" fontId="0" fillId="0" borderId="5" xfId="0" applyNumberFormat="1" applyBorder="1"/>
    <xf numFmtId="11" fontId="0" fillId="0" borderId="1" xfId="0" applyNumberFormat="1" applyBorder="1"/>
    <xf numFmtId="11" fontId="0" fillId="0" borderId="7" xfId="0" applyNumberFormat="1" applyBorder="1"/>
    <xf numFmtId="10" fontId="0" fillId="0" borderId="0" xfId="0" applyNumberFormat="1"/>
    <xf numFmtId="2" fontId="0" fillId="0" borderId="5" xfId="0" applyNumberFormat="1" applyBorder="1"/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scale materials and energy'!$G$16</c:f>
              <c:strCache>
                <c:ptCount val="1"/>
                <c:pt idx="0">
                  <c:v>$/g REE leached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scale materials and energy'!$F$17:$F$19</c:f>
              <c:strCache>
                <c:ptCount val="3"/>
                <c:pt idx="0">
                  <c:v>Batch gluconic acid</c:v>
                </c:pt>
                <c:pt idx="1">
                  <c:v>Continuous gluconic acid</c:v>
                </c:pt>
                <c:pt idx="2">
                  <c:v>Continuous citric acid</c:v>
                </c:pt>
              </c:strCache>
            </c:strRef>
          </c:cat>
          <c:val>
            <c:numRef>
              <c:f>'Lab scale materials and energy'!$G$17:$G$19</c:f>
              <c:numCache>
                <c:formatCode>"$"#,##0.00</c:formatCode>
                <c:ptCount val="3"/>
                <c:pt idx="0">
                  <c:v>0.9714285714285712</c:v>
                </c:pt>
                <c:pt idx="1">
                  <c:v>0.66566744730679139</c:v>
                </c:pt>
                <c:pt idx="2">
                  <c:v>0.46673234811165848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3-D549-A530-1B63AC4D0469}"/>
            </c:ext>
          </c:extLst>
        </c:ser>
        <c:ser>
          <c:idx val="1"/>
          <c:order val="1"/>
          <c:tx>
            <c:strRef>
              <c:f>'Lab scale materials and energy'!$H$16</c:f>
              <c:strCache>
                <c:ptCount val="1"/>
                <c:pt idx="0">
                  <c:v>$/kg soil processed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'Lab scale materials and energy'!$F$17:$F$19</c:f>
              <c:strCache>
                <c:ptCount val="3"/>
                <c:pt idx="0">
                  <c:v>Batch gluconic acid</c:v>
                </c:pt>
                <c:pt idx="1">
                  <c:v>Continuous gluconic acid</c:v>
                </c:pt>
                <c:pt idx="2">
                  <c:v>Continuous citric acid</c:v>
                </c:pt>
              </c:strCache>
            </c:strRef>
          </c:cat>
          <c:val>
            <c:numRef>
              <c:f>'Lab scale materials and energy'!$H$17:$H$19</c:f>
              <c:numCache>
                <c:formatCode>"$"#,##0.00</c:formatCode>
                <c:ptCount val="3"/>
                <c:pt idx="0">
                  <c:v>10.845999999999998</c:v>
                </c:pt>
                <c:pt idx="1">
                  <c:v>2.8424</c:v>
                </c:pt>
                <c:pt idx="2">
                  <c:v>2.8424000000000005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3-D549-A530-1B63AC4D0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98671"/>
        <c:axId val="36193359"/>
      </c:barChart>
      <c:catAx>
        <c:axId val="362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3359"/>
        <c:crosses val="autoZero"/>
        <c:auto val="1"/>
        <c:lblAlgn val="ctr"/>
        <c:lblOffset val="100"/>
        <c:noMultiLvlLbl val="0"/>
      </c:catAx>
      <c:valAx>
        <c:axId val="361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scale emissions'!$B$7</c:f>
              <c:strCache>
                <c:ptCount val="1"/>
                <c:pt idx="0">
                  <c:v>Emissions (kg CO2 eq)/g REE leached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94-E249-92B3-E18E2D4F55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94-E249-92B3-E18E2D4F55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94-E249-92B3-E18E2D4F5564}"/>
              </c:ext>
            </c:extLst>
          </c:dPt>
          <c:cat>
            <c:strRef>
              <c:f>'Lab scale emissions'!$A$8:$A$10</c:f>
              <c:strCache>
                <c:ptCount val="3"/>
                <c:pt idx="0">
                  <c:v>Batch gluconic acid</c:v>
                </c:pt>
                <c:pt idx="1">
                  <c:v>Continuous gluconic acid</c:v>
                </c:pt>
                <c:pt idx="2">
                  <c:v>Continuous citric acid</c:v>
                </c:pt>
              </c:strCache>
            </c:strRef>
          </c:cat>
          <c:val>
            <c:numRef>
              <c:f>'Lab scale emissions'!$B$8:$B$10</c:f>
              <c:numCache>
                <c:formatCode>General</c:formatCode>
                <c:ptCount val="3"/>
                <c:pt idx="0">
                  <c:v>0.53739364084191665</c:v>
                </c:pt>
                <c:pt idx="1">
                  <c:v>1.6276346604215453</c:v>
                </c:pt>
                <c:pt idx="2">
                  <c:v>1.1412151067323479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4-E249-92B3-E18E2D4F5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361055"/>
        <c:axId val="1692299471"/>
      </c:barChart>
      <c:catAx>
        <c:axId val="16923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99471"/>
        <c:crosses val="autoZero"/>
        <c:auto val="1"/>
        <c:lblAlgn val="ctr"/>
        <c:lblOffset val="100"/>
        <c:noMultiLvlLbl val="0"/>
      </c:catAx>
      <c:valAx>
        <c:axId val="16922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Emissions (kg CO2 eq)/g REE leached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36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scale emissions'!$B$11</c:f>
              <c:strCache>
                <c:ptCount val="1"/>
                <c:pt idx="0">
                  <c:v>Emissions (kg CO2 eq)/g soil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scale emissions'!$A$12:$A$14</c:f>
              <c:strCache>
                <c:ptCount val="3"/>
                <c:pt idx="0">
                  <c:v>Batch gluconic acid</c:v>
                </c:pt>
                <c:pt idx="1">
                  <c:v>Continuous gluconic acid</c:v>
                </c:pt>
                <c:pt idx="2">
                  <c:v>Continuous citric acid</c:v>
                </c:pt>
              </c:strCache>
            </c:strRef>
          </c:cat>
          <c:val>
            <c:numRef>
              <c:f>'Lab scale emissions'!$B$12:$B$14</c:f>
              <c:numCache>
                <c:formatCode>0.000</c:formatCode>
                <c:ptCount val="3"/>
                <c:pt idx="0">
                  <c:v>6.0000000000000001E-3</c:v>
                </c:pt>
                <c:pt idx="1">
                  <c:v>6.9499999999999996E-3</c:v>
                </c:pt>
                <c:pt idx="2">
                  <c:v>6.9499999999999996E-3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A-684C-A3EB-8F214E01C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841759"/>
        <c:axId val="1797040239"/>
      </c:barChart>
      <c:catAx>
        <c:axId val="18098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40239"/>
        <c:crosses val="autoZero"/>
        <c:auto val="1"/>
        <c:lblAlgn val="ctr"/>
        <c:lblOffset val="100"/>
        <c:noMultiLvlLbl val="0"/>
      </c:catAx>
      <c:valAx>
        <c:axId val="17970402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19</xdr:row>
      <xdr:rowOff>158750</xdr:rowOff>
    </xdr:from>
    <xdr:to>
      <xdr:col>15</xdr:col>
      <xdr:colOff>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FDB6F-40DB-E795-C64B-B273B1327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953983</xdr:colOff>
      <xdr:row>5</xdr:row>
      <xdr:rowOff>193470</xdr:rowOff>
    </xdr:from>
    <xdr:to>
      <xdr:col>12</xdr:col>
      <xdr:colOff>223377</xdr:colOff>
      <xdr:row>28</xdr:row>
      <xdr:rowOff>142669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997AC-E9ED-60AF-72DE-66037B205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489857</xdr:colOff>
      <xdr:row>30</xdr:row>
      <xdr:rowOff>125185</xdr:rowOff>
    </xdr:from>
    <xdr:to>
      <xdr:col>11</xdr:col>
      <xdr:colOff>752928</xdr:colOff>
      <xdr:row>54</xdr:row>
      <xdr:rowOff>54428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0AF04A-019A-393E-089D-6FFF5EA7419F}"/>
            </a:ext>
            <a:ext uri="{147F2762-F138-4A5C-976F-8EAC2B608ADB}">
              <a16:predDERef xmlns:a16="http://schemas.microsoft.com/office/drawing/2014/main" pred="{832997AC-E9ED-60AF-72DE-66037B205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own, Rebecca (rebe9135@vandals.uidaho.edu)" id="{71E3D5E6-9564-DB4B-BD82-06CA22B01673}" userId="S::rebe9135@vandals.uidaho.edu::437c0029-ad00-4fc6-9e19-56b7b0a675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4-09-30T15:17:54.96" personId="{71E3D5E6-9564-DB4B-BD82-06CA22B01673}" id="{9C9B15FD-C96E-2A4D-9557-31A29C4387A4}">
    <text>Replenished acid after 3 hours with recycled solids</text>
  </threadedComment>
  <threadedComment ref="B35" dT="2024-09-30T15:18:04.79" personId="{71E3D5E6-9564-DB4B-BD82-06CA22B01673}" id="{04FCC7F5-69EC-CF47-BD60-D107D20C84D8}">
    <text>Replenished acid after 3 hours with recycled solids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9-30T16:53:53.08" personId="{71E3D5E6-9564-DB4B-BD82-06CA22B01673}" id="{B25D9E31-0D4E-894C-B94C-450DEC661B97}">
    <text xml:space="preserve">https://www.fishersci.com/shop/products/gluconic-acid-50-wt-solution-water-thermo-scientific/AC119890010
</text>
    <extLst>
      <x:ext xmlns:xltc2="http://schemas.microsoft.com/office/spreadsheetml/2020/threadedcomments2" uri="{F7C98A9C-CBB3-438F-8F68-D28B6AF4A901}">
        <xltc2:checksum>3725847850</xltc2:checksum>
        <xltc2:hyperlink startIndex="0" length="104" url="https://www.fishersci.com/shop/products/gluconic-acid-50-wt-solution-water-thermo-scientific/AC119890010"/>
      </x:ext>
    </extLst>
  </threadedComment>
  <threadedComment ref="F2" dT="2024-09-30T16:56:26.84" personId="{71E3D5E6-9564-DB4B-BD82-06CA22B01673}" id="{401A9ECD-395C-E741-8B58-2DAF1C689DE2}">
    <text>https://www.amazon.com/Spicy-World-Citric-10-Pound-NON-GMO/dp/B002DCPR9C/ref=sr_1_11?crid=G29HQWFI2FFF&amp;dib=eyJ2IjoiMSJ9.Ry3NoqKA4S_YiQR3SNRSZ2mvEB4aEE5n570npqnzAzizbUeoDIZwY0G8GWL3KTZPVLVBs9OzJrQHOe6NZiMjelzbZodHzyxhBkteRLKI-UHX4QNGZXgA28aSSsmQIfxUcjktxyWc_eZATCNp1UqpN-_QCUwOR2IIMEYyGIWJEWX11-zyNA-EhQweJ_BvoT6MZkruSOYIBiviO86BI3DuZRMx0vw0JYi9ODEa5C-EUo5e8O49B43G3R5wAE2e1k9NFb9tSWP-AG9BqCXRk5LhFhH4Y7B9qd2zhS84Y9N9q3E.FtbLU1VjXtVijgbYbpVbrtJ2DLhw226jZUnk3Y4tK_I&amp;dib_tag=se&amp;keywords=citric+acid+food+grade&amp;qid=1727715282&amp;rdc=1&amp;sprefix=citric+acid+food+grad%2Caps%2C127&amp;sr=8-11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4-09-30T16:53:53.08" personId="{71E3D5E6-9564-DB4B-BD82-06CA22B01673}" id="{6E0C07F6-EAC7-C34F-B9C9-B2B65CDC8B0D}">
    <text>https://www.spectrumchemical.com/d-gluconic-acid-50-percent-aqueous-solution-gl105?srsltid=AfmBOooF_Er38HWctMYZ9bAFx-aAsGVvCgRMQ6AaLM8tdCXdjYbET7V3</text>
  </threadedComment>
  <threadedComment ref="G3" dT="2024-09-30T16:56:26.84" personId="{71E3D5E6-9564-DB4B-BD82-06CA22B01673}" id="{BCE82645-A8FA-A747-BF46-D8979642D242}">
    <text>https://www.wholesalesuppliesplus.com/products/citric-acid-powder.aspx?srsltid=AfmBOora3y7cW2wKpK9WOLa1UU91WEHgSiTo9uRcRRWSJc56jgSOCYLg</text>
  </threadedComment>
  <threadedComment ref="I3" dT="2025-01-21T04:57:48.23" personId="{71E3D5E6-9564-DB4B-BD82-06CA22B01673}" id="{BCB41A68-D37D-5E49-B483-E0334D8A4D96}">
    <text>2,000 lb of citric acid converted to kg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1" dT="2025-01-22T23:41:17.05" personId="{71E3D5E6-9564-DB4B-BD82-06CA22B01673}" id="{530BE973-4D05-BD44-B05D-C7E7A531DB99}">
    <text>Scaled based on Thompson et al., also used in Brown et al. 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F40D-5EF7-A242-8409-6FA18CE017EF}">
  <dimension ref="A1:U41"/>
  <sheetViews>
    <sheetView topLeftCell="A10" zoomScale="90" zoomScaleNormal="90" workbookViewId="0">
      <selection activeCell="N18" sqref="N18"/>
    </sheetView>
  </sheetViews>
  <sheetFormatPr baseColWidth="10" defaultColWidth="11" defaultRowHeight="16" x14ac:dyDescent="0.2"/>
  <cols>
    <col min="1" max="1" width="24.5" customWidth="1"/>
    <col min="2" max="2" width="14.6640625" customWidth="1"/>
    <col min="4" max="4" width="17.33203125" bestFit="1" customWidth="1"/>
    <col min="6" max="6" width="19.5" customWidth="1"/>
    <col min="7" max="7" width="14.5" bestFit="1" customWidth="1"/>
    <col min="8" max="8" width="14.83203125" bestFit="1" customWidth="1"/>
    <col min="10" max="10" width="10.83203125" customWidth="1"/>
    <col min="12" max="12" width="13.6640625" bestFit="1" customWidth="1"/>
    <col min="16" max="16" width="17.33203125" customWidth="1"/>
    <col min="17" max="17" width="17.83203125" bestFit="1" customWidth="1"/>
    <col min="19" max="19" width="13" bestFit="1" customWidth="1"/>
  </cols>
  <sheetData>
    <row r="1" spans="1:21" x14ac:dyDescent="0.2">
      <c r="A1" t="s">
        <v>0</v>
      </c>
    </row>
    <row r="2" spans="1:21" x14ac:dyDescent="0.2">
      <c r="E2" s="66" t="s">
        <v>1</v>
      </c>
      <c r="F2" s="67"/>
      <c r="G2" s="66" t="s">
        <v>2</v>
      </c>
      <c r="H2" s="67"/>
      <c r="I2" s="13"/>
      <c r="J2" s="13" t="s">
        <v>3</v>
      </c>
      <c r="K2" t="s">
        <v>3</v>
      </c>
    </row>
    <row r="3" spans="1:21" x14ac:dyDescent="0.2">
      <c r="B3" s="1" t="s">
        <v>4</v>
      </c>
      <c r="C3" s="1"/>
      <c r="D3" t="s">
        <v>5</v>
      </c>
      <c r="E3" s="6">
        <v>300</v>
      </c>
      <c r="F3" s="7" t="s">
        <v>6</v>
      </c>
      <c r="G3" s="6">
        <v>1400</v>
      </c>
      <c r="H3" s="7" t="s">
        <v>6</v>
      </c>
      <c r="I3" s="11"/>
      <c r="J3" s="11">
        <f>E3/1000</f>
        <v>0.3</v>
      </c>
      <c r="K3">
        <f>G3/1000</f>
        <v>1.4</v>
      </c>
    </row>
    <row r="4" spans="1:21" x14ac:dyDescent="0.2">
      <c r="A4" t="s">
        <v>7</v>
      </c>
      <c r="B4" s="1">
        <v>1</v>
      </c>
      <c r="C4" s="1"/>
      <c r="D4">
        <f>100000/B5</f>
        <v>10000000</v>
      </c>
      <c r="E4" s="8">
        <v>0.11</v>
      </c>
      <c r="F4" s="7" t="s">
        <v>8</v>
      </c>
      <c r="G4" s="8">
        <v>0.11</v>
      </c>
      <c r="H4" s="7" t="s">
        <v>8</v>
      </c>
      <c r="I4" s="12"/>
      <c r="J4" s="11"/>
    </row>
    <row r="5" spans="1:21" x14ac:dyDescent="0.2">
      <c r="A5" t="s">
        <v>9</v>
      </c>
      <c r="B5" s="1">
        <f>0.01*B4</f>
        <v>0.01</v>
      </c>
      <c r="C5" s="1"/>
      <c r="E5" s="6">
        <v>0.5</v>
      </c>
      <c r="F5" s="7" t="s">
        <v>10</v>
      </c>
      <c r="G5" s="6">
        <v>0.08</v>
      </c>
      <c r="H5" s="7" t="s">
        <v>10</v>
      </c>
      <c r="I5" s="11"/>
      <c r="J5" s="11"/>
    </row>
    <row r="6" spans="1:21" x14ac:dyDescent="0.2">
      <c r="A6" t="s">
        <v>11</v>
      </c>
      <c r="B6" s="1">
        <f>B5*0.035*0.319</f>
        <v>1.1165000000000002E-4</v>
      </c>
      <c r="C6" s="1"/>
      <c r="E6" s="9">
        <v>0.02</v>
      </c>
      <c r="F6" s="10"/>
      <c r="G6" s="9">
        <v>0.01</v>
      </c>
      <c r="H6" s="10"/>
      <c r="I6" s="12"/>
      <c r="J6" s="11"/>
    </row>
    <row r="7" spans="1:21" x14ac:dyDescent="0.2">
      <c r="A7" s="3" t="s">
        <v>12</v>
      </c>
      <c r="B7" s="4">
        <f>B4-B5</f>
        <v>0.99</v>
      </c>
      <c r="C7" s="4"/>
      <c r="E7" s="14">
        <f>0.3/E5</f>
        <v>0.6</v>
      </c>
      <c r="F7" s="15" t="s">
        <v>13</v>
      </c>
      <c r="G7" s="5">
        <f>1.4/G5</f>
        <v>17.5</v>
      </c>
      <c r="H7" s="15" t="s">
        <v>14</v>
      </c>
    </row>
    <row r="8" spans="1:21" x14ac:dyDescent="0.2">
      <c r="A8" t="s">
        <v>15</v>
      </c>
      <c r="B8" s="1">
        <v>0.3</v>
      </c>
      <c r="C8" s="1" t="s">
        <v>16</v>
      </c>
    </row>
    <row r="9" spans="1:21" x14ac:dyDescent="0.2">
      <c r="A9" t="s">
        <v>17</v>
      </c>
      <c r="B9" s="2">
        <v>0.11</v>
      </c>
      <c r="C9" s="1" t="s">
        <v>8</v>
      </c>
    </row>
    <row r="10" spans="1:21" x14ac:dyDescent="0.2">
      <c r="A10" s="3" t="s">
        <v>18</v>
      </c>
      <c r="B10" s="4">
        <v>0.5</v>
      </c>
      <c r="C10" s="4" t="s">
        <v>19</v>
      </c>
      <c r="F10" s="63" t="s">
        <v>20</v>
      </c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5"/>
    </row>
    <row r="11" spans="1:21" x14ac:dyDescent="0.2">
      <c r="A11" t="s">
        <v>21</v>
      </c>
      <c r="B11" s="1">
        <v>1.4</v>
      </c>
      <c r="C11" s="1" t="s">
        <v>16</v>
      </c>
      <c r="F11" s="17"/>
      <c r="G11" t="s">
        <v>22</v>
      </c>
      <c r="H11" t="s">
        <v>23</v>
      </c>
      <c r="I11" t="s">
        <v>24</v>
      </c>
      <c r="J11" t="s">
        <v>3</v>
      </c>
      <c r="K11" t="s">
        <v>8</v>
      </c>
      <c r="L11" t="s">
        <v>25</v>
      </c>
      <c r="M11" t="s">
        <v>26</v>
      </c>
      <c r="N11" t="s">
        <v>26</v>
      </c>
      <c r="O11" t="s">
        <v>27</v>
      </c>
      <c r="P11" t="s">
        <v>28</v>
      </c>
      <c r="U11" s="18"/>
    </row>
    <row r="12" spans="1:21" x14ac:dyDescent="0.2">
      <c r="A12" t="s">
        <v>17</v>
      </c>
      <c r="B12" s="2">
        <v>0.11</v>
      </c>
      <c r="C12" s="1" t="s">
        <v>8</v>
      </c>
      <c r="F12" s="17" t="s">
        <v>29</v>
      </c>
      <c r="G12">
        <f>B6*1000</f>
        <v>0.11165000000000001</v>
      </c>
      <c r="H12">
        <f>B8+B11</f>
        <v>1.7</v>
      </c>
      <c r="I12">
        <f>B10+B13</f>
        <v>0.57999999999999996</v>
      </c>
      <c r="J12">
        <f>H12*I12</f>
        <v>0.98599999999999988</v>
      </c>
      <c r="K12">
        <v>0.11</v>
      </c>
      <c r="L12">
        <f>J12*K12</f>
        <v>0.10845999999999999</v>
      </c>
      <c r="M12">
        <f>L12/G12</f>
        <v>0.9714285714285712</v>
      </c>
      <c r="N12">
        <f>M12*1000</f>
        <v>971.42857142857122</v>
      </c>
      <c r="O12">
        <f>B5*1000</f>
        <v>10</v>
      </c>
      <c r="P12">
        <f>L12/O12</f>
        <v>1.0845999999999998E-2</v>
      </c>
      <c r="U12" s="18"/>
    </row>
    <row r="13" spans="1:21" x14ac:dyDescent="0.2">
      <c r="A13" t="s">
        <v>18</v>
      </c>
      <c r="B13" s="1">
        <v>0.08</v>
      </c>
      <c r="C13" s="1" t="s">
        <v>19</v>
      </c>
      <c r="F13" s="17" t="s">
        <v>30</v>
      </c>
      <c r="G13">
        <f>B20*1000</f>
        <v>1.7080000000000004</v>
      </c>
      <c r="H13">
        <f>B22+B25</f>
        <v>1.7</v>
      </c>
      <c r="I13">
        <f>B24+B27</f>
        <v>6.08</v>
      </c>
      <c r="J13">
        <f>H13*I13</f>
        <v>10.336</v>
      </c>
      <c r="K13">
        <v>0.11</v>
      </c>
      <c r="L13">
        <f>J13*K13</f>
        <v>1.13696</v>
      </c>
      <c r="M13">
        <f>L13/G13</f>
        <v>0.66566744730679139</v>
      </c>
      <c r="N13">
        <f t="shared" ref="N13:N14" si="0">M13*1000</f>
        <v>665.66744730679136</v>
      </c>
      <c r="O13">
        <f>B19*1000</f>
        <v>400</v>
      </c>
      <c r="P13">
        <f>L13/O13</f>
        <v>2.8424000000000001E-3</v>
      </c>
      <c r="U13" s="18"/>
    </row>
    <row r="14" spans="1:21" x14ac:dyDescent="0.2">
      <c r="F14" s="17" t="s">
        <v>31</v>
      </c>
      <c r="G14">
        <f>B34*1000</f>
        <v>2.4360000000000004</v>
      </c>
      <c r="H14">
        <f>B36+B39</f>
        <v>1.7000000000000002</v>
      </c>
      <c r="I14">
        <f>B38+B41</f>
        <v>6.08</v>
      </c>
      <c r="J14">
        <f>H14*I14</f>
        <v>10.336000000000002</v>
      </c>
      <c r="K14">
        <v>0.11</v>
      </c>
      <c r="L14">
        <f>J14*K14</f>
        <v>1.1369600000000002</v>
      </c>
      <c r="M14">
        <f>L14/G14</f>
        <v>0.46673234811165848</v>
      </c>
      <c r="N14">
        <f t="shared" si="0"/>
        <v>466.7323481116585</v>
      </c>
      <c r="O14">
        <f>B33*1000</f>
        <v>400</v>
      </c>
      <c r="P14">
        <f>L14/O14</f>
        <v>2.8424000000000006E-3</v>
      </c>
      <c r="U14" s="18"/>
    </row>
    <row r="15" spans="1:21" x14ac:dyDescent="0.2">
      <c r="A15" t="s">
        <v>32</v>
      </c>
      <c r="F15" s="68" t="s">
        <v>33</v>
      </c>
      <c r="G15" s="61"/>
      <c r="H15" s="61"/>
      <c r="K15" s="61" t="s">
        <v>34</v>
      </c>
      <c r="L15" s="61"/>
      <c r="M15" s="61"/>
      <c r="N15" s="61"/>
      <c r="O15" s="61"/>
      <c r="Q15" s="61" t="s">
        <v>35</v>
      </c>
      <c r="R15" s="61"/>
      <c r="S15" s="61"/>
      <c r="T15" s="61"/>
      <c r="U15" s="62"/>
    </row>
    <row r="16" spans="1:21" x14ac:dyDescent="0.2">
      <c r="F16" s="17"/>
      <c r="G16" t="s">
        <v>36</v>
      </c>
      <c r="H16" t="s">
        <v>37</v>
      </c>
      <c r="L16" t="s">
        <v>38</v>
      </c>
      <c r="M16" t="s">
        <v>39</v>
      </c>
      <c r="N16" t="s">
        <v>40</v>
      </c>
      <c r="O16" t="s">
        <v>41</v>
      </c>
      <c r="R16" t="s">
        <v>42</v>
      </c>
      <c r="S16" t="s">
        <v>43</v>
      </c>
      <c r="T16" t="s">
        <v>44</v>
      </c>
      <c r="U16" s="18" t="s">
        <v>45</v>
      </c>
    </row>
    <row r="17" spans="1:21" x14ac:dyDescent="0.2">
      <c r="B17" s="1" t="s">
        <v>4</v>
      </c>
      <c r="C17" s="1"/>
      <c r="D17" t="s">
        <v>46</v>
      </c>
      <c r="F17" s="17" t="s">
        <v>29</v>
      </c>
      <c r="G17" s="19">
        <f>M12</f>
        <v>0.9714285714285712</v>
      </c>
      <c r="H17" s="19">
        <f>P12*1000</f>
        <v>10.845999999999998</v>
      </c>
      <c r="I17" s="19"/>
      <c r="K17" t="s">
        <v>47</v>
      </c>
      <c r="L17">
        <v>50</v>
      </c>
      <c r="M17">
        <f>'Lab scale materials calculation'!D2</f>
        <v>42.65</v>
      </c>
      <c r="N17">
        <f>B7</f>
        <v>0.99</v>
      </c>
      <c r="O17">
        <f>M17*N17</f>
        <v>42.223500000000001</v>
      </c>
      <c r="Q17" t="s">
        <v>47</v>
      </c>
      <c r="R17" s="19">
        <f>O17</f>
        <v>42.223500000000001</v>
      </c>
      <c r="S17" s="19">
        <f>L12</f>
        <v>0.10845999999999999</v>
      </c>
      <c r="T17" s="19">
        <f>R17+S17</f>
        <v>42.331960000000002</v>
      </c>
      <c r="U17" s="20">
        <f>T17/O12</f>
        <v>4.2331960000000004</v>
      </c>
    </row>
    <row r="18" spans="1:21" x14ac:dyDescent="0.2">
      <c r="A18" t="s">
        <v>7</v>
      </c>
      <c r="B18" s="1">
        <v>4</v>
      </c>
      <c r="C18" s="1"/>
      <c r="D18">
        <f>100000/B19</f>
        <v>250000</v>
      </c>
      <c r="F18" s="17" t="s">
        <v>30</v>
      </c>
      <c r="G18" s="19">
        <f>M13</f>
        <v>0.66566744730679139</v>
      </c>
      <c r="H18" s="19">
        <f>P13*1000</f>
        <v>2.8424</v>
      </c>
      <c r="I18" s="19"/>
      <c r="K18" t="s">
        <v>48</v>
      </c>
      <c r="L18">
        <v>50</v>
      </c>
      <c r="M18">
        <f>'Lab scale materials calculation'!D2</f>
        <v>42.65</v>
      </c>
      <c r="N18">
        <f>B21</f>
        <v>7.2</v>
      </c>
      <c r="O18">
        <f>M18*N18</f>
        <v>307.08</v>
      </c>
      <c r="Q18" t="s">
        <v>48</v>
      </c>
      <c r="R18" s="19">
        <f>O18</f>
        <v>307.08</v>
      </c>
      <c r="S18" s="19">
        <f>L13</f>
        <v>1.13696</v>
      </c>
      <c r="T18" s="19">
        <f>R18+S18</f>
        <v>308.21695999999997</v>
      </c>
      <c r="U18" s="20">
        <f>T18/O13</f>
        <v>0.77054239999999996</v>
      </c>
    </row>
    <row r="19" spans="1:21" x14ac:dyDescent="0.2">
      <c r="A19" t="s">
        <v>9</v>
      </c>
      <c r="B19" s="1">
        <f>0.1*B18</f>
        <v>0.4</v>
      </c>
      <c r="C19" s="1"/>
      <c r="F19" s="21" t="s">
        <v>31</v>
      </c>
      <c r="G19" s="22">
        <f>M14</f>
        <v>0.46673234811165848</v>
      </c>
      <c r="H19" s="22">
        <f>P14*1000</f>
        <v>2.8424000000000005</v>
      </c>
      <c r="I19" s="22"/>
      <c r="J19" s="3"/>
      <c r="K19" s="3" t="s">
        <v>49</v>
      </c>
      <c r="L19" s="3">
        <v>50</v>
      </c>
      <c r="M19" s="3">
        <f>'Lab scale materials calculation'!M3</f>
        <v>3.1929444365496664</v>
      </c>
      <c r="N19" s="3">
        <f>B35</f>
        <v>7.2</v>
      </c>
      <c r="O19" s="3">
        <f>M19*N19</f>
        <v>22.989199943157598</v>
      </c>
      <c r="P19" s="3"/>
      <c r="Q19" s="3" t="s">
        <v>49</v>
      </c>
      <c r="R19" s="22">
        <f>O19</f>
        <v>22.989199943157598</v>
      </c>
      <c r="S19" s="22">
        <f>L14</f>
        <v>1.1369600000000002</v>
      </c>
      <c r="T19" s="22">
        <f t="shared" ref="T19" si="1">R19+S19</f>
        <v>24.126159943157596</v>
      </c>
      <c r="U19" s="23">
        <f>T19/O14</f>
        <v>6.0315399857893991E-2</v>
      </c>
    </row>
    <row r="20" spans="1:21" x14ac:dyDescent="0.2">
      <c r="A20" t="s">
        <v>11</v>
      </c>
      <c r="B20" s="1">
        <f>B19*0.035*0.122</f>
        <v>1.7080000000000003E-3</v>
      </c>
      <c r="C20" s="1"/>
    </row>
    <row r="21" spans="1:21" x14ac:dyDescent="0.2">
      <c r="A21" s="3" t="s">
        <v>12</v>
      </c>
      <c r="B21" s="4">
        <f>(B18-B19)*2</f>
        <v>7.2</v>
      </c>
      <c r="C21" s="4"/>
    </row>
    <row r="22" spans="1:21" x14ac:dyDescent="0.2">
      <c r="A22" t="s">
        <v>15</v>
      </c>
      <c r="B22" s="1">
        <v>0.3</v>
      </c>
      <c r="C22" s="1" t="s">
        <v>16</v>
      </c>
    </row>
    <row r="23" spans="1:21" x14ac:dyDescent="0.2">
      <c r="A23" t="s">
        <v>17</v>
      </c>
      <c r="B23" s="1">
        <v>0.11</v>
      </c>
      <c r="C23" s="1" t="s">
        <v>8</v>
      </c>
    </row>
    <row r="24" spans="1:21" x14ac:dyDescent="0.2">
      <c r="A24" s="3" t="s">
        <v>18</v>
      </c>
      <c r="B24" s="4">
        <v>6</v>
      </c>
      <c r="C24" s="4" t="s">
        <v>19</v>
      </c>
    </row>
    <row r="25" spans="1:21" x14ac:dyDescent="0.2">
      <c r="A25" t="s">
        <v>21</v>
      </c>
      <c r="B25" s="1">
        <v>1.4</v>
      </c>
      <c r="C25" s="1" t="s">
        <v>16</v>
      </c>
    </row>
    <row r="26" spans="1:21" x14ac:dyDescent="0.2">
      <c r="A26" t="s">
        <v>17</v>
      </c>
      <c r="B26" s="1">
        <v>0.11</v>
      </c>
      <c r="C26" s="1" t="s">
        <v>8</v>
      </c>
    </row>
    <row r="27" spans="1:21" x14ac:dyDescent="0.2">
      <c r="A27" t="s">
        <v>18</v>
      </c>
      <c r="B27" s="1">
        <v>0.08</v>
      </c>
      <c r="C27" s="1" t="s">
        <v>19</v>
      </c>
    </row>
    <row r="29" spans="1:21" x14ac:dyDescent="0.2">
      <c r="A29" t="s">
        <v>50</v>
      </c>
    </row>
    <row r="31" spans="1:21" x14ac:dyDescent="0.2">
      <c r="B31" s="1" t="s">
        <v>4</v>
      </c>
      <c r="C31" s="1"/>
      <c r="D31" t="s">
        <v>46</v>
      </c>
    </row>
    <row r="32" spans="1:21" x14ac:dyDescent="0.2">
      <c r="A32" t="s">
        <v>7</v>
      </c>
      <c r="B32" s="1">
        <v>4</v>
      </c>
      <c r="C32" s="1"/>
      <c r="D32">
        <f>100000/B33</f>
        <v>250000</v>
      </c>
    </row>
    <row r="33" spans="1:3" x14ac:dyDescent="0.2">
      <c r="A33" t="s">
        <v>9</v>
      </c>
      <c r="B33" s="1">
        <f>B32*0.1</f>
        <v>0.4</v>
      </c>
      <c r="C33" s="1"/>
    </row>
    <row r="34" spans="1:3" x14ac:dyDescent="0.2">
      <c r="A34" t="s">
        <v>11</v>
      </c>
      <c r="B34" s="1">
        <f>B33*0.035*0.174</f>
        <v>2.4360000000000002E-3</v>
      </c>
      <c r="C34" s="1"/>
    </row>
    <row r="35" spans="1:3" x14ac:dyDescent="0.2">
      <c r="A35" s="3" t="s">
        <v>12</v>
      </c>
      <c r="B35" s="4">
        <f>(B32-B33)*2</f>
        <v>7.2</v>
      </c>
      <c r="C35" s="4"/>
    </row>
    <row r="36" spans="1:3" x14ac:dyDescent="0.2">
      <c r="A36" t="s">
        <v>15</v>
      </c>
      <c r="B36" s="1">
        <v>0.3</v>
      </c>
      <c r="C36" s="1" t="s">
        <v>16</v>
      </c>
    </row>
    <row r="37" spans="1:3" x14ac:dyDescent="0.2">
      <c r="A37" t="s">
        <v>17</v>
      </c>
      <c r="B37" s="1">
        <v>0.11</v>
      </c>
      <c r="C37" s="1" t="s">
        <v>8</v>
      </c>
    </row>
    <row r="38" spans="1:3" x14ac:dyDescent="0.2">
      <c r="A38" s="3" t="s">
        <v>18</v>
      </c>
      <c r="B38" s="4">
        <v>6</v>
      </c>
      <c r="C38" s="4" t="s">
        <v>19</v>
      </c>
    </row>
    <row r="39" spans="1:3" x14ac:dyDescent="0.2">
      <c r="A39" t="s">
        <v>21</v>
      </c>
      <c r="B39" s="1">
        <f>(G7*B41)</f>
        <v>1.4000000000000001</v>
      </c>
      <c r="C39" s="1" t="s">
        <v>16</v>
      </c>
    </row>
    <row r="40" spans="1:3" x14ac:dyDescent="0.2">
      <c r="A40" t="s">
        <v>17</v>
      </c>
      <c r="B40" s="1">
        <v>0.11</v>
      </c>
      <c r="C40" s="1" t="s">
        <v>8</v>
      </c>
    </row>
    <row r="41" spans="1:3" x14ac:dyDescent="0.2">
      <c r="A41" t="s">
        <v>18</v>
      </c>
      <c r="B41" s="1">
        <v>0.08</v>
      </c>
      <c r="C41" s="1" t="s">
        <v>19</v>
      </c>
    </row>
  </sheetData>
  <mergeCells count="6">
    <mergeCell ref="Q15:U15"/>
    <mergeCell ref="F10:U10"/>
    <mergeCell ref="E2:F2"/>
    <mergeCell ref="G2:H2"/>
    <mergeCell ref="F15:H15"/>
    <mergeCell ref="K15:O1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A271-B6BC-0340-810A-9ABB09720B34}">
  <dimension ref="A1:F14"/>
  <sheetViews>
    <sheetView zoomScale="70" zoomScaleNormal="70" workbookViewId="0">
      <selection activeCell="D4" sqref="D4"/>
    </sheetView>
  </sheetViews>
  <sheetFormatPr baseColWidth="10" defaultColWidth="11" defaultRowHeight="16" x14ac:dyDescent="0.2"/>
  <cols>
    <col min="1" max="1" width="21.83203125" bestFit="1" customWidth="1"/>
    <col min="2" max="2" width="30" bestFit="1" customWidth="1"/>
    <col min="3" max="3" width="28.83203125" bestFit="1" customWidth="1"/>
    <col min="4" max="4" width="13.1640625" customWidth="1"/>
    <col min="5" max="5" width="17.6640625" bestFit="1" customWidth="1"/>
    <col min="6" max="6" width="14.1640625" bestFit="1" customWidth="1"/>
  </cols>
  <sheetData>
    <row r="1" spans="1:6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2">
      <c r="A2" t="s">
        <v>57</v>
      </c>
      <c r="B2" t="s">
        <v>58</v>
      </c>
      <c r="C2">
        <v>0.06</v>
      </c>
      <c r="D2">
        <f>'Lab scale materials and energy'!G12</f>
        <v>0.11165000000000001</v>
      </c>
      <c r="E2">
        <f>C2/D2</f>
        <v>0.53739364084191665</v>
      </c>
      <c r="F2">
        <f>C2/'Lab scale materials and energy'!O12</f>
        <v>6.0000000000000001E-3</v>
      </c>
    </row>
    <row r="3" spans="1:6" x14ac:dyDescent="0.2">
      <c r="A3" t="s">
        <v>57</v>
      </c>
      <c r="B3" t="s">
        <v>59</v>
      </c>
      <c r="C3">
        <v>2.78</v>
      </c>
      <c r="D3">
        <f>'Lab scale materials and energy'!G13</f>
        <v>1.7080000000000004</v>
      </c>
      <c r="E3">
        <f>C3/D3</f>
        <v>1.6276346604215453</v>
      </c>
      <c r="F3">
        <f>C3/'Lab scale materials and energy'!O13</f>
        <v>6.9499999999999996E-3</v>
      </c>
    </row>
    <row r="4" spans="1:6" x14ac:dyDescent="0.2">
      <c r="A4" t="s">
        <v>60</v>
      </c>
      <c r="B4" t="s">
        <v>59</v>
      </c>
      <c r="C4">
        <v>2.78</v>
      </c>
      <c r="D4">
        <f>'Lab scale materials and energy'!G14</f>
        <v>2.4360000000000004</v>
      </c>
      <c r="E4">
        <f>C4/D4</f>
        <v>1.1412151067323479</v>
      </c>
      <c r="F4">
        <f>C4/'Lab scale materials and energy'!O14</f>
        <v>6.9499999999999996E-3</v>
      </c>
    </row>
    <row r="7" spans="1:6" x14ac:dyDescent="0.2">
      <c r="B7" t="s">
        <v>61</v>
      </c>
      <c r="C7" t="s">
        <v>62</v>
      </c>
    </row>
    <row r="8" spans="1:6" x14ac:dyDescent="0.2">
      <c r="A8" t="s">
        <v>29</v>
      </c>
      <c r="B8">
        <f>E2</f>
        <v>0.53739364084191665</v>
      </c>
      <c r="C8">
        <v>6.0000000000000001E-3</v>
      </c>
    </row>
    <row r="9" spans="1:6" x14ac:dyDescent="0.2">
      <c r="A9" t="s">
        <v>30</v>
      </c>
      <c r="B9">
        <f>E3</f>
        <v>1.6276346604215453</v>
      </c>
      <c r="C9">
        <v>6.9499999999999996E-3</v>
      </c>
    </row>
    <row r="10" spans="1:6" x14ac:dyDescent="0.2">
      <c r="A10" t="s">
        <v>31</v>
      </c>
      <c r="B10">
        <f>E4</f>
        <v>1.1412151067323479</v>
      </c>
      <c r="C10">
        <v>6.9499999999999996E-3</v>
      </c>
    </row>
    <row r="11" spans="1:6" x14ac:dyDescent="0.2">
      <c r="B11" t="s">
        <v>62</v>
      </c>
    </row>
    <row r="12" spans="1:6" x14ac:dyDescent="0.2">
      <c r="A12" t="s">
        <v>29</v>
      </c>
      <c r="B12" s="28">
        <f>F2</f>
        <v>6.0000000000000001E-3</v>
      </c>
    </row>
    <row r="13" spans="1:6" x14ac:dyDescent="0.2">
      <c r="A13" t="s">
        <v>30</v>
      </c>
      <c r="B13" s="28">
        <f>F3</f>
        <v>6.9499999999999996E-3</v>
      </c>
    </row>
    <row r="14" spans="1:6" x14ac:dyDescent="0.2">
      <c r="A14" t="s">
        <v>31</v>
      </c>
      <c r="B14" s="28">
        <f>F4</f>
        <v>6.9499999999999996E-3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A11F-86D6-5E48-A7CF-56410451651F}">
  <dimension ref="A1:N18"/>
  <sheetViews>
    <sheetView topLeftCell="E1" workbookViewId="0">
      <selection activeCell="H19" sqref="H19"/>
    </sheetView>
  </sheetViews>
  <sheetFormatPr baseColWidth="10" defaultColWidth="11" defaultRowHeight="16" x14ac:dyDescent="0.2"/>
  <cols>
    <col min="1" max="1" width="23.1640625" customWidth="1"/>
    <col min="6" max="6" width="24.5" customWidth="1"/>
  </cols>
  <sheetData>
    <row r="1" spans="1:14" x14ac:dyDescent="0.2">
      <c r="A1" s="24"/>
      <c r="B1" s="25" t="s">
        <v>63</v>
      </c>
      <c r="C1" s="25" t="s">
        <v>7</v>
      </c>
      <c r="D1" s="26" t="s">
        <v>64</v>
      </c>
      <c r="F1" s="24"/>
      <c r="G1" s="25" t="s">
        <v>63</v>
      </c>
      <c r="H1" s="25" t="s">
        <v>65</v>
      </c>
      <c r="I1" s="25" t="s">
        <v>66</v>
      </c>
      <c r="J1" s="25" t="s">
        <v>67</v>
      </c>
      <c r="K1" s="25" t="s">
        <v>68</v>
      </c>
      <c r="L1" s="25" t="s">
        <v>7</v>
      </c>
      <c r="M1" s="25" t="s">
        <v>39</v>
      </c>
      <c r="N1" s="26" t="s">
        <v>69</v>
      </c>
    </row>
    <row r="2" spans="1:14" x14ac:dyDescent="0.2">
      <c r="A2" s="17" t="s">
        <v>70</v>
      </c>
      <c r="B2">
        <v>42.65</v>
      </c>
      <c r="C2">
        <v>1</v>
      </c>
      <c r="D2" s="18">
        <f>B2/C2</f>
        <v>42.65</v>
      </c>
      <c r="F2" s="17" t="s">
        <v>71</v>
      </c>
      <c r="G2">
        <v>35.950000000000003</v>
      </c>
      <c r="H2">
        <v>4.54</v>
      </c>
      <c r="N2" s="18"/>
    </row>
    <row r="3" spans="1:14" x14ac:dyDescent="0.2">
      <c r="A3" s="21" t="s">
        <v>72</v>
      </c>
      <c r="B3" s="3">
        <f>B2/2</f>
        <v>21.324999999999999</v>
      </c>
      <c r="C3" s="3">
        <v>1</v>
      </c>
      <c r="D3" s="27">
        <f>B3/C3</f>
        <v>21.324999999999999</v>
      </c>
      <c r="F3" s="17" t="s">
        <v>73</v>
      </c>
      <c r="G3">
        <v>35.950000000000003</v>
      </c>
      <c r="H3">
        <v>4.54</v>
      </c>
      <c r="I3">
        <v>4.54</v>
      </c>
      <c r="J3">
        <f>G3/(H3+I3)</f>
        <v>3.9592511013215863</v>
      </c>
      <c r="K3">
        <v>1.24</v>
      </c>
      <c r="L3">
        <f>(H3+I3)*K3</f>
        <v>11.2592</v>
      </c>
      <c r="M3">
        <f>G3/L3</f>
        <v>3.1929444365496664</v>
      </c>
      <c r="N3" s="18">
        <v>2E-3</v>
      </c>
    </row>
    <row r="4" spans="1:14" x14ac:dyDescent="0.2">
      <c r="F4" s="21" t="s">
        <v>74</v>
      </c>
      <c r="G4" s="3">
        <v>35.950000000000003</v>
      </c>
      <c r="H4" s="3">
        <v>4.54</v>
      </c>
      <c r="I4" s="3">
        <f>I3*2</f>
        <v>9.08</v>
      </c>
      <c r="J4" s="3">
        <f>G4/(H4+I4)</f>
        <v>2.6395007342143906</v>
      </c>
      <c r="K4" s="3">
        <v>1.1000000000000001</v>
      </c>
      <c r="L4" s="3">
        <f>(I4+H4)*K4</f>
        <v>14.982000000000003</v>
      </c>
      <c r="M4" s="3">
        <f>G4/L4</f>
        <v>2.3995461220130823</v>
      </c>
      <c r="N4" s="27">
        <v>2E-3</v>
      </c>
    </row>
    <row r="6" spans="1:14" x14ac:dyDescent="0.2">
      <c r="F6" t="s">
        <v>75</v>
      </c>
      <c r="G6" t="s">
        <v>39</v>
      </c>
      <c r="H6" t="s">
        <v>76</v>
      </c>
      <c r="I6" t="s">
        <v>65</v>
      </c>
      <c r="J6" t="s">
        <v>66</v>
      </c>
      <c r="K6" t="s">
        <v>69</v>
      </c>
      <c r="L6" t="s">
        <v>77</v>
      </c>
      <c r="M6" t="s">
        <v>41</v>
      </c>
    </row>
    <row r="7" spans="1:14" x14ac:dyDescent="0.2">
      <c r="F7" t="s">
        <v>73</v>
      </c>
      <c r="G7">
        <f>B2</f>
        <v>42.65</v>
      </c>
      <c r="H7">
        <v>1.25</v>
      </c>
      <c r="I7">
        <f>1.25*1000</f>
        <v>1250</v>
      </c>
    </row>
    <row r="8" spans="1:14" x14ac:dyDescent="0.2">
      <c r="F8" t="s">
        <v>74</v>
      </c>
      <c r="I8">
        <v>1250</v>
      </c>
      <c r="J8">
        <v>1250</v>
      </c>
      <c r="K8">
        <v>2E-3</v>
      </c>
      <c r="L8">
        <f>J8*K8</f>
        <v>2.5</v>
      </c>
      <c r="M8">
        <v>42.65</v>
      </c>
    </row>
    <row r="10" spans="1:14" x14ac:dyDescent="0.2">
      <c r="G10" t="s">
        <v>78</v>
      </c>
      <c r="H10" t="s">
        <v>79</v>
      </c>
    </row>
    <row r="11" spans="1:14" x14ac:dyDescent="0.2">
      <c r="E11" s="69" t="s">
        <v>80</v>
      </c>
      <c r="F11" t="s">
        <v>81</v>
      </c>
      <c r="G11">
        <f>7.2*1000</f>
        <v>7200</v>
      </c>
      <c r="H11">
        <f>(H7*G11)/1000</f>
        <v>9</v>
      </c>
    </row>
    <row r="12" spans="1:14" x14ac:dyDescent="0.2">
      <c r="E12" s="69"/>
      <c r="F12" t="s">
        <v>82</v>
      </c>
      <c r="G12">
        <v>7200</v>
      </c>
      <c r="H12">
        <f>(K3*G12)/1000</f>
        <v>8.9280000000000008</v>
      </c>
    </row>
    <row r="13" spans="1:14" x14ac:dyDescent="0.2">
      <c r="E13" t="s">
        <v>83</v>
      </c>
      <c r="F13" t="s">
        <v>81</v>
      </c>
      <c r="G13">
        <f>0.99*1000</f>
        <v>990</v>
      </c>
      <c r="H13">
        <f>(G13*H7)/1000</f>
        <v>1.2375</v>
      </c>
    </row>
    <row r="16" spans="1:14" x14ac:dyDescent="0.2">
      <c r="G16" t="s">
        <v>78</v>
      </c>
      <c r="H16" t="s">
        <v>79</v>
      </c>
    </row>
    <row r="17" spans="5:8" x14ac:dyDescent="0.2">
      <c r="E17" t="s">
        <v>81</v>
      </c>
      <c r="G17">
        <f>(6923*1000)</f>
        <v>6923000</v>
      </c>
      <c r="H17">
        <f>(G17*H7)/1000</f>
        <v>8653.75</v>
      </c>
    </row>
    <row r="18" spans="5:8" x14ac:dyDescent="0.2">
      <c r="E18" t="s">
        <v>84</v>
      </c>
      <c r="G18">
        <f>(6923*1000)</f>
        <v>6923000</v>
      </c>
      <c r="H18">
        <f>(G18*K3)/1000</f>
        <v>8584.52</v>
      </c>
    </row>
  </sheetData>
  <mergeCells count="1">
    <mergeCell ref="E11:E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E961-EA0C-034A-8FDA-05A548760D7F}">
  <dimension ref="A1:O12"/>
  <sheetViews>
    <sheetView workbookViewId="0">
      <selection activeCell="E16" sqref="E16"/>
    </sheetView>
  </sheetViews>
  <sheetFormatPr baseColWidth="10" defaultColWidth="11" defaultRowHeight="16" x14ac:dyDescent="0.2"/>
  <cols>
    <col min="1" max="1" width="20.33203125" bestFit="1" customWidth="1"/>
    <col min="2" max="2" width="18.5" bestFit="1" customWidth="1"/>
    <col min="3" max="3" width="6.33203125" bestFit="1" customWidth="1"/>
    <col min="4" max="4" width="15.33203125" bestFit="1" customWidth="1"/>
    <col min="9" max="9" width="11.83203125" bestFit="1" customWidth="1"/>
  </cols>
  <sheetData>
    <row r="1" spans="1:15" ht="19" x14ac:dyDescent="0.25">
      <c r="A1" s="41" t="s">
        <v>85</v>
      </c>
      <c r="B1" s="42" t="s">
        <v>86</v>
      </c>
      <c r="C1" s="42"/>
      <c r="D1" s="43" t="s">
        <v>87</v>
      </c>
      <c r="E1" t="s">
        <v>88</v>
      </c>
    </row>
    <row r="2" spans="1:15" x14ac:dyDescent="0.2">
      <c r="A2" s="11" t="s">
        <v>89</v>
      </c>
      <c r="B2" s="42">
        <v>1</v>
      </c>
      <c r="C2" s="42"/>
      <c r="D2" s="43">
        <v>38500</v>
      </c>
      <c r="E2">
        <f>D2/B2</f>
        <v>38500</v>
      </c>
      <c r="H2" s="38"/>
      <c r="I2" s="70" t="s">
        <v>90</v>
      </c>
      <c r="J2" s="70"/>
      <c r="K2" s="70"/>
      <c r="L2" s="70"/>
      <c r="M2" s="70"/>
      <c r="N2" s="70"/>
      <c r="O2" s="70"/>
    </row>
    <row r="3" spans="1:15" x14ac:dyDescent="0.2">
      <c r="A3" s="11" t="s">
        <v>9</v>
      </c>
      <c r="B3" s="42">
        <v>0.01</v>
      </c>
      <c r="C3" s="42"/>
      <c r="D3" s="43">
        <v>385</v>
      </c>
      <c r="H3" s="38"/>
      <c r="I3" s="38" t="s">
        <v>91</v>
      </c>
      <c r="J3" s="38" t="s">
        <v>92</v>
      </c>
      <c r="K3" s="38" t="s">
        <v>93</v>
      </c>
      <c r="L3" s="38" t="s">
        <v>94</v>
      </c>
      <c r="M3" s="38" t="s">
        <v>95</v>
      </c>
      <c r="N3" s="38" t="s">
        <v>96</v>
      </c>
      <c r="O3" s="38" t="s">
        <v>97</v>
      </c>
    </row>
    <row r="4" spans="1:15" x14ac:dyDescent="0.2">
      <c r="A4" s="11" t="s">
        <v>11</v>
      </c>
      <c r="B4" s="44">
        <v>1.1165E-4</v>
      </c>
      <c r="C4" s="42"/>
      <c r="D4" s="43">
        <v>4.3</v>
      </c>
      <c r="H4" s="38" t="s">
        <v>98</v>
      </c>
      <c r="I4" s="38">
        <f>(D6+D9)*(D8+D11)</f>
        <v>37961</v>
      </c>
      <c r="J4" s="39">
        <v>10199.52</v>
      </c>
      <c r="K4" s="38"/>
      <c r="L4" s="38"/>
      <c r="M4" s="38"/>
      <c r="N4" s="38"/>
      <c r="O4" s="38"/>
    </row>
    <row r="5" spans="1:15" x14ac:dyDescent="0.2">
      <c r="A5" s="11" t="s">
        <v>12</v>
      </c>
      <c r="B5" s="42">
        <v>0.99</v>
      </c>
      <c r="C5" s="42"/>
      <c r="D5" s="43">
        <v>38115</v>
      </c>
      <c r="H5" s="38"/>
      <c r="I5" s="38"/>
      <c r="J5" s="38"/>
      <c r="K5" s="38"/>
      <c r="L5" s="38"/>
      <c r="M5" s="38"/>
      <c r="N5" s="38"/>
      <c r="O5" s="38"/>
    </row>
    <row r="6" spans="1:15" x14ac:dyDescent="0.2">
      <c r="A6" s="45" t="s">
        <v>15</v>
      </c>
      <c r="B6" s="46">
        <v>0.3</v>
      </c>
      <c r="C6" s="46" t="s">
        <v>16</v>
      </c>
      <c r="D6" s="47">
        <v>11550</v>
      </c>
      <c r="H6" s="38"/>
      <c r="I6" s="38"/>
      <c r="J6" s="38"/>
      <c r="K6" s="38"/>
      <c r="L6" s="38"/>
      <c r="M6" s="38"/>
      <c r="N6" s="38"/>
      <c r="O6" s="38"/>
    </row>
    <row r="7" spans="1:15" x14ac:dyDescent="0.2">
      <c r="A7" s="11" t="s">
        <v>17</v>
      </c>
      <c r="B7" s="48">
        <v>0.11</v>
      </c>
      <c r="C7" s="42" t="s">
        <v>8</v>
      </c>
      <c r="D7" s="49">
        <v>0.11</v>
      </c>
      <c r="H7" s="38"/>
      <c r="I7" s="38"/>
      <c r="J7" s="38"/>
      <c r="K7" s="38"/>
      <c r="L7" s="38"/>
      <c r="M7" s="38"/>
      <c r="N7" s="38"/>
      <c r="O7" s="38"/>
    </row>
    <row r="8" spans="1:15" x14ac:dyDescent="0.2">
      <c r="A8" s="50" t="s">
        <v>18</v>
      </c>
      <c r="B8" s="51">
        <v>0.5</v>
      </c>
      <c r="C8" s="51" t="s">
        <v>19</v>
      </c>
      <c r="D8" s="52">
        <v>0.5</v>
      </c>
      <c r="H8" s="38"/>
      <c r="I8" s="70" t="s">
        <v>99</v>
      </c>
      <c r="J8" s="70"/>
      <c r="K8" s="70"/>
      <c r="L8" s="70"/>
      <c r="M8" s="70"/>
      <c r="N8" s="70"/>
      <c r="O8" s="70"/>
    </row>
    <row r="9" spans="1:15" x14ac:dyDescent="0.2">
      <c r="A9" s="11" t="s">
        <v>21</v>
      </c>
      <c r="B9" s="42">
        <v>1.4</v>
      </c>
      <c r="C9" s="42" t="s">
        <v>16</v>
      </c>
      <c r="D9" s="43">
        <v>53900</v>
      </c>
      <c r="H9" s="38"/>
      <c r="I9" s="38" t="s">
        <v>91</v>
      </c>
      <c r="J9" s="38" t="s">
        <v>92</v>
      </c>
      <c r="K9" s="38" t="s">
        <v>93</v>
      </c>
      <c r="L9" s="38" t="s">
        <v>94</v>
      </c>
      <c r="M9" s="38" t="s">
        <v>95</v>
      </c>
      <c r="N9" s="38" t="s">
        <v>96</v>
      </c>
      <c r="O9" s="38" t="s">
        <v>97</v>
      </c>
    </row>
    <row r="10" spans="1:15" x14ac:dyDescent="0.2">
      <c r="A10" s="11" t="s">
        <v>17</v>
      </c>
      <c r="B10" s="48">
        <v>0.11</v>
      </c>
      <c r="C10" s="42" t="s">
        <v>8</v>
      </c>
      <c r="D10" s="49">
        <v>0.11</v>
      </c>
      <c r="H10" s="38" t="s">
        <v>98</v>
      </c>
      <c r="I10" s="38">
        <f>I4*260</f>
        <v>9869860</v>
      </c>
      <c r="J10" s="38">
        <f>J4*260</f>
        <v>2651875.2000000002</v>
      </c>
      <c r="K10" s="38"/>
      <c r="L10" s="38"/>
      <c r="M10" s="38"/>
      <c r="N10" s="38"/>
      <c r="O10" s="38"/>
    </row>
    <row r="11" spans="1:15" x14ac:dyDescent="0.2">
      <c r="A11" s="11" t="s">
        <v>18</v>
      </c>
      <c r="B11" s="42">
        <v>0.08</v>
      </c>
      <c r="C11" s="42" t="s">
        <v>19</v>
      </c>
      <c r="D11" s="43">
        <v>0.08</v>
      </c>
      <c r="H11" s="38"/>
      <c r="I11" s="38"/>
      <c r="J11" s="38"/>
      <c r="K11" s="38"/>
      <c r="L11" s="38"/>
      <c r="M11" s="38"/>
      <c r="N11" s="38"/>
      <c r="O11" s="38"/>
    </row>
    <row r="12" spans="1:15" x14ac:dyDescent="0.2">
      <c r="H12" s="38"/>
      <c r="I12" s="38"/>
      <c r="J12" s="38"/>
      <c r="K12" s="38"/>
      <c r="L12" s="38"/>
      <c r="M12" s="38"/>
      <c r="N12" s="38"/>
      <c r="O12" s="38"/>
    </row>
  </sheetData>
  <mergeCells count="2">
    <mergeCell ref="I2:O2"/>
    <mergeCell ref="I8:O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E503-C3D6-DC42-8F9D-4643B9316C1C}">
  <dimension ref="A1:E3"/>
  <sheetViews>
    <sheetView workbookViewId="0">
      <selection activeCell="E2" sqref="E2"/>
    </sheetView>
  </sheetViews>
  <sheetFormatPr baseColWidth="10" defaultColWidth="11" defaultRowHeight="16" x14ac:dyDescent="0.2"/>
  <cols>
    <col min="2" max="2" width="23.33203125" bestFit="1" customWidth="1"/>
    <col min="3" max="3" width="19" bestFit="1" customWidth="1"/>
    <col min="4" max="4" width="20.1640625" bestFit="1" customWidth="1"/>
    <col min="5" max="5" width="15.83203125" bestFit="1" customWidth="1"/>
  </cols>
  <sheetData>
    <row r="1" spans="1:5" x14ac:dyDescent="0.2">
      <c r="B1" t="s">
        <v>100</v>
      </c>
      <c r="C1" t="s">
        <v>101</v>
      </c>
      <c r="D1" t="s">
        <v>102</v>
      </c>
      <c r="E1" t="s">
        <v>103</v>
      </c>
    </row>
    <row r="2" spans="1:5" x14ac:dyDescent="0.2">
      <c r="A2" t="s">
        <v>60</v>
      </c>
      <c r="B2" s="16">
        <v>100000</v>
      </c>
      <c r="C2">
        <v>3.5000000000000003E-2</v>
      </c>
      <c r="D2">
        <f>B2*C2</f>
        <v>3500.0000000000005</v>
      </c>
      <c r="E2">
        <f>D2*0.174</f>
        <v>609</v>
      </c>
    </row>
    <row r="3" spans="1:5" x14ac:dyDescent="0.2">
      <c r="A3" t="s">
        <v>57</v>
      </c>
      <c r="B3" s="16">
        <v>100000</v>
      </c>
      <c r="C3">
        <v>3.5000000000000003E-2</v>
      </c>
      <c r="D3">
        <f>B3*C3</f>
        <v>3500.0000000000005</v>
      </c>
      <c r="E3">
        <f>D3*0.122</f>
        <v>427.00000000000006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428A-A7B2-9F45-8F95-51C0C81D1AAD}">
  <dimension ref="A2:O5"/>
  <sheetViews>
    <sheetView topLeftCell="G1" workbookViewId="0">
      <selection activeCell="G29" sqref="G29"/>
    </sheetView>
  </sheetViews>
  <sheetFormatPr baseColWidth="10" defaultColWidth="11" defaultRowHeight="16" x14ac:dyDescent="0.2"/>
  <cols>
    <col min="1" max="1" width="20" bestFit="1" customWidth="1"/>
    <col min="2" max="2" width="7.1640625" bestFit="1" customWidth="1"/>
    <col min="3" max="3" width="9.6640625" bestFit="1" customWidth="1"/>
    <col min="7" max="7" width="23.5" bestFit="1" customWidth="1"/>
  </cols>
  <sheetData>
    <row r="2" spans="1:15" x14ac:dyDescent="0.2">
      <c r="A2" s="24"/>
      <c r="B2" s="25" t="s">
        <v>63</v>
      </c>
      <c r="C2" s="25" t="s">
        <v>7</v>
      </c>
      <c r="D2" s="26" t="s">
        <v>64</v>
      </c>
      <c r="G2" s="24"/>
      <c r="H2" s="25" t="s">
        <v>63</v>
      </c>
      <c r="I2" s="25" t="s">
        <v>65</v>
      </c>
      <c r="J2" s="25" t="s">
        <v>66</v>
      </c>
      <c r="K2" s="25" t="s">
        <v>67</v>
      </c>
      <c r="L2" s="25" t="s">
        <v>68</v>
      </c>
      <c r="M2" s="25" t="s">
        <v>7</v>
      </c>
      <c r="N2" s="25" t="s">
        <v>39</v>
      </c>
      <c r="O2" s="26" t="s">
        <v>69</v>
      </c>
    </row>
    <row r="3" spans="1:15" x14ac:dyDescent="0.2">
      <c r="A3" s="17" t="s">
        <v>70</v>
      </c>
      <c r="B3">
        <v>2761</v>
      </c>
      <c r="C3">
        <v>200</v>
      </c>
      <c r="D3" s="18">
        <f>B3/C3</f>
        <v>13.805</v>
      </c>
      <c r="G3" s="17" t="s">
        <v>71</v>
      </c>
      <c r="H3">
        <v>4802.45</v>
      </c>
      <c r="I3">
        <f>2000/2.205</f>
        <v>907.02947845804988</v>
      </c>
      <c r="O3" s="18"/>
    </row>
    <row r="4" spans="1:15" x14ac:dyDescent="0.2">
      <c r="A4" s="21" t="s">
        <v>72</v>
      </c>
      <c r="B4" s="3">
        <f>B3/2</f>
        <v>1380.5</v>
      </c>
      <c r="C4" s="3">
        <v>200</v>
      </c>
      <c r="D4" s="27">
        <f>B4/C4</f>
        <v>6.9024999999999999</v>
      </c>
      <c r="G4" s="17" t="s">
        <v>73</v>
      </c>
      <c r="H4">
        <v>4802.45</v>
      </c>
      <c r="I4">
        <f t="shared" ref="I4:I5" si="0">2000/2.205</f>
        <v>907.02947845804988</v>
      </c>
      <c r="J4">
        <f>I4</f>
        <v>907.02947845804988</v>
      </c>
      <c r="K4">
        <f>H4/(I4+J4)</f>
        <v>2.6473505624999998</v>
      </c>
      <c r="L4">
        <v>1.24</v>
      </c>
      <c r="M4">
        <f>(I4+J4)*L4</f>
        <v>2249.4331065759638</v>
      </c>
      <c r="N4">
        <f>H4/M4</f>
        <v>2.1349601310483868</v>
      </c>
      <c r="O4" s="18">
        <v>2E-3</v>
      </c>
    </row>
    <row r="5" spans="1:15" x14ac:dyDescent="0.2">
      <c r="G5" s="21" t="s">
        <v>74</v>
      </c>
      <c r="H5" s="3">
        <v>4802.45</v>
      </c>
      <c r="I5" s="3">
        <f t="shared" si="0"/>
        <v>907.02947845804988</v>
      </c>
      <c r="J5" s="3">
        <f>I5*2</f>
        <v>1814.0589569160998</v>
      </c>
      <c r="K5" s="3">
        <f>H5/(I5+J5)</f>
        <v>1.7649003750000001</v>
      </c>
      <c r="L5" s="3">
        <v>1.1000000000000001</v>
      </c>
      <c r="M5" s="3">
        <f>(J5+I5)*L5</f>
        <v>2993.1972789115648</v>
      </c>
      <c r="N5" s="3">
        <f>H5/M5</f>
        <v>1.6044548863636363</v>
      </c>
      <c r="O5" s="27">
        <v>2E-3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C43B-396E-FC43-ACEC-66F520F6DA3F}">
  <dimension ref="A1:Y49"/>
  <sheetViews>
    <sheetView topLeftCell="D1" workbookViewId="0">
      <selection activeCell="R29" sqref="R29"/>
    </sheetView>
  </sheetViews>
  <sheetFormatPr baseColWidth="10" defaultColWidth="11" defaultRowHeight="16" x14ac:dyDescent="0.2"/>
  <cols>
    <col min="1" max="1" width="23.1640625" customWidth="1"/>
    <col min="2" max="2" width="14.33203125" bestFit="1" customWidth="1"/>
    <col min="4" max="4" width="32.83203125" bestFit="1" customWidth="1"/>
    <col min="5" max="5" width="12.5" bestFit="1" customWidth="1"/>
    <col min="7" max="7" width="21.83203125" bestFit="1" customWidth="1"/>
    <col min="8" max="8" width="27.33203125" bestFit="1" customWidth="1"/>
    <col min="9" max="9" width="21.1640625" bestFit="1" customWidth="1"/>
    <col min="10" max="10" width="22" bestFit="1" customWidth="1"/>
    <col min="11" max="11" width="17.6640625" bestFit="1" customWidth="1"/>
    <col min="12" max="12" width="21.1640625" bestFit="1" customWidth="1"/>
    <col min="13" max="13" width="13.6640625" bestFit="1" customWidth="1"/>
    <col min="14" max="15" width="12.1640625" bestFit="1" customWidth="1"/>
    <col min="16" max="17" width="16.5" bestFit="1" customWidth="1"/>
    <col min="18" max="18" width="17.83203125" bestFit="1" customWidth="1"/>
    <col min="19" max="20" width="13.6640625" bestFit="1" customWidth="1"/>
    <col min="21" max="21" width="14.6640625" bestFit="1" customWidth="1"/>
    <col min="22" max="22" width="12" bestFit="1" customWidth="1"/>
    <col min="23" max="23" width="15" bestFit="1" customWidth="1"/>
  </cols>
  <sheetData>
    <row r="1" spans="1:22" x14ac:dyDescent="0.2">
      <c r="A1" t="s">
        <v>32</v>
      </c>
    </row>
    <row r="2" spans="1:22" x14ac:dyDescent="0.2">
      <c r="E2" t="s">
        <v>104</v>
      </c>
      <c r="F2" t="s">
        <v>105</v>
      </c>
    </row>
    <row r="3" spans="1:22" x14ac:dyDescent="0.2">
      <c r="B3" s="29" t="s">
        <v>4</v>
      </c>
      <c r="C3" s="29"/>
      <c r="D3" s="31" t="s">
        <v>106</v>
      </c>
      <c r="E3" t="s">
        <v>46</v>
      </c>
      <c r="F3" t="s">
        <v>5</v>
      </c>
    </row>
    <row r="4" spans="1:22" x14ac:dyDescent="0.2">
      <c r="A4" t="s">
        <v>7</v>
      </c>
      <c r="B4" s="29">
        <v>4</v>
      </c>
      <c r="C4" s="29"/>
      <c r="D4" s="32">
        <f>D5*10</f>
        <v>3846.1538461538466</v>
      </c>
      <c r="E4" s="30">
        <f>D4/B4</f>
        <v>961.53846153846166</v>
      </c>
      <c r="F4">
        <f>100000/B5</f>
        <v>250000</v>
      </c>
    </row>
    <row r="5" spans="1:22" x14ac:dyDescent="0.2">
      <c r="A5" t="s">
        <v>9</v>
      </c>
      <c r="B5" s="29">
        <v>0.4</v>
      </c>
      <c r="C5" s="29"/>
      <c r="D5" s="32">
        <f>100000/260</f>
        <v>384.61538461538464</v>
      </c>
      <c r="E5" s="30"/>
    </row>
    <row r="6" spans="1:22" x14ac:dyDescent="0.2">
      <c r="A6" t="s">
        <v>11</v>
      </c>
      <c r="B6" s="29">
        <v>1.7080000000000003E-3</v>
      </c>
      <c r="C6" s="29"/>
      <c r="D6" s="32">
        <f>B6*E4</f>
        <v>1.6423076923076929</v>
      </c>
    </row>
    <row r="7" spans="1:22" x14ac:dyDescent="0.2">
      <c r="A7" t="s">
        <v>12</v>
      </c>
      <c r="B7" s="29">
        <v>7.2</v>
      </c>
      <c r="C7" s="29"/>
      <c r="D7" s="32">
        <f>B7*E4</f>
        <v>6923.0769230769238</v>
      </c>
      <c r="G7" s="71" t="s">
        <v>107</v>
      </c>
      <c r="H7" s="72"/>
      <c r="I7" s="72"/>
      <c r="J7" s="72"/>
      <c r="K7" s="72"/>
      <c r="L7" s="72"/>
      <c r="M7" s="72"/>
      <c r="N7" s="72"/>
      <c r="O7" s="72"/>
      <c r="P7" s="72"/>
      <c r="Q7" s="25"/>
      <c r="R7" s="25"/>
      <c r="S7" s="25"/>
      <c r="T7" s="25"/>
      <c r="U7" s="25"/>
      <c r="V7" s="26"/>
    </row>
    <row r="8" spans="1:22" x14ac:dyDescent="0.2">
      <c r="A8" t="s">
        <v>15</v>
      </c>
      <c r="B8" s="29">
        <v>0.3</v>
      </c>
      <c r="C8" s="29" t="s">
        <v>16</v>
      </c>
      <c r="D8" s="32">
        <f>B8*E4</f>
        <v>288.46153846153851</v>
      </c>
      <c r="G8" s="17"/>
      <c r="H8" t="s">
        <v>22</v>
      </c>
      <c r="I8" t="s">
        <v>23</v>
      </c>
      <c r="J8" t="s">
        <v>24</v>
      </c>
      <c r="K8" t="s">
        <v>3</v>
      </c>
      <c r="L8" t="s">
        <v>8</v>
      </c>
      <c r="M8" t="s">
        <v>25</v>
      </c>
      <c r="N8" t="s">
        <v>26</v>
      </c>
      <c r="O8" t="s">
        <v>108</v>
      </c>
      <c r="P8" t="s">
        <v>37</v>
      </c>
      <c r="V8" s="18"/>
    </row>
    <row r="9" spans="1:22" x14ac:dyDescent="0.2">
      <c r="A9" t="s">
        <v>17</v>
      </c>
      <c r="B9" s="29">
        <v>0.11</v>
      </c>
      <c r="C9" s="29" t="s">
        <v>8</v>
      </c>
      <c r="D9" s="33">
        <f>B9</f>
        <v>0.11</v>
      </c>
      <c r="G9" s="17" t="s">
        <v>30</v>
      </c>
      <c r="H9" s="35">
        <f>D6</f>
        <v>1.6423076923076929</v>
      </c>
      <c r="I9" s="35">
        <f>D8+D11</f>
        <v>1634.6153846153848</v>
      </c>
      <c r="J9" s="35">
        <f>D10+D13</f>
        <v>6.08</v>
      </c>
      <c r="K9" s="35">
        <f>I9*J9</f>
        <v>9938.461538461539</v>
      </c>
      <c r="L9">
        <f>B9</f>
        <v>0.11</v>
      </c>
      <c r="M9">
        <f>K9*L9</f>
        <v>1093.2307692307693</v>
      </c>
      <c r="N9">
        <f>M9/H9</f>
        <v>665.66744730679136</v>
      </c>
      <c r="O9" s="16">
        <f>D5</f>
        <v>384.61538461538464</v>
      </c>
      <c r="P9">
        <f>M9/O9</f>
        <v>2.8424</v>
      </c>
      <c r="V9" s="18"/>
    </row>
    <row r="10" spans="1:22" x14ac:dyDescent="0.2">
      <c r="A10" t="s">
        <v>18</v>
      </c>
      <c r="B10" s="29">
        <v>6</v>
      </c>
      <c r="C10" s="29" t="s">
        <v>19</v>
      </c>
      <c r="D10" s="32">
        <f>B10</f>
        <v>6</v>
      </c>
      <c r="G10" s="17" t="s">
        <v>31</v>
      </c>
      <c r="H10" s="35">
        <f>D20</f>
        <v>2.3423076923076929</v>
      </c>
      <c r="I10" s="35">
        <f>D22+D25</f>
        <v>1634.615384615385</v>
      </c>
      <c r="J10" s="35">
        <f>D24+D27</f>
        <v>6.08</v>
      </c>
      <c r="K10" s="35">
        <f>I10*J10</f>
        <v>9938.4615384615408</v>
      </c>
      <c r="L10">
        <f>B23</f>
        <v>0.11</v>
      </c>
      <c r="M10">
        <f>K10*L10</f>
        <v>1093.2307692307695</v>
      </c>
      <c r="N10">
        <f>M10/H10</f>
        <v>466.73234811165844</v>
      </c>
      <c r="O10" s="16">
        <f>D19</f>
        <v>384.61538461538464</v>
      </c>
      <c r="P10">
        <f>M10/O10</f>
        <v>2.8424000000000005</v>
      </c>
      <c r="V10" s="18"/>
    </row>
    <row r="11" spans="1:22" x14ac:dyDescent="0.2">
      <c r="A11" t="s">
        <v>21</v>
      </c>
      <c r="B11" s="29">
        <v>1.4</v>
      </c>
      <c r="C11" s="29" t="s">
        <v>16</v>
      </c>
      <c r="D11" s="32">
        <f>B11*E4</f>
        <v>1346.1538461538462</v>
      </c>
      <c r="G11" s="17"/>
      <c r="V11" s="18"/>
    </row>
    <row r="12" spans="1:22" x14ac:dyDescent="0.2">
      <c r="A12" t="s">
        <v>17</v>
      </c>
      <c r="B12" s="29">
        <v>0.11</v>
      </c>
      <c r="C12" s="29" t="s">
        <v>8</v>
      </c>
      <c r="D12" s="33">
        <f>B12</f>
        <v>0.11</v>
      </c>
      <c r="G12" s="77" t="s">
        <v>109</v>
      </c>
      <c r="H12" s="78"/>
      <c r="I12" s="78"/>
      <c r="L12" s="78" t="s">
        <v>110</v>
      </c>
      <c r="M12" s="78"/>
      <c r="N12" s="78"/>
      <c r="O12" s="78"/>
      <c r="P12" s="78"/>
      <c r="R12" s="78" t="s">
        <v>111</v>
      </c>
      <c r="S12" s="78"/>
      <c r="T12" s="78"/>
      <c r="U12" s="78"/>
      <c r="V12" s="79"/>
    </row>
    <row r="13" spans="1:22" x14ac:dyDescent="0.2">
      <c r="A13" t="s">
        <v>18</v>
      </c>
      <c r="B13" s="29">
        <v>0.08</v>
      </c>
      <c r="C13" s="29" t="s">
        <v>19</v>
      </c>
      <c r="D13" s="34">
        <f>B13</f>
        <v>0.08</v>
      </c>
      <c r="G13" s="17"/>
      <c r="H13" t="s">
        <v>112</v>
      </c>
      <c r="I13" t="s">
        <v>37</v>
      </c>
      <c r="M13" t="s">
        <v>38</v>
      </c>
      <c r="N13" t="s">
        <v>39</v>
      </c>
      <c r="O13" t="s">
        <v>40</v>
      </c>
      <c r="P13" t="s">
        <v>41</v>
      </c>
      <c r="S13" t="s">
        <v>42</v>
      </c>
      <c r="T13" t="s">
        <v>43</v>
      </c>
      <c r="U13" t="s">
        <v>44</v>
      </c>
      <c r="V13" s="18" t="s">
        <v>113</v>
      </c>
    </row>
    <row r="14" spans="1:22" x14ac:dyDescent="0.2">
      <c r="G14" s="17" t="s">
        <v>30</v>
      </c>
      <c r="H14" s="19">
        <f>N9</f>
        <v>665.66744730679136</v>
      </c>
      <c r="I14" s="19">
        <f>P9</f>
        <v>2.8424</v>
      </c>
      <c r="J14" s="19"/>
      <c r="L14" t="s">
        <v>48</v>
      </c>
      <c r="M14">
        <v>50</v>
      </c>
      <c r="N14" s="19">
        <f>'Full scale material calculation'!D3</f>
        <v>13.805</v>
      </c>
      <c r="O14" s="30">
        <f>D7</f>
        <v>6923.0769230769238</v>
      </c>
      <c r="P14" s="19">
        <f>N14*O14</f>
        <v>95573.076923076937</v>
      </c>
      <c r="R14" t="s">
        <v>48</v>
      </c>
      <c r="S14" s="19">
        <f>P14</f>
        <v>95573.076923076937</v>
      </c>
      <c r="T14" s="19">
        <f>M9</f>
        <v>1093.2307692307693</v>
      </c>
      <c r="U14" s="19">
        <f>S14+T14</f>
        <v>96666.307692307702</v>
      </c>
      <c r="V14" s="20">
        <f>U14/O9</f>
        <v>251.33240000000001</v>
      </c>
    </row>
    <row r="15" spans="1:22" x14ac:dyDescent="0.2">
      <c r="A15" t="s">
        <v>50</v>
      </c>
      <c r="G15" s="21" t="s">
        <v>31</v>
      </c>
      <c r="H15" s="22">
        <f>N10</f>
        <v>466.73234811165844</v>
      </c>
      <c r="I15" s="22">
        <f>P10</f>
        <v>2.8424000000000005</v>
      </c>
      <c r="J15" s="22"/>
      <c r="K15" s="3"/>
      <c r="L15" s="3" t="s">
        <v>49</v>
      </c>
      <c r="M15" s="3">
        <v>50</v>
      </c>
      <c r="N15" s="22">
        <f>'Full scale material calculation'!N4</f>
        <v>2.1349601310483868</v>
      </c>
      <c r="O15" s="36">
        <f>D21</f>
        <v>6923.0769230769238</v>
      </c>
      <c r="P15" s="22">
        <f>N15*O15</f>
        <v>14780.493214950371</v>
      </c>
      <c r="Q15" s="3"/>
      <c r="R15" s="3" t="s">
        <v>49</v>
      </c>
      <c r="S15" s="22">
        <f>P15</f>
        <v>14780.493214950371</v>
      </c>
      <c r="T15" s="22">
        <f>M10</f>
        <v>1093.2307692307695</v>
      </c>
      <c r="U15" s="22">
        <f>S15+T15</f>
        <v>15873.723984181141</v>
      </c>
      <c r="V15" s="23">
        <f>U15/O10</f>
        <v>41.271682358870962</v>
      </c>
    </row>
    <row r="17" spans="1:25" x14ac:dyDescent="0.2">
      <c r="B17" s="29" t="s">
        <v>4</v>
      </c>
      <c r="C17" s="29"/>
      <c r="D17" s="31" t="s">
        <v>114</v>
      </c>
      <c r="E17" t="s">
        <v>5</v>
      </c>
    </row>
    <row r="18" spans="1:25" x14ac:dyDescent="0.2">
      <c r="A18" t="s">
        <v>7</v>
      </c>
      <c r="B18" s="29">
        <v>4</v>
      </c>
      <c r="C18" s="29"/>
      <c r="D18" s="32">
        <f>D19*10</f>
        <v>3846.1538461538466</v>
      </c>
      <c r="E18" s="30">
        <f>D18/B18</f>
        <v>961.53846153846166</v>
      </c>
    </row>
    <row r="19" spans="1:25" x14ac:dyDescent="0.2">
      <c r="A19" t="s">
        <v>9</v>
      </c>
      <c r="B19" s="29">
        <v>0.4</v>
      </c>
      <c r="C19" s="29"/>
      <c r="D19" s="32">
        <f>100000/260</f>
        <v>384.61538461538464</v>
      </c>
      <c r="G19" s="71" t="s">
        <v>115</v>
      </c>
      <c r="H19" s="72"/>
      <c r="I19" s="72"/>
      <c r="J19" s="72"/>
      <c r="K19" s="72"/>
      <c r="L19" s="72"/>
      <c r="M19" s="72"/>
      <c r="N19" s="72"/>
      <c r="O19" s="72"/>
      <c r="P19" s="72"/>
      <c r="Q19" s="25"/>
      <c r="R19" s="25"/>
      <c r="S19" s="25"/>
      <c r="T19" s="25"/>
      <c r="U19" s="25"/>
      <c r="V19" s="26"/>
    </row>
    <row r="20" spans="1:25" x14ac:dyDescent="0.2">
      <c r="A20" t="s">
        <v>11</v>
      </c>
      <c r="B20" s="29">
        <v>2.4360000000000002E-3</v>
      </c>
      <c r="C20" s="29"/>
      <c r="D20" s="32">
        <f>B20*E18</f>
        <v>2.3423076923076929</v>
      </c>
      <c r="G20" s="17"/>
      <c r="H20" t="s">
        <v>22</v>
      </c>
      <c r="I20" t="s">
        <v>23</v>
      </c>
      <c r="J20" t="s">
        <v>24</v>
      </c>
      <c r="K20" t="s">
        <v>3</v>
      </c>
      <c r="L20" t="s">
        <v>8</v>
      </c>
      <c r="M20" t="s">
        <v>25</v>
      </c>
      <c r="N20" t="s">
        <v>26</v>
      </c>
      <c r="O20" t="s">
        <v>108</v>
      </c>
      <c r="P20" t="s">
        <v>37</v>
      </c>
      <c r="V20" s="18"/>
    </row>
    <row r="21" spans="1:25" x14ac:dyDescent="0.2">
      <c r="A21" t="s">
        <v>12</v>
      </c>
      <c r="B21" s="29">
        <v>7.2</v>
      </c>
      <c r="C21" s="29"/>
      <c r="D21" s="32">
        <f>B21*E18</f>
        <v>6923.0769230769238</v>
      </c>
      <c r="G21" s="17" t="s">
        <v>30</v>
      </c>
      <c r="H21">
        <f>D6*260</f>
        <v>427.00000000000017</v>
      </c>
      <c r="I21">
        <f>I9*260</f>
        <v>425000.00000000006</v>
      </c>
      <c r="J21">
        <f>J9*260</f>
        <v>1580.8</v>
      </c>
      <c r="K21">
        <f>K9*260</f>
        <v>2584000</v>
      </c>
      <c r="L21">
        <f>L9</f>
        <v>0.11</v>
      </c>
      <c r="M21">
        <f>K21*L21</f>
        <v>284240</v>
      </c>
      <c r="N21">
        <f>M21/H21</f>
        <v>665.66744730679136</v>
      </c>
      <c r="O21" s="16">
        <f>D5*260</f>
        <v>100000</v>
      </c>
      <c r="P21">
        <f>M21/O21</f>
        <v>2.8424</v>
      </c>
      <c r="V21" s="18"/>
    </row>
    <row r="22" spans="1:25" x14ac:dyDescent="0.2">
      <c r="A22" t="s">
        <v>15</v>
      </c>
      <c r="B22" s="29">
        <v>0.3</v>
      </c>
      <c r="C22" s="29" t="s">
        <v>16</v>
      </c>
      <c r="D22" s="32">
        <f>B22*E18</f>
        <v>288.46153846153851</v>
      </c>
      <c r="G22" s="17" t="s">
        <v>31</v>
      </c>
      <c r="H22">
        <f>D20*260</f>
        <v>609.00000000000011</v>
      </c>
      <c r="I22">
        <f t="shared" ref="I22" si="0">I10*260</f>
        <v>425000.00000000012</v>
      </c>
      <c r="J22">
        <f>J10*260</f>
        <v>1580.8</v>
      </c>
      <c r="K22">
        <f>K10*260</f>
        <v>2584000.0000000005</v>
      </c>
      <c r="L22">
        <f>L10</f>
        <v>0.11</v>
      </c>
      <c r="M22">
        <f>L22*K22</f>
        <v>284240.00000000006</v>
      </c>
      <c r="N22">
        <f>M22/H22</f>
        <v>466.73234811165844</v>
      </c>
      <c r="O22" s="16">
        <f>D19*260</f>
        <v>100000</v>
      </c>
      <c r="P22">
        <f>M22/O22</f>
        <v>2.8424000000000005</v>
      </c>
      <c r="V22" s="18"/>
    </row>
    <row r="23" spans="1:25" x14ac:dyDescent="0.2">
      <c r="A23" t="s">
        <v>17</v>
      </c>
      <c r="B23" s="29">
        <v>0.11</v>
      </c>
      <c r="C23" s="29" t="s">
        <v>8</v>
      </c>
      <c r="D23" s="33">
        <f>B23</f>
        <v>0.11</v>
      </c>
      <c r="G23" s="17"/>
      <c r="V23" s="18"/>
    </row>
    <row r="24" spans="1:25" x14ac:dyDescent="0.2">
      <c r="A24" t="s">
        <v>18</v>
      </c>
      <c r="B24" s="29">
        <v>6</v>
      </c>
      <c r="C24" s="29" t="s">
        <v>19</v>
      </c>
      <c r="D24" s="32">
        <f>B24</f>
        <v>6</v>
      </c>
      <c r="G24" s="77" t="s">
        <v>116</v>
      </c>
      <c r="H24" s="78"/>
      <c r="I24" s="78"/>
      <c r="L24" s="78" t="s">
        <v>117</v>
      </c>
      <c r="M24" s="78"/>
      <c r="N24" s="78"/>
      <c r="O24" s="78"/>
      <c r="P24" s="78"/>
      <c r="R24" s="78" t="s">
        <v>118</v>
      </c>
      <c r="S24" s="78"/>
      <c r="T24" s="78"/>
      <c r="U24" s="78"/>
      <c r="V24" s="79"/>
      <c r="X24" t="s">
        <v>119</v>
      </c>
      <c r="Y24" t="s">
        <v>33</v>
      </c>
    </row>
    <row r="25" spans="1:25" x14ac:dyDescent="0.2">
      <c r="A25" t="s">
        <v>21</v>
      </c>
      <c r="B25" s="29">
        <v>1.4000000000000001</v>
      </c>
      <c r="C25" s="29" t="s">
        <v>16</v>
      </c>
      <c r="D25" s="32">
        <f>B25*E18</f>
        <v>1346.1538461538464</v>
      </c>
      <c r="G25" s="17"/>
      <c r="H25" t="s">
        <v>112</v>
      </c>
      <c r="I25" t="s">
        <v>37</v>
      </c>
      <c r="M25" t="s">
        <v>38</v>
      </c>
      <c r="N25" t="s">
        <v>39</v>
      </c>
      <c r="O25" t="s">
        <v>40</v>
      </c>
      <c r="P25" t="s">
        <v>41</v>
      </c>
      <c r="S25" t="s">
        <v>42</v>
      </c>
      <c r="T25" t="s">
        <v>43</v>
      </c>
      <c r="U25" t="s">
        <v>44</v>
      </c>
      <c r="V25" s="18" t="s">
        <v>113</v>
      </c>
      <c r="W25" t="s">
        <v>120</v>
      </c>
      <c r="X25" t="s">
        <v>121</v>
      </c>
      <c r="Y25" t="s">
        <v>121</v>
      </c>
    </row>
    <row r="26" spans="1:25" x14ac:dyDescent="0.2">
      <c r="A26" t="s">
        <v>17</v>
      </c>
      <c r="B26" s="29">
        <v>0.11</v>
      </c>
      <c r="C26" s="29" t="s">
        <v>8</v>
      </c>
      <c r="D26" s="33">
        <f>B26</f>
        <v>0.11</v>
      </c>
      <c r="G26" s="17" t="s">
        <v>30</v>
      </c>
      <c r="H26" s="19">
        <f>N21</f>
        <v>665.66744730679136</v>
      </c>
      <c r="I26" s="19">
        <f>P21</f>
        <v>2.8424</v>
      </c>
      <c r="J26" s="19"/>
      <c r="L26" t="s">
        <v>48</v>
      </c>
      <c r="M26">
        <v>50</v>
      </c>
      <c r="N26" s="19">
        <f>'Full scale material calculation'!D3</f>
        <v>13.805</v>
      </c>
      <c r="O26">
        <f>O14*260</f>
        <v>1800000.0000000002</v>
      </c>
      <c r="P26" s="19">
        <f>N26*O26</f>
        <v>24849000.000000004</v>
      </c>
      <c r="R26" t="s">
        <v>48</v>
      </c>
      <c r="S26" s="19">
        <f>P26</f>
        <v>24849000.000000004</v>
      </c>
      <c r="T26" s="19">
        <f>M21</f>
        <v>284240</v>
      </c>
      <c r="U26" s="19">
        <f>S26+T26</f>
        <v>25133240.000000004</v>
      </c>
      <c r="V26" s="20">
        <f>U26/100000</f>
        <v>251.33240000000004</v>
      </c>
      <c r="W26" s="19">
        <f>U26/100</f>
        <v>251332.40000000002</v>
      </c>
      <c r="X26" s="59">
        <f>S26/U26</f>
        <v>0.98869067418287493</v>
      </c>
      <c r="Y26" s="59">
        <f>T26/U26</f>
        <v>1.1309325817125048E-2</v>
      </c>
    </row>
    <row r="27" spans="1:25" x14ac:dyDescent="0.2">
      <c r="A27" t="s">
        <v>18</v>
      </c>
      <c r="B27" s="29">
        <v>0.08</v>
      </c>
      <c r="C27" s="29" t="s">
        <v>19</v>
      </c>
      <c r="D27" s="31">
        <f>B27</f>
        <v>0.08</v>
      </c>
      <c r="G27" s="21" t="s">
        <v>31</v>
      </c>
      <c r="H27" s="22">
        <f>N22</f>
        <v>466.73234811165844</v>
      </c>
      <c r="I27" s="22">
        <f>P22</f>
        <v>2.8424000000000005</v>
      </c>
      <c r="J27" s="22"/>
      <c r="K27" s="3"/>
      <c r="L27" s="3" t="s">
        <v>49</v>
      </c>
      <c r="M27" s="3">
        <v>50</v>
      </c>
      <c r="N27" s="22">
        <f>'Full scale material calculation'!N4</f>
        <v>2.1349601310483868</v>
      </c>
      <c r="O27" s="3">
        <f>O15*260</f>
        <v>1800000.0000000002</v>
      </c>
      <c r="P27" s="22">
        <f>N27*O27</f>
        <v>3842928.2358870967</v>
      </c>
      <c r="Q27" s="3"/>
      <c r="R27" s="3" t="s">
        <v>49</v>
      </c>
      <c r="S27" s="22">
        <f>P27</f>
        <v>3842928.2358870967</v>
      </c>
      <c r="T27" s="22">
        <f>M22</f>
        <v>284240.00000000006</v>
      </c>
      <c r="U27" s="22">
        <f>S27+T27</f>
        <v>4127168.2358870967</v>
      </c>
      <c r="V27" s="23">
        <f>U27/100000</f>
        <v>41.271682358870969</v>
      </c>
      <c r="W27" s="19">
        <f>U27/100</f>
        <v>41271.682358870967</v>
      </c>
      <c r="X27" s="59">
        <f>S27/U27</f>
        <v>0.93112953391905884</v>
      </c>
      <c r="Y27" s="59">
        <f>T27/U27</f>
        <v>6.8870466080941162E-2</v>
      </c>
    </row>
    <row r="30" spans="1:25" x14ac:dyDescent="0.2">
      <c r="U30" s="19"/>
    </row>
    <row r="32" spans="1:25" x14ac:dyDescent="0.2">
      <c r="G32" s="71" t="s">
        <v>122</v>
      </c>
      <c r="H32" s="72"/>
      <c r="I32" s="72"/>
      <c r="J32" s="72"/>
      <c r="K32" s="72"/>
      <c r="L32" s="72"/>
      <c r="M32" s="72"/>
      <c r="N32" s="73"/>
      <c r="V32" s="19"/>
    </row>
    <row r="33" spans="7:21" x14ac:dyDescent="0.2">
      <c r="G33" s="17"/>
      <c r="H33" t="s">
        <v>123</v>
      </c>
      <c r="I33" t="s">
        <v>124</v>
      </c>
      <c r="J33" t="s">
        <v>125</v>
      </c>
      <c r="K33" t="s">
        <v>126</v>
      </c>
      <c r="L33" t="s">
        <v>127</v>
      </c>
      <c r="M33" t="s">
        <v>128</v>
      </c>
      <c r="N33" s="18" t="s">
        <v>129</v>
      </c>
      <c r="T33" s="19"/>
    </row>
    <row r="34" spans="7:21" x14ac:dyDescent="0.2">
      <c r="G34" s="17" t="s">
        <v>130</v>
      </c>
      <c r="H34">
        <f>K21</f>
        <v>2584000</v>
      </c>
      <c r="I34" s="53">
        <v>6942800</v>
      </c>
      <c r="J34">
        <v>54.4</v>
      </c>
      <c r="K34">
        <v>278.8</v>
      </c>
      <c r="L34" s="53">
        <f>SUM(I34:K34)</f>
        <v>6943133.2000000002</v>
      </c>
      <c r="M34">
        <f>L34/100</f>
        <v>69431.331999999995</v>
      </c>
      <c r="N34" s="18">
        <f>L34/100000</f>
        <v>69.431331999999998</v>
      </c>
    </row>
    <row r="35" spans="7:21" x14ac:dyDescent="0.2">
      <c r="G35" s="21" t="s">
        <v>131</v>
      </c>
      <c r="H35" s="3">
        <f>K22</f>
        <v>2584000.0000000005</v>
      </c>
      <c r="I35" s="54">
        <v>6942800</v>
      </c>
      <c r="J35" s="3">
        <v>54.4</v>
      </c>
      <c r="K35" s="3">
        <v>278.8</v>
      </c>
      <c r="L35" s="54">
        <f>SUM(I35:K35)</f>
        <v>6943133.2000000002</v>
      </c>
      <c r="M35" s="3">
        <f>L35/100</f>
        <v>69431.331999999995</v>
      </c>
      <c r="N35" s="27">
        <f>L35/100000</f>
        <v>69.431331999999998</v>
      </c>
      <c r="T35" s="19"/>
      <c r="U35" s="19"/>
    </row>
    <row r="39" spans="7:21" x14ac:dyDescent="0.2">
      <c r="G39" s="74" t="s">
        <v>132</v>
      </c>
      <c r="H39" s="75"/>
      <c r="I39" s="75"/>
      <c r="J39" s="75"/>
      <c r="K39" s="75"/>
      <c r="L39" s="75"/>
      <c r="M39" s="76"/>
    </row>
    <row r="40" spans="7:21" x14ac:dyDescent="0.2">
      <c r="G40" s="17"/>
      <c r="H40" t="s">
        <v>123</v>
      </c>
      <c r="I40" t="s">
        <v>124</v>
      </c>
      <c r="J40" t="s">
        <v>133</v>
      </c>
      <c r="K40" t="s">
        <v>134</v>
      </c>
      <c r="L40" t="s">
        <v>135</v>
      </c>
      <c r="M40" s="56" t="s">
        <v>136</v>
      </c>
    </row>
    <row r="41" spans="7:21" x14ac:dyDescent="0.2">
      <c r="G41" s="17" t="s">
        <v>58</v>
      </c>
      <c r="H41" s="55">
        <f>'Batch ultrasound'!I10</f>
        <v>9869860</v>
      </c>
      <c r="I41" s="40">
        <f>'Batch ultrasound'!J10</f>
        <v>2651875.2000000002</v>
      </c>
      <c r="J41" s="37">
        <f>I41/100</f>
        <v>26518.752</v>
      </c>
      <c r="K41" s="37">
        <f>I41/((0.5+0.08))*260</f>
        <v>1188771641.3793104</v>
      </c>
      <c r="L41" s="38">
        <v>1117.6165000000001</v>
      </c>
      <c r="M41" s="56">
        <f>L41/((0.5+0.08)*260)</f>
        <v>7.4112500000000017</v>
      </c>
    </row>
    <row r="42" spans="7:21" x14ac:dyDescent="0.2">
      <c r="G42" s="17" t="s">
        <v>137</v>
      </c>
      <c r="H42" s="37">
        <v>671840000</v>
      </c>
      <c r="I42" s="37">
        <f>I34</f>
        <v>6942800</v>
      </c>
      <c r="J42" s="37">
        <f>I42/100</f>
        <v>69428</v>
      </c>
      <c r="K42" s="37">
        <f>I34/J21</f>
        <v>4391.9534412955463</v>
      </c>
      <c r="L42" s="30">
        <f>H21</f>
        <v>427.00000000000017</v>
      </c>
      <c r="M42" s="56">
        <f>L42/J21</f>
        <v>0.27011639676113369</v>
      </c>
    </row>
    <row r="43" spans="7:21" x14ac:dyDescent="0.2">
      <c r="G43" s="21" t="s">
        <v>138</v>
      </c>
      <c r="H43" s="57">
        <v>671840000</v>
      </c>
      <c r="I43" s="57">
        <f>I35</f>
        <v>6942800</v>
      </c>
      <c r="J43" s="57">
        <f>I43/100</f>
        <v>69428</v>
      </c>
      <c r="K43" s="57">
        <f>I35/J22</f>
        <v>4391.9534412955463</v>
      </c>
      <c r="L43" s="3">
        <f>H22</f>
        <v>609.00000000000011</v>
      </c>
      <c r="M43" s="58">
        <f>L43/J22</f>
        <v>0.38524797570850211</v>
      </c>
    </row>
    <row r="44" spans="7:21" x14ac:dyDescent="0.2">
      <c r="H44" s="37"/>
      <c r="J44" s="37"/>
    </row>
    <row r="45" spans="7:21" x14ac:dyDescent="0.2">
      <c r="J45" s="35"/>
    </row>
    <row r="47" spans="7:21" x14ac:dyDescent="0.2">
      <c r="H47" t="s">
        <v>139</v>
      </c>
    </row>
    <row r="48" spans="7:21" x14ac:dyDescent="0.2">
      <c r="G48" t="s">
        <v>58</v>
      </c>
      <c r="H48">
        <f>'Batch ultrasound'!E2</f>
        <v>38500</v>
      </c>
    </row>
    <row r="49" spans="7:8" x14ac:dyDescent="0.2">
      <c r="G49" t="s">
        <v>59</v>
      </c>
      <c r="H49" s="30">
        <f>E4</f>
        <v>961.53846153846166</v>
      </c>
    </row>
  </sheetData>
  <mergeCells count="10">
    <mergeCell ref="G7:P7"/>
    <mergeCell ref="G19:P19"/>
    <mergeCell ref="G32:N32"/>
    <mergeCell ref="G39:M39"/>
    <mergeCell ref="G12:I12"/>
    <mergeCell ref="L12:P12"/>
    <mergeCell ref="R12:V12"/>
    <mergeCell ref="G24:I24"/>
    <mergeCell ref="L24:P24"/>
    <mergeCell ref="R24:V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7F8-B04D-C443-8D92-1B10F3304EC8}">
  <dimension ref="A5:R51"/>
  <sheetViews>
    <sheetView zoomScale="80" zoomScaleNormal="80" workbookViewId="0">
      <selection activeCell="L8" sqref="L8"/>
    </sheetView>
  </sheetViews>
  <sheetFormatPr baseColWidth="10" defaultColWidth="11" defaultRowHeight="16" x14ac:dyDescent="0.2"/>
  <cols>
    <col min="1" max="1" width="29.1640625" bestFit="1" customWidth="1"/>
    <col min="4" max="4" width="32.83203125" bestFit="1" customWidth="1"/>
    <col min="5" max="5" width="12.5" bestFit="1" customWidth="1"/>
    <col min="8" max="8" width="29.6640625" bestFit="1" customWidth="1"/>
    <col min="9" max="9" width="15.83203125" bestFit="1" customWidth="1"/>
    <col min="10" max="10" width="16.5" bestFit="1" customWidth="1"/>
    <col min="11" max="11" width="16.83203125" bestFit="1" customWidth="1"/>
    <col min="12" max="12" width="13.1640625" bestFit="1" customWidth="1"/>
    <col min="13" max="13" width="21.1640625" bestFit="1" customWidth="1"/>
    <col min="14" max="14" width="19" bestFit="1" customWidth="1"/>
    <col min="15" max="16" width="12.1640625" bestFit="1" customWidth="1"/>
    <col min="17" max="17" width="16.5" bestFit="1" customWidth="1"/>
    <col min="18" max="18" width="12" bestFit="1" customWidth="1"/>
  </cols>
  <sheetData>
    <row r="5" spans="1:18" x14ac:dyDescent="0.2">
      <c r="E5" t="s">
        <v>104</v>
      </c>
      <c r="F5" t="s">
        <v>105</v>
      </c>
      <c r="H5" t="s">
        <v>140</v>
      </c>
    </row>
    <row r="6" spans="1:18" x14ac:dyDescent="0.2">
      <c r="B6" s="1" t="s">
        <v>4</v>
      </c>
      <c r="C6" s="1"/>
      <c r="D6" s="31" t="s">
        <v>106</v>
      </c>
      <c r="E6" t="s">
        <v>46</v>
      </c>
      <c r="F6" t="s">
        <v>5</v>
      </c>
      <c r="H6" s="74" t="s">
        <v>115</v>
      </c>
      <c r="I6" s="75"/>
      <c r="J6" s="75"/>
      <c r="K6" s="75"/>
      <c r="L6" s="75"/>
      <c r="M6" s="75"/>
      <c r="N6" s="75"/>
      <c r="O6" s="75"/>
      <c r="P6" s="75"/>
      <c r="Q6" s="76"/>
    </row>
    <row r="7" spans="1:18" x14ac:dyDescent="0.2">
      <c r="A7" t="s">
        <v>7</v>
      </c>
      <c r="B7" s="1">
        <v>4</v>
      </c>
      <c r="C7" s="1"/>
      <c r="D7" s="31">
        <v>3846.1538461538466</v>
      </c>
      <c r="E7">
        <v>961.53846153846166</v>
      </c>
      <c r="F7">
        <v>250000</v>
      </c>
      <c r="H7" s="17"/>
      <c r="I7" t="s">
        <v>22</v>
      </c>
      <c r="J7" t="s">
        <v>23</v>
      </c>
      <c r="K7" t="s">
        <v>24</v>
      </c>
      <c r="L7" t="s">
        <v>3</v>
      </c>
      <c r="M7" t="s">
        <v>8</v>
      </c>
      <c r="N7" t="s">
        <v>25</v>
      </c>
      <c r="O7" t="s">
        <v>26</v>
      </c>
      <c r="P7" t="s">
        <v>108</v>
      </c>
      <c r="Q7" s="18" t="s">
        <v>37</v>
      </c>
    </row>
    <row r="8" spans="1:18" x14ac:dyDescent="0.2">
      <c r="A8" t="s">
        <v>9</v>
      </c>
      <c r="B8" s="1">
        <v>0.4</v>
      </c>
      <c r="C8" s="1"/>
      <c r="D8" s="31">
        <v>384.61538461538464</v>
      </c>
      <c r="H8" s="17" t="s">
        <v>30</v>
      </c>
      <c r="I8">
        <v>427.00000000000017</v>
      </c>
      <c r="J8">
        <v>425000</v>
      </c>
      <c r="K8">
        <v>1580.8</v>
      </c>
      <c r="L8">
        <f>'Full scale materials and energy'!K21</f>
        <v>2584000</v>
      </c>
      <c r="M8">
        <v>0.11</v>
      </c>
      <c r="N8">
        <v>73902400</v>
      </c>
      <c r="O8">
        <v>173073.53629976575</v>
      </c>
      <c r="P8">
        <v>100000</v>
      </c>
      <c r="Q8" s="18">
        <v>739.024</v>
      </c>
    </row>
    <row r="9" spans="1:18" x14ac:dyDescent="0.2">
      <c r="A9" t="s">
        <v>11</v>
      </c>
      <c r="B9" s="1">
        <v>1.7080000000000003E-3</v>
      </c>
      <c r="C9" s="1"/>
      <c r="D9" s="31">
        <v>1.6423076923076929</v>
      </c>
      <c r="H9" s="17" t="s">
        <v>31</v>
      </c>
      <c r="I9">
        <v>609.00000000000011</v>
      </c>
      <c r="J9">
        <v>425000.00000000012</v>
      </c>
      <c r="K9">
        <v>1580.8</v>
      </c>
      <c r="L9">
        <f>'Full scale materials and energy'!K22</f>
        <v>2584000.0000000005</v>
      </c>
      <c r="M9">
        <v>0.11</v>
      </c>
      <c r="N9">
        <v>73902400.000000015</v>
      </c>
      <c r="O9">
        <v>121350.41050903121</v>
      </c>
      <c r="P9">
        <v>100000</v>
      </c>
      <c r="Q9" s="18">
        <v>739.02400000000011</v>
      </c>
    </row>
    <row r="10" spans="1:18" x14ac:dyDescent="0.2">
      <c r="A10" t="s">
        <v>12</v>
      </c>
      <c r="B10" s="1">
        <v>7.2</v>
      </c>
      <c r="C10" s="1"/>
      <c r="D10" s="31">
        <v>6923.0769230769238</v>
      </c>
      <c r="H10" s="17"/>
      <c r="Q10" s="18"/>
    </row>
    <row r="11" spans="1:18" x14ac:dyDescent="0.2">
      <c r="A11" t="s">
        <v>15</v>
      </c>
      <c r="B11" s="1">
        <v>0.3</v>
      </c>
      <c r="C11" s="1" t="s">
        <v>16</v>
      </c>
      <c r="D11" s="31">
        <v>288.46153846153851</v>
      </c>
      <c r="H11" s="80" t="s">
        <v>116</v>
      </c>
      <c r="I11" s="81"/>
      <c r="J11" s="81"/>
      <c r="M11" s="81" t="s">
        <v>117</v>
      </c>
      <c r="N11" s="81"/>
      <c r="O11" s="81"/>
      <c r="P11" s="81"/>
      <c r="Q11" s="82"/>
    </row>
    <row r="12" spans="1:18" x14ac:dyDescent="0.2">
      <c r="A12" t="s">
        <v>17</v>
      </c>
      <c r="B12" s="1">
        <v>0.11</v>
      </c>
      <c r="C12" s="1" t="s">
        <v>8</v>
      </c>
      <c r="D12" s="31">
        <v>0.11</v>
      </c>
      <c r="H12" s="17"/>
      <c r="I12" t="s">
        <v>112</v>
      </c>
      <c r="J12" t="s">
        <v>37</v>
      </c>
      <c r="N12" t="s">
        <v>38</v>
      </c>
      <c r="O12" t="s">
        <v>39</v>
      </c>
      <c r="P12" t="s">
        <v>40</v>
      </c>
      <c r="Q12" s="18" t="s">
        <v>41</v>
      </c>
      <c r="R12" t="s">
        <v>141</v>
      </c>
    </row>
    <row r="13" spans="1:18" x14ac:dyDescent="0.2">
      <c r="A13" t="s">
        <v>18</v>
      </c>
      <c r="B13" s="1">
        <v>6</v>
      </c>
      <c r="C13" s="1" t="s">
        <v>19</v>
      </c>
      <c r="D13" s="31">
        <v>6</v>
      </c>
      <c r="H13" s="17" t="s">
        <v>30</v>
      </c>
      <c r="I13">
        <v>173073.53629976575</v>
      </c>
      <c r="J13">
        <v>739.024</v>
      </c>
      <c r="M13" t="s">
        <v>48</v>
      </c>
      <c r="N13">
        <v>50</v>
      </c>
      <c r="O13">
        <v>13.805</v>
      </c>
      <c r="P13">
        <v>1800000</v>
      </c>
      <c r="Q13" s="60">
        <f>P13*O13</f>
        <v>24849000</v>
      </c>
      <c r="R13" s="19">
        <f>Q13/100</f>
        <v>248490</v>
      </c>
    </row>
    <row r="14" spans="1:18" x14ac:dyDescent="0.2">
      <c r="A14" t="s">
        <v>21</v>
      </c>
      <c r="B14" s="1">
        <v>1.4</v>
      </c>
      <c r="C14" s="1" t="s">
        <v>16</v>
      </c>
      <c r="D14" s="31">
        <v>1346.1538461538462</v>
      </c>
      <c r="H14" s="17" t="s">
        <v>31</v>
      </c>
      <c r="I14">
        <v>121350.41050903121</v>
      </c>
      <c r="J14">
        <v>739.02400000000011</v>
      </c>
      <c r="M14" t="s">
        <v>49</v>
      </c>
      <c r="N14">
        <v>50</v>
      </c>
      <c r="O14">
        <v>2.1349601310483868</v>
      </c>
      <c r="P14">
        <v>1800000.0000000002</v>
      </c>
      <c r="Q14" s="60">
        <f>P14*O14</f>
        <v>3842928.2358870967</v>
      </c>
      <c r="R14" s="19">
        <f>Q14/100</f>
        <v>38429.282358870965</v>
      </c>
    </row>
    <row r="15" spans="1:18" x14ac:dyDescent="0.2">
      <c r="A15" t="s">
        <v>17</v>
      </c>
      <c r="B15" s="1">
        <v>0.11</v>
      </c>
      <c r="C15" s="1" t="s">
        <v>8</v>
      </c>
      <c r="D15" s="31">
        <v>0.11</v>
      </c>
      <c r="H15" s="17"/>
      <c r="Q15" s="18"/>
    </row>
    <row r="16" spans="1:18" x14ac:dyDescent="0.2">
      <c r="A16" t="s">
        <v>18</v>
      </c>
      <c r="B16" s="1">
        <v>0.08</v>
      </c>
      <c r="C16" s="1" t="s">
        <v>19</v>
      </c>
      <c r="D16" s="31">
        <v>0.08</v>
      </c>
      <c r="H16" s="17"/>
      <c r="Q16" s="18"/>
    </row>
    <row r="17" spans="1:17" x14ac:dyDescent="0.2">
      <c r="H17" s="17"/>
      <c r="Q17" s="18"/>
    </row>
    <row r="18" spans="1:17" x14ac:dyDescent="0.2">
      <c r="H18" s="17"/>
      <c r="Q18" s="18"/>
    </row>
    <row r="19" spans="1:17" x14ac:dyDescent="0.2">
      <c r="H19" s="80" t="s">
        <v>122</v>
      </c>
      <c r="I19" s="81"/>
      <c r="J19" s="81"/>
      <c r="K19" s="81"/>
      <c r="L19" s="81"/>
      <c r="M19" s="81"/>
      <c r="N19" s="81"/>
      <c r="O19" s="81"/>
      <c r="Q19" s="18"/>
    </row>
    <row r="20" spans="1:17" x14ac:dyDescent="0.2">
      <c r="H20" s="17"/>
      <c r="I20" t="s">
        <v>123</v>
      </c>
      <c r="J20" t="s">
        <v>124</v>
      </c>
      <c r="K20" t="s">
        <v>125</v>
      </c>
      <c r="L20" t="s">
        <v>126</v>
      </c>
      <c r="M20" t="s">
        <v>127</v>
      </c>
      <c r="N20" t="s">
        <v>128</v>
      </c>
      <c r="O20" t="s">
        <v>129</v>
      </c>
      <c r="Q20" s="18"/>
    </row>
    <row r="21" spans="1:17" x14ac:dyDescent="0.2">
      <c r="A21" t="s">
        <v>142</v>
      </c>
      <c r="B21">
        <v>325054</v>
      </c>
      <c r="C21" t="s">
        <v>143</v>
      </c>
      <c r="D21">
        <v>2E-3</v>
      </c>
      <c r="E21" t="s">
        <v>144</v>
      </c>
      <c r="F21">
        <f>B21*D21</f>
        <v>650.10800000000006</v>
      </c>
      <c r="H21" s="17" t="s">
        <v>130</v>
      </c>
      <c r="Q21" s="18"/>
    </row>
    <row r="22" spans="1:17" x14ac:dyDescent="0.2">
      <c r="A22" t="s">
        <v>145</v>
      </c>
      <c r="B22">
        <v>8000</v>
      </c>
      <c r="C22" t="s">
        <v>79</v>
      </c>
      <c r="D22">
        <v>0.87080000000000002</v>
      </c>
      <c r="E22" t="s">
        <v>144</v>
      </c>
      <c r="F22">
        <f>B22*D22</f>
        <v>6966.4000000000005</v>
      </c>
      <c r="H22" s="21" t="s">
        <v>131</v>
      </c>
      <c r="I22" s="3"/>
      <c r="J22" s="3"/>
      <c r="K22" s="3"/>
      <c r="L22" s="3"/>
      <c r="M22" s="3"/>
      <c r="N22" s="3"/>
      <c r="O22" s="3"/>
      <c r="P22" s="3"/>
      <c r="Q22" s="27"/>
    </row>
    <row r="23" spans="1:17" x14ac:dyDescent="0.2">
      <c r="F23">
        <f>SUM(F21:F22)</f>
        <v>7616.5080000000007</v>
      </c>
    </row>
    <row r="24" spans="1:17" x14ac:dyDescent="0.2">
      <c r="H24" t="s">
        <v>146</v>
      </c>
    </row>
    <row r="25" spans="1:17" x14ac:dyDescent="0.2">
      <c r="A25" t="s">
        <v>147</v>
      </c>
      <c r="B25" s="38">
        <v>22725.7883</v>
      </c>
      <c r="C25" t="s">
        <v>3</v>
      </c>
      <c r="H25" s="71" t="s">
        <v>115</v>
      </c>
      <c r="I25" s="72"/>
      <c r="J25" s="72"/>
      <c r="K25" s="72"/>
      <c r="L25" s="72"/>
      <c r="M25" s="72"/>
      <c r="N25" s="72"/>
      <c r="O25" s="72"/>
      <c r="P25" s="72"/>
      <c r="Q25" s="73"/>
    </row>
    <row r="26" spans="1:17" x14ac:dyDescent="0.2">
      <c r="H26" s="17"/>
      <c r="I26" t="s">
        <v>22</v>
      </c>
      <c r="J26" t="s">
        <v>23</v>
      </c>
      <c r="K26" t="s">
        <v>24</v>
      </c>
      <c r="L26" t="s">
        <v>3</v>
      </c>
      <c r="M26" t="s">
        <v>8</v>
      </c>
      <c r="N26" t="s">
        <v>25</v>
      </c>
      <c r="O26" t="s">
        <v>26</v>
      </c>
      <c r="P26" t="s">
        <v>108</v>
      </c>
      <c r="Q26" s="18" t="s">
        <v>37</v>
      </c>
    </row>
    <row r="27" spans="1:17" x14ac:dyDescent="0.2">
      <c r="H27" s="17" t="s">
        <v>148</v>
      </c>
      <c r="I27">
        <f>I8</f>
        <v>427.00000000000017</v>
      </c>
      <c r="L27">
        <f>L8+B25</f>
        <v>2606725.7883000001</v>
      </c>
      <c r="M27">
        <f>M8</f>
        <v>0.11</v>
      </c>
      <c r="N27">
        <f>L27*M27</f>
        <v>286739.83671300003</v>
      </c>
      <c r="O27">
        <f>N27/I27</f>
        <v>671.52186583840728</v>
      </c>
      <c r="P27">
        <v>100000</v>
      </c>
      <c r="Q27" s="18">
        <f>N27/P27</f>
        <v>2.8673983671300003</v>
      </c>
    </row>
    <row r="28" spans="1:17" x14ac:dyDescent="0.2">
      <c r="H28" s="17" t="s">
        <v>49</v>
      </c>
      <c r="I28">
        <f>I9</f>
        <v>609.00000000000011</v>
      </c>
      <c r="L28">
        <f>L9+B25</f>
        <v>2606725.7883000006</v>
      </c>
      <c r="M28">
        <f>M9</f>
        <v>0.11</v>
      </c>
      <c r="N28">
        <f>L28*M28</f>
        <v>286739.83671300008</v>
      </c>
      <c r="O28">
        <f>N28/I28</f>
        <v>470.83717030049269</v>
      </c>
      <c r="P28">
        <v>100000</v>
      </c>
      <c r="Q28" s="18">
        <f>N28/P28</f>
        <v>2.8673983671300007</v>
      </c>
    </row>
    <row r="29" spans="1:17" x14ac:dyDescent="0.2">
      <c r="H29" s="17"/>
      <c r="Q29" s="18"/>
    </row>
    <row r="30" spans="1:17" x14ac:dyDescent="0.2">
      <c r="H30" s="77" t="s">
        <v>116</v>
      </c>
      <c r="I30" s="78"/>
      <c r="J30" s="78"/>
      <c r="M30" s="78" t="s">
        <v>117</v>
      </c>
      <c r="N30" s="78"/>
      <c r="O30" s="78"/>
      <c r="P30" s="78"/>
      <c r="Q30" s="79"/>
    </row>
    <row r="31" spans="1:17" x14ac:dyDescent="0.2">
      <c r="H31" s="17"/>
      <c r="I31" t="s">
        <v>112</v>
      </c>
      <c r="J31" t="s">
        <v>37</v>
      </c>
      <c r="N31" t="s">
        <v>149</v>
      </c>
      <c r="O31" t="s">
        <v>141</v>
      </c>
      <c r="Q31" s="18"/>
    </row>
    <row r="32" spans="1:17" x14ac:dyDescent="0.2">
      <c r="H32" s="17" t="s">
        <v>48</v>
      </c>
      <c r="I32">
        <f>O27</f>
        <v>671.52186583840728</v>
      </c>
      <c r="J32">
        <f>Q27</f>
        <v>2.8673983671300003</v>
      </c>
      <c r="M32" t="s">
        <v>48</v>
      </c>
      <c r="N32">
        <f>F23</f>
        <v>7616.5080000000007</v>
      </c>
      <c r="O32">
        <f>N32/100</f>
        <v>76.165080000000003</v>
      </c>
      <c r="Q32" s="18"/>
    </row>
    <row r="33" spans="7:17" x14ac:dyDescent="0.2">
      <c r="H33" s="17" t="s">
        <v>150</v>
      </c>
      <c r="I33">
        <f>O28</f>
        <v>470.83717030049269</v>
      </c>
      <c r="J33">
        <f>Q28</f>
        <v>2.8673983671300007</v>
      </c>
      <c r="M33" t="s">
        <v>49</v>
      </c>
      <c r="N33">
        <f>F23</f>
        <v>7616.5080000000007</v>
      </c>
      <c r="O33">
        <f>N33/100</f>
        <v>76.165080000000003</v>
      </c>
      <c r="Q33" s="18"/>
    </row>
    <row r="34" spans="7:17" x14ac:dyDescent="0.2">
      <c r="H34" s="17"/>
      <c r="Q34" s="18"/>
    </row>
    <row r="35" spans="7:17" x14ac:dyDescent="0.2">
      <c r="H35" s="77" t="s">
        <v>151</v>
      </c>
      <c r="I35" s="78"/>
      <c r="J35" s="78"/>
      <c r="K35" s="78"/>
      <c r="L35" s="78"/>
      <c r="M35" s="78"/>
      <c r="N35" s="78"/>
      <c r="O35" s="78"/>
      <c r="Q35" s="18"/>
    </row>
    <row r="36" spans="7:17" x14ac:dyDescent="0.2">
      <c r="H36" s="17"/>
      <c r="I36" t="s">
        <v>123</v>
      </c>
      <c r="J36" t="s">
        <v>124</v>
      </c>
      <c r="K36" t="s">
        <v>125</v>
      </c>
      <c r="L36" t="s">
        <v>126</v>
      </c>
      <c r="M36" t="s">
        <v>127</v>
      </c>
      <c r="N36" t="s">
        <v>128</v>
      </c>
      <c r="O36" t="s">
        <v>129</v>
      </c>
      <c r="Q36" s="18"/>
    </row>
    <row r="37" spans="7:17" x14ac:dyDescent="0.2">
      <c r="H37" s="17" t="s">
        <v>57</v>
      </c>
      <c r="Q37" s="18"/>
    </row>
    <row r="38" spans="7:17" x14ac:dyDescent="0.2">
      <c r="H38" s="21" t="s">
        <v>60</v>
      </c>
      <c r="I38" s="3"/>
      <c r="J38" s="3"/>
      <c r="K38" s="3"/>
      <c r="L38" s="3"/>
      <c r="M38" s="3"/>
      <c r="N38" s="3"/>
      <c r="O38" s="3"/>
      <c r="P38" s="3"/>
      <c r="Q38" s="27"/>
    </row>
    <row r="41" spans="7:17" x14ac:dyDescent="0.2">
      <c r="P41">
        <f>(Q13-N32)/Q13</f>
        <v>0.99969348834963168</v>
      </c>
    </row>
    <row r="44" spans="7:17" x14ac:dyDescent="0.2">
      <c r="H44" t="s">
        <v>51</v>
      </c>
      <c r="I44" t="s">
        <v>141</v>
      </c>
      <c r="L44" t="s">
        <v>152</v>
      </c>
      <c r="M44" t="s">
        <v>153</v>
      </c>
    </row>
    <row r="45" spans="7:17" x14ac:dyDescent="0.2">
      <c r="G45" s="69" t="s">
        <v>154</v>
      </c>
      <c r="H45" t="s">
        <v>130</v>
      </c>
      <c r="I45" s="19">
        <f>R13</f>
        <v>248490</v>
      </c>
      <c r="K45" t="s">
        <v>155</v>
      </c>
      <c r="L45">
        <f>L8</f>
        <v>2584000</v>
      </c>
      <c r="M45" s="53">
        <f>L45/100</f>
        <v>25840</v>
      </c>
    </row>
    <row r="46" spans="7:17" x14ac:dyDescent="0.2">
      <c r="G46" s="69"/>
      <c r="H46" t="s">
        <v>131</v>
      </c>
      <c r="I46" s="19">
        <f>R14</f>
        <v>38429.282358870965</v>
      </c>
      <c r="K46" t="s">
        <v>156</v>
      </c>
      <c r="L46">
        <f>L27</f>
        <v>2606725.7883000001</v>
      </c>
      <c r="M46" s="53">
        <f>L46/100</f>
        <v>26067.257883000002</v>
      </c>
    </row>
    <row r="47" spans="7:17" x14ac:dyDescent="0.2">
      <c r="G47" s="69" t="s">
        <v>156</v>
      </c>
      <c r="H47" t="s">
        <v>130</v>
      </c>
      <c r="I47" s="19">
        <v>76.165080000000003</v>
      </c>
    </row>
    <row r="48" spans="7:17" x14ac:dyDescent="0.2">
      <c r="G48" s="69"/>
      <c r="H48" t="s">
        <v>131</v>
      </c>
      <c r="I48" s="19">
        <v>76.165080000000003</v>
      </c>
      <c r="L48" t="s">
        <v>157</v>
      </c>
      <c r="M48" t="s">
        <v>156</v>
      </c>
    </row>
    <row r="49" spans="11:13" x14ac:dyDescent="0.2">
      <c r="K49" t="s">
        <v>152</v>
      </c>
      <c r="L49">
        <f>L45</f>
        <v>2584000</v>
      </c>
      <c r="M49">
        <f>L46</f>
        <v>2606725.7883000001</v>
      </c>
    </row>
    <row r="50" spans="11:13" x14ac:dyDescent="0.2">
      <c r="K50" t="s">
        <v>158</v>
      </c>
      <c r="L50" s="19">
        <f>I45</f>
        <v>248490</v>
      </c>
      <c r="M50" s="19">
        <f>I47</f>
        <v>76.165080000000003</v>
      </c>
    </row>
    <row r="51" spans="11:13" x14ac:dyDescent="0.2">
      <c r="K51" t="s">
        <v>159</v>
      </c>
      <c r="L51" s="19">
        <f>I46</f>
        <v>38429.282358870965</v>
      </c>
      <c r="M51" s="19">
        <f>I48</f>
        <v>76.165080000000003</v>
      </c>
    </row>
  </sheetData>
  <mergeCells count="10">
    <mergeCell ref="G45:G46"/>
    <mergeCell ref="G47:G48"/>
    <mergeCell ref="H35:O35"/>
    <mergeCell ref="H6:Q6"/>
    <mergeCell ref="H11:J11"/>
    <mergeCell ref="M11:Q11"/>
    <mergeCell ref="H19:O19"/>
    <mergeCell ref="H25:Q25"/>
    <mergeCell ref="M30:Q30"/>
    <mergeCell ref="H30:J30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FD94-06EA-44D1-BA9C-AA30D05F32D5}">
  <dimension ref="A1:E6"/>
  <sheetViews>
    <sheetView tabSelected="1" workbookViewId="0">
      <selection activeCell="E2" sqref="E2:E6"/>
    </sheetView>
  </sheetViews>
  <sheetFormatPr baseColWidth="10" defaultColWidth="8.83203125" defaultRowHeight="16" x14ac:dyDescent="0.2"/>
  <cols>
    <col min="1" max="1" width="38.5" bestFit="1" customWidth="1"/>
    <col min="2" max="2" width="9.1640625" bestFit="1" customWidth="1"/>
    <col min="3" max="3" width="19" bestFit="1" customWidth="1"/>
    <col min="4" max="4" width="30" bestFit="1" customWidth="1"/>
  </cols>
  <sheetData>
    <row r="1" spans="1:5" x14ac:dyDescent="0.2">
      <c r="A1" t="s">
        <v>160</v>
      </c>
      <c r="B1" t="s">
        <v>161</v>
      </c>
      <c r="C1" t="s">
        <v>162</v>
      </c>
      <c r="D1" t="s">
        <v>163</v>
      </c>
      <c r="E1" t="s">
        <v>164</v>
      </c>
    </row>
    <row r="2" spans="1:5" x14ac:dyDescent="0.2">
      <c r="A2" t="s">
        <v>165</v>
      </c>
      <c r="B2" s="55">
        <v>229</v>
      </c>
      <c r="C2">
        <f>4281084</f>
        <v>4281084</v>
      </c>
      <c r="D2" s="37">
        <f>18838/C2</f>
        <v>4.4002874038444467E-3</v>
      </c>
      <c r="E2" s="35">
        <f>C2/18838</f>
        <v>227.25788300244187</v>
      </c>
    </row>
    <row r="3" spans="1:5" x14ac:dyDescent="0.2">
      <c r="A3" t="s">
        <v>166</v>
      </c>
      <c r="B3" s="55">
        <v>279</v>
      </c>
      <c r="C3">
        <f>393*19000</f>
        <v>7467000</v>
      </c>
      <c r="D3" s="37">
        <f>19000/C3</f>
        <v>2.5445292620865142E-3</v>
      </c>
      <c r="E3" s="35">
        <f>C3/19000</f>
        <v>393</v>
      </c>
    </row>
    <row r="4" spans="1:5" x14ac:dyDescent="0.2">
      <c r="A4" t="s">
        <v>169</v>
      </c>
      <c r="B4" s="55">
        <v>0.16600000000000001</v>
      </c>
      <c r="C4">
        <v>2365825</v>
      </c>
      <c r="D4" s="37">
        <f>100/C4</f>
        <v>4.2268553253093528E-5</v>
      </c>
      <c r="E4" s="35">
        <f>C4/100</f>
        <v>23658.25</v>
      </c>
    </row>
    <row r="5" spans="1:5" x14ac:dyDescent="0.2">
      <c r="A5" t="s">
        <v>167</v>
      </c>
      <c r="B5" s="37">
        <v>0.313</v>
      </c>
      <c r="C5">
        <f>'Full scale materials and energy'!K21</f>
        <v>2584000</v>
      </c>
      <c r="D5" s="37">
        <f>100/C5</f>
        <v>3.8699690402476783E-5</v>
      </c>
      <c r="E5" s="35">
        <f>C5/100</f>
        <v>25840</v>
      </c>
    </row>
    <row r="6" spans="1:5" x14ac:dyDescent="0.2">
      <c r="A6" t="s">
        <v>168</v>
      </c>
      <c r="B6" s="37">
        <v>0.27800000000000002</v>
      </c>
      <c r="C6">
        <f>'Full scale materials and energy'!K22</f>
        <v>2584000.0000000005</v>
      </c>
      <c r="D6" s="37">
        <f>100/C6</f>
        <v>3.8699690402476776E-5</v>
      </c>
      <c r="E6" s="35">
        <f>C6/100</f>
        <v>25840.000000000004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Lab scale materials and energy</vt:lpstr>
      <vt:lpstr>Lab scale emissions</vt:lpstr>
      <vt:lpstr>Lab scale materials calculation</vt:lpstr>
      <vt:lpstr>Batch ultrasound</vt:lpstr>
      <vt:lpstr>Scale up information</vt:lpstr>
      <vt:lpstr>Full scale material calculation</vt:lpstr>
      <vt:lpstr>Full scale materials and energy</vt:lpstr>
      <vt:lpstr>Sensitivity analysis</vt:lpstr>
      <vt:lpstr>Comparison with other studies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Brown, Rebecca (rebe9135@vandals.uidaho.edu)</dc:creator>
  <cp:keywords/>
  <dc:description/>
  <cp:lastModifiedBy>Brown, Rebecca (rebe9135@vandals.uidaho.edu)</cp:lastModifiedBy>
  <cp:revision/>
  <dcterms:created xsi:type="dcterms:W3CDTF">2024-09-30T14:52:39Z</dcterms:created>
  <dcterms:modified xsi:type="dcterms:W3CDTF">2025-01-31T04:46:41Z</dcterms:modified>
  <cp:category/>
  <cp:contentStatus/>
</cp:coreProperties>
</file>