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xlsrvcdf" ContentType="image/p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AMANAND S VISHWAKARMA FURNITURE\ESTIMET\"/>
    </mc:Choice>
  </mc:AlternateContent>
  <bookViews>
    <workbookView xWindow="0" yWindow="0" windowWidth="20490" windowHeight="7335" tabRatio="895"/>
  </bookViews>
  <sheets>
    <sheet name="FINAL ALL ITME" sheetId="11" r:id="rId1"/>
    <sheet name="Measurement Sheet_FINAL" sheetId="4" r:id="rId2"/>
    <sheet name="DSR - items" sheetId="7" state="hidden" r:id="rId3"/>
    <sheet name="Fountain and Landscaping" sheetId="8" state="hidden" r:id="rId4"/>
  </sheets>
  <definedNames>
    <definedName name="_" localSheetId="1">#REF!</definedName>
    <definedName name="_">#REF!</definedName>
    <definedName name="Excel_BuiltIn_Print_Area" localSheetId="1">#REF!</definedName>
    <definedName name="Excel_BuiltIn_Print_Area">#REF!</definedName>
    <definedName name="Excel_BuiltIn_Print_Area_1_1_1" localSheetId="1">#REF!</definedName>
    <definedName name="Excel_BuiltIn_Print_Area_1_1_1">#REF!</definedName>
    <definedName name="Excel_BuiltIn_Print_Area_1_1_1_1" localSheetId="1">#REF!</definedName>
    <definedName name="Excel_BuiltIn_Print_Area_1_1_1_1">#REF!</definedName>
    <definedName name="Excel_BuiltIn_Print_Titles" localSheetId="1">#REF!</definedName>
    <definedName name="Excel_BuiltIn_Print_Titles">#REF!</definedName>
    <definedName name="Excel_BuiltIn_Print_Titles_1_1" localSheetId="1">#REF!</definedName>
    <definedName name="Excel_BuiltIn_Print_Titles_1_1">#REF!</definedName>
    <definedName name="_xlnm.Print_Area" localSheetId="0">'FINAL ALL ITME'!$J$2:$P$55</definedName>
    <definedName name="Print_Area_MI" localSheetId="1">#REF!</definedName>
    <definedName name="Print_Area_MI">#REF!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2" i="11" l="1"/>
  <c r="O11" i="11"/>
  <c r="O8" i="11"/>
  <c r="P8" i="11"/>
  <c r="O9" i="11"/>
  <c r="P9" i="11"/>
  <c r="O15" i="11"/>
  <c r="P15" i="11"/>
  <c r="O16" i="11"/>
  <c r="P16" i="11"/>
  <c r="O10" i="11"/>
  <c r="P10" i="11"/>
  <c r="O17" i="11"/>
  <c r="P17" i="11"/>
  <c r="P28" i="11"/>
  <c r="O12" i="11"/>
  <c r="P12" i="11"/>
  <c r="O13" i="11"/>
  <c r="P13" i="11"/>
  <c r="P18" i="11"/>
  <c r="P19" i="11"/>
  <c r="P20" i="11"/>
  <c r="P21" i="11"/>
  <c r="P22" i="11"/>
  <c r="P23" i="11"/>
  <c r="P24" i="11"/>
  <c r="P25" i="11"/>
  <c r="P26" i="11"/>
  <c r="P27" i="11"/>
  <c r="P29" i="11"/>
  <c r="P30" i="11"/>
  <c r="P31" i="11"/>
  <c r="P32" i="11"/>
  <c r="P33" i="11"/>
  <c r="P34" i="11"/>
  <c r="P35" i="11"/>
  <c r="P36" i="11"/>
  <c r="P37" i="11"/>
  <c r="P38" i="11"/>
  <c r="P39" i="11"/>
  <c r="P40" i="11"/>
  <c r="P41" i="11"/>
  <c r="P42" i="11"/>
  <c r="P43" i="11"/>
  <c r="P44" i="11"/>
  <c r="P45" i="11"/>
  <c r="P46" i="11"/>
  <c r="P47" i="11"/>
  <c r="P48" i="11"/>
  <c r="P49" i="11"/>
  <c r="P50" i="11"/>
  <c r="P51" i="11"/>
  <c r="H1106" i="4"/>
  <c r="H938" i="4"/>
  <c r="H1027" i="4"/>
  <c r="H1051" i="4"/>
  <c r="H1075" i="4"/>
  <c r="H1100" i="4"/>
  <c r="H937" i="4"/>
  <c r="H989" i="4"/>
  <c r="H972" i="4"/>
  <c r="H956" i="4"/>
  <c r="H1026" i="4"/>
  <c r="H199" i="4"/>
  <c r="H198" i="4"/>
  <c r="H124" i="4"/>
  <c r="H125" i="4"/>
  <c r="H126" i="4"/>
  <c r="H127" i="4"/>
  <c r="H128" i="4"/>
  <c r="H129" i="4"/>
  <c r="H130" i="4"/>
  <c r="H131" i="4"/>
  <c r="D132" i="4"/>
  <c r="H132" i="4"/>
  <c r="D133" i="4"/>
  <c r="H133" i="4"/>
  <c r="D134" i="4"/>
  <c r="H134" i="4"/>
  <c r="D135" i="4"/>
  <c r="H135" i="4"/>
  <c r="D136" i="4"/>
  <c r="H136" i="4"/>
  <c r="H137" i="4"/>
  <c r="D138" i="4"/>
  <c r="H138" i="4"/>
  <c r="H139" i="4"/>
  <c r="D140" i="4"/>
  <c r="H140" i="4"/>
  <c r="D141" i="4"/>
  <c r="H141" i="4"/>
  <c r="D142" i="4"/>
  <c r="H142" i="4"/>
  <c r="D143" i="4"/>
  <c r="H143" i="4"/>
  <c r="H144" i="4"/>
  <c r="D145" i="4"/>
  <c r="H145" i="4"/>
  <c r="D148" i="4"/>
  <c r="H148" i="4"/>
  <c r="H149" i="4"/>
  <c r="H150" i="4"/>
  <c r="H151" i="4"/>
  <c r="H152" i="4"/>
  <c r="D153" i="4"/>
  <c r="H153" i="4"/>
  <c r="D154" i="4"/>
  <c r="H154" i="4"/>
  <c r="H155" i="4"/>
  <c r="H156" i="4"/>
  <c r="H157" i="4"/>
  <c r="H158" i="4"/>
  <c r="H159" i="4"/>
  <c r="H160" i="4"/>
  <c r="H161" i="4"/>
  <c r="D162" i="4"/>
  <c r="H162" i="4"/>
  <c r="D163" i="4"/>
  <c r="H163" i="4"/>
  <c r="D164" i="4"/>
  <c r="H164" i="4"/>
  <c r="D165" i="4"/>
  <c r="H165" i="4"/>
  <c r="D166" i="4"/>
  <c r="H166" i="4"/>
  <c r="H167" i="4"/>
  <c r="D168" i="4"/>
  <c r="H168" i="4"/>
  <c r="H169" i="4"/>
  <c r="D172" i="4"/>
  <c r="H172" i="4"/>
  <c r="D173" i="4"/>
  <c r="H173" i="4"/>
  <c r="D174" i="4"/>
  <c r="H174" i="4"/>
  <c r="D175" i="4"/>
  <c r="H175" i="4"/>
  <c r="D176" i="4"/>
  <c r="H176" i="4"/>
  <c r="D177" i="4"/>
  <c r="H177" i="4"/>
  <c r="D178" i="4"/>
  <c r="H178" i="4"/>
  <c r="D179" i="4"/>
  <c r="H179" i="4"/>
  <c r="D180" i="4"/>
  <c r="H180" i="4"/>
  <c r="H181" i="4"/>
  <c r="D182" i="4"/>
  <c r="H182" i="4"/>
  <c r="D183" i="4"/>
  <c r="H183" i="4"/>
  <c r="D184" i="4"/>
  <c r="H184" i="4"/>
  <c r="D185" i="4"/>
  <c r="H185" i="4"/>
  <c r="D186" i="4"/>
  <c r="H186" i="4"/>
  <c r="D187" i="4"/>
  <c r="H187" i="4"/>
  <c r="D188" i="4"/>
  <c r="H188" i="4"/>
  <c r="D189" i="4"/>
  <c r="H189" i="4"/>
  <c r="D190" i="4"/>
  <c r="H190" i="4"/>
  <c r="D191" i="4"/>
  <c r="H191" i="4"/>
  <c r="D192" i="4"/>
  <c r="H192" i="4"/>
  <c r="D193" i="4"/>
  <c r="H193" i="4"/>
  <c r="H194" i="4"/>
  <c r="H122" i="4"/>
  <c r="H121" i="4"/>
  <c r="H12" i="4"/>
  <c r="H13" i="4"/>
  <c r="H14" i="4"/>
  <c r="H15" i="4"/>
  <c r="H16" i="4"/>
  <c r="H17" i="4"/>
  <c r="H18" i="4"/>
  <c r="H19" i="4"/>
  <c r="H20" i="4"/>
  <c r="H21" i="4"/>
  <c r="H22" i="4"/>
  <c r="H23" i="4"/>
  <c r="H24" i="4"/>
  <c r="H25" i="4"/>
  <c r="H26" i="4"/>
  <c r="H27" i="4"/>
  <c r="H28" i="4"/>
  <c r="H29" i="4"/>
  <c r="H30" i="4"/>
  <c r="H31" i="4"/>
  <c r="H32" i="4"/>
  <c r="H33" i="4"/>
  <c r="H34" i="4"/>
  <c r="H35" i="4"/>
  <c r="H36" i="4"/>
  <c r="H37" i="4"/>
  <c r="H41" i="4"/>
  <c r="H42" i="4"/>
  <c r="H43" i="4"/>
  <c r="H44" i="4"/>
  <c r="H45" i="4"/>
  <c r="H46" i="4"/>
  <c r="H47" i="4"/>
  <c r="H48" i="4"/>
  <c r="H49" i="4"/>
  <c r="H50" i="4"/>
  <c r="H51" i="4"/>
  <c r="H52" i="4"/>
  <c r="H53" i="4"/>
  <c r="H54" i="4"/>
  <c r="H55" i="4"/>
  <c r="H56" i="4"/>
  <c r="H57" i="4"/>
  <c r="H58" i="4"/>
  <c r="H59" i="4"/>
  <c r="H60" i="4"/>
  <c r="H61" i="4"/>
  <c r="H62" i="4"/>
  <c r="H63" i="4"/>
  <c r="H67" i="4"/>
  <c r="H68" i="4"/>
  <c r="H69" i="4"/>
  <c r="H70" i="4"/>
  <c r="H71" i="4"/>
  <c r="H72" i="4"/>
  <c r="H73" i="4"/>
  <c r="H74" i="4"/>
  <c r="H75" i="4"/>
  <c r="H76" i="4"/>
  <c r="H77" i="4"/>
  <c r="H78" i="4"/>
  <c r="H79" i="4"/>
  <c r="H80" i="4"/>
  <c r="H81" i="4"/>
  <c r="H82" i="4"/>
  <c r="H83" i="4"/>
  <c r="H84" i="4"/>
  <c r="H85" i="4"/>
  <c r="H88" i="4"/>
  <c r="H89" i="4"/>
  <c r="H90" i="4"/>
  <c r="H91" i="4"/>
  <c r="H92" i="4"/>
  <c r="H93" i="4"/>
  <c r="H94" i="4"/>
  <c r="H95" i="4"/>
  <c r="H97" i="4"/>
  <c r="H98" i="4"/>
  <c r="H99" i="4"/>
  <c r="H100" i="4"/>
  <c r="H101" i="4"/>
  <c r="H102" i="4"/>
  <c r="H103" i="4"/>
  <c r="H104" i="4"/>
  <c r="H105" i="4"/>
  <c r="H106" i="4"/>
  <c r="H108" i="4"/>
  <c r="H109" i="4"/>
  <c r="H110" i="4"/>
  <c r="H111" i="4"/>
  <c r="H112" i="4"/>
  <c r="H113" i="4"/>
  <c r="H114" i="4"/>
  <c r="H10" i="4"/>
  <c r="H9" i="4"/>
  <c r="H1226" i="4"/>
  <c r="H1227" i="4"/>
  <c r="H1228" i="4"/>
  <c r="H1229" i="4"/>
  <c r="H1230" i="4"/>
  <c r="H1231" i="4"/>
  <c r="H1233" i="4"/>
  <c r="H1224" i="4"/>
  <c r="H1303" i="4"/>
  <c r="H1304" i="4"/>
  <c r="H1305" i="4"/>
  <c r="H1306" i="4"/>
  <c r="H1307" i="4"/>
  <c r="H1308" i="4"/>
  <c r="H1309" i="4"/>
  <c r="H1300" i="4"/>
  <c r="H1301" i="4"/>
  <c r="H1257" i="4"/>
  <c r="H1109" i="4"/>
  <c r="D1110" i="4"/>
  <c r="H1110" i="4"/>
  <c r="H1111" i="4"/>
  <c r="H1112" i="4"/>
  <c r="D1113" i="4"/>
  <c r="H1113" i="4"/>
  <c r="D1114" i="4"/>
  <c r="H1114" i="4"/>
  <c r="D1115" i="4"/>
  <c r="H1115" i="4"/>
  <c r="D1116" i="4"/>
  <c r="H1116" i="4"/>
  <c r="D1117" i="4"/>
  <c r="H1117" i="4"/>
  <c r="D1118" i="4"/>
  <c r="H1118" i="4"/>
  <c r="H1119" i="4"/>
  <c r="D1120" i="4"/>
  <c r="H1120" i="4"/>
  <c r="H1121" i="4"/>
  <c r="D1122" i="4"/>
  <c r="H1122" i="4"/>
  <c r="D1124" i="4"/>
  <c r="H1124" i="4"/>
  <c r="D1125" i="4"/>
  <c r="H1125" i="4"/>
  <c r="H1126" i="4"/>
  <c r="D1127" i="4"/>
  <c r="H1127" i="4"/>
  <c r="D1128" i="4"/>
  <c r="H1128" i="4"/>
  <c r="D1129" i="4"/>
  <c r="H1129" i="4"/>
  <c r="D1130" i="4"/>
  <c r="H1130" i="4"/>
  <c r="D1131" i="4"/>
  <c r="H1131" i="4"/>
  <c r="D1132" i="4"/>
  <c r="H1132" i="4"/>
  <c r="D1133" i="4"/>
  <c r="H1133" i="4"/>
  <c r="D1134" i="4"/>
  <c r="H1134" i="4"/>
  <c r="D1136" i="4"/>
  <c r="H1136" i="4"/>
  <c r="D1137" i="4"/>
  <c r="H1137" i="4"/>
  <c r="D1138" i="4"/>
  <c r="H1138" i="4"/>
  <c r="D1139" i="4"/>
  <c r="H1139" i="4"/>
  <c r="H1140" i="4"/>
  <c r="H1141" i="4"/>
  <c r="H1142" i="4"/>
  <c r="D1143" i="4"/>
  <c r="H1143" i="4"/>
  <c r="H1144" i="4"/>
  <c r="H1145" i="4"/>
  <c r="H1107" i="4"/>
  <c r="H681" i="4"/>
  <c r="H682" i="4"/>
  <c r="H683" i="4"/>
  <c r="H684" i="4"/>
  <c r="H685" i="4"/>
  <c r="H686" i="4"/>
  <c r="H687" i="4"/>
  <c r="H688" i="4"/>
  <c r="H689" i="4"/>
  <c r="H690" i="4"/>
  <c r="H691" i="4"/>
  <c r="H692" i="4"/>
  <c r="H693" i="4"/>
  <c r="H694" i="4"/>
  <c r="H695" i="4"/>
  <c r="H696" i="4"/>
  <c r="H679" i="4"/>
  <c r="H678" i="4"/>
  <c r="H1150" i="4"/>
  <c r="H1151" i="4"/>
  <c r="H1152" i="4"/>
  <c r="H1153" i="4"/>
  <c r="H1154" i="4"/>
  <c r="H1155" i="4"/>
  <c r="H1158" i="4"/>
  <c r="H1159" i="4"/>
  <c r="H1162" i="4"/>
  <c r="H1163" i="4"/>
  <c r="H1164" i="4"/>
  <c r="H1165" i="4"/>
  <c r="H1167" i="4"/>
  <c r="H1148" i="4"/>
  <c r="H1147" i="4"/>
  <c r="H813" i="4"/>
  <c r="H812" i="4"/>
  <c r="H841" i="4"/>
  <c r="H846" i="4"/>
  <c r="H845" i="4"/>
  <c r="H1259" i="4"/>
  <c r="H1260" i="4"/>
  <c r="H1261" i="4"/>
  <c r="H1262" i="4"/>
  <c r="H1263" i="4"/>
  <c r="H1264" i="4"/>
  <c r="H1265" i="4"/>
  <c r="H1266" i="4"/>
  <c r="H1267" i="4"/>
  <c r="H1268" i="4"/>
  <c r="H1270" i="4"/>
  <c r="H1271" i="4"/>
  <c r="H1272" i="4"/>
  <c r="H1273" i="4"/>
  <c r="H1274" i="4"/>
  <c r="H1275" i="4"/>
  <c r="H1276" i="4"/>
  <c r="H1278" i="4"/>
  <c r="H1279" i="4"/>
  <c r="H1280" i="4"/>
  <c r="H1281" i="4"/>
  <c r="H1282" i="4"/>
  <c r="H1283" i="4"/>
  <c r="H1284" i="4"/>
  <c r="H1285" i="4"/>
  <c r="H1286" i="4"/>
  <c r="H1288" i="4"/>
  <c r="H1289" i="4"/>
  <c r="H1290" i="4"/>
  <c r="H1291" i="4"/>
  <c r="H1292" i="4"/>
  <c r="H1293" i="4"/>
  <c r="H1294" i="4"/>
  <c r="H1295" i="4"/>
  <c r="H1297" i="4"/>
  <c r="H1254" i="4"/>
  <c r="H241" i="4"/>
  <c r="H242" i="4"/>
  <c r="H243" i="4"/>
  <c r="H244" i="4"/>
  <c r="H245" i="4"/>
  <c r="H246" i="4"/>
  <c r="H247" i="4"/>
  <c r="H248" i="4"/>
  <c r="H249" i="4"/>
  <c r="H250" i="4"/>
  <c r="D251" i="4"/>
  <c r="H251" i="4"/>
  <c r="H252" i="4"/>
  <c r="H253" i="4"/>
  <c r="D254" i="4"/>
  <c r="H254" i="4"/>
  <c r="H255" i="4"/>
  <c r="H256" i="4"/>
  <c r="H257" i="4"/>
  <c r="H258" i="4"/>
  <c r="H259" i="4"/>
  <c r="H260" i="4"/>
  <c r="H261" i="4"/>
  <c r="H263" i="4"/>
  <c r="H264" i="4"/>
  <c r="H266" i="4"/>
  <c r="H267" i="4"/>
  <c r="H269" i="4"/>
  <c r="H270" i="4"/>
  <c r="H272" i="4"/>
  <c r="H273" i="4"/>
  <c r="H239" i="4"/>
  <c r="H238" i="4"/>
  <c r="H276" i="4"/>
  <c r="H303" i="4"/>
  <c r="H304" i="4"/>
  <c r="H305" i="4"/>
  <c r="H306" i="4"/>
  <c r="D309" i="4"/>
  <c r="H309" i="4"/>
  <c r="D310" i="4"/>
  <c r="H310" i="4"/>
  <c r="H300" i="4"/>
  <c r="H299" i="4"/>
  <c r="H315" i="4"/>
  <c r="H316" i="4"/>
  <c r="H312" i="4"/>
  <c r="H311" i="4"/>
  <c r="H941" i="4"/>
  <c r="H942" i="4"/>
  <c r="H943" i="4"/>
  <c r="H944" i="4"/>
  <c r="H945" i="4"/>
  <c r="H946" i="4"/>
  <c r="H947" i="4"/>
  <c r="H948" i="4"/>
  <c r="H949" i="4"/>
  <c r="H950" i="4"/>
  <c r="H951" i="4"/>
  <c r="H952" i="4"/>
  <c r="H953" i="4"/>
  <c r="H954" i="4"/>
  <c r="H955" i="4"/>
  <c r="H958" i="4"/>
  <c r="H959" i="4"/>
  <c r="H960" i="4"/>
  <c r="H961" i="4"/>
  <c r="H962" i="4"/>
  <c r="H963" i="4"/>
  <c r="H964" i="4"/>
  <c r="H965" i="4"/>
  <c r="H966" i="4"/>
  <c r="H967" i="4"/>
  <c r="H968" i="4"/>
  <c r="H969" i="4"/>
  <c r="H970" i="4"/>
  <c r="H971" i="4"/>
  <c r="H974" i="4"/>
  <c r="H975" i="4"/>
  <c r="H976" i="4"/>
  <c r="H977" i="4"/>
  <c r="H978" i="4"/>
  <c r="H979" i="4"/>
  <c r="H980" i="4"/>
  <c r="H981" i="4"/>
  <c r="H982" i="4"/>
  <c r="H983" i="4"/>
  <c r="H984" i="4"/>
  <c r="H985" i="4"/>
  <c r="H986" i="4"/>
  <c r="H987" i="4"/>
  <c r="H988" i="4"/>
  <c r="H994" i="4"/>
  <c r="H995" i="4"/>
  <c r="H996" i="4"/>
  <c r="H997" i="4"/>
  <c r="H998" i="4"/>
  <c r="H999" i="4"/>
  <c r="H1000" i="4"/>
  <c r="H1001" i="4"/>
  <c r="H1004" i="4"/>
  <c r="H1005" i="4"/>
  <c r="H1006" i="4"/>
  <c r="H1007" i="4"/>
  <c r="H1008" i="4"/>
  <c r="H1009" i="4"/>
  <c r="H1010" i="4"/>
  <c r="H1013" i="4"/>
  <c r="H1014" i="4"/>
  <c r="H1015" i="4"/>
  <c r="H1016" i="4"/>
  <c r="H1017" i="4"/>
  <c r="H1020" i="4"/>
  <c r="H1021" i="4"/>
  <c r="H1022" i="4"/>
  <c r="H1029" i="4"/>
  <c r="H1030" i="4"/>
  <c r="H1031" i="4"/>
  <c r="H1032" i="4"/>
  <c r="H1033" i="4"/>
  <c r="H1034" i="4"/>
  <c r="H1035" i="4"/>
  <c r="H1036" i="4"/>
  <c r="D1037" i="4"/>
  <c r="H1037" i="4"/>
  <c r="D1038" i="4"/>
  <c r="H1038" i="4"/>
  <c r="D1039" i="4"/>
  <c r="H1039" i="4"/>
  <c r="D1040" i="4"/>
  <c r="H1040" i="4"/>
  <c r="D1041" i="4"/>
  <c r="H1041" i="4"/>
  <c r="H1042" i="4"/>
  <c r="D1043" i="4"/>
  <c r="H1043" i="4"/>
  <c r="H1044" i="4"/>
  <c r="D1045" i="4"/>
  <c r="H1045" i="4"/>
  <c r="D1046" i="4"/>
  <c r="H1046" i="4"/>
  <c r="D1047" i="4"/>
  <c r="H1047" i="4"/>
  <c r="D1048" i="4"/>
  <c r="H1048" i="4"/>
  <c r="H1049" i="4"/>
  <c r="D1050" i="4"/>
  <c r="H1050" i="4"/>
  <c r="D1053" i="4"/>
  <c r="H1053" i="4"/>
  <c r="H1054" i="4"/>
  <c r="H1055" i="4"/>
  <c r="H1056" i="4"/>
  <c r="H1057" i="4"/>
  <c r="D1058" i="4"/>
  <c r="H1058" i="4"/>
  <c r="D1059" i="4"/>
  <c r="H1059" i="4"/>
  <c r="H1060" i="4"/>
  <c r="H1061" i="4"/>
  <c r="H1062" i="4"/>
  <c r="H1063" i="4"/>
  <c r="H1064" i="4"/>
  <c r="H1065" i="4"/>
  <c r="H1066" i="4"/>
  <c r="D1067" i="4"/>
  <c r="H1067" i="4"/>
  <c r="D1068" i="4"/>
  <c r="H1068" i="4"/>
  <c r="D1069" i="4"/>
  <c r="H1069" i="4"/>
  <c r="D1070" i="4"/>
  <c r="H1070" i="4"/>
  <c r="D1071" i="4"/>
  <c r="H1071" i="4"/>
  <c r="H1072" i="4"/>
  <c r="D1073" i="4"/>
  <c r="H1073" i="4"/>
  <c r="H1074" i="4"/>
  <c r="D1077" i="4"/>
  <c r="H1077" i="4"/>
  <c r="D1078" i="4"/>
  <c r="H1078" i="4"/>
  <c r="D1079" i="4"/>
  <c r="H1079" i="4"/>
  <c r="D1080" i="4"/>
  <c r="H1080" i="4"/>
  <c r="D1081" i="4"/>
  <c r="H1081" i="4"/>
  <c r="D1082" i="4"/>
  <c r="H1082" i="4"/>
  <c r="D1083" i="4"/>
  <c r="H1083" i="4"/>
  <c r="D1084" i="4"/>
  <c r="H1084" i="4"/>
  <c r="D1085" i="4"/>
  <c r="H1085" i="4"/>
  <c r="H1086" i="4"/>
  <c r="D1087" i="4"/>
  <c r="H1087" i="4"/>
  <c r="D1088" i="4"/>
  <c r="H1088" i="4"/>
  <c r="D1089" i="4"/>
  <c r="H1089" i="4"/>
  <c r="D1090" i="4"/>
  <c r="H1090" i="4"/>
  <c r="D1091" i="4"/>
  <c r="H1091" i="4"/>
  <c r="D1092" i="4"/>
  <c r="H1092" i="4"/>
  <c r="D1093" i="4"/>
  <c r="H1093" i="4"/>
  <c r="D1094" i="4"/>
  <c r="H1094" i="4"/>
  <c r="D1095" i="4"/>
  <c r="H1095" i="4"/>
  <c r="D1096" i="4"/>
  <c r="H1096" i="4"/>
  <c r="D1097" i="4"/>
  <c r="H1097" i="4"/>
  <c r="D1098" i="4"/>
  <c r="H1098" i="4"/>
  <c r="H1099" i="4"/>
  <c r="H653" i="4"/>
  <c r="H654" i="4"/>
  <c r="H655" i="4"/>
  <c r="H656" i="4"/>
  <c r="H657" i="4"/>
  <c r="H658" i="4"/>
  <c r="H659" i="4"/>
  <c r="H660" i="4"/>
  <c r="H663" i="4"/>
  <c r="H664" i="4"/>
  <c r="H665" i="4"/>
  <c r="H666" i="4"/>
  <c r="H667" i="4"/>
  <c r="H668" i="4"/>
  <c r="H669" i="4"/>
  <c r="H672" i="4"/>
  <c r="H673" i="4"/>
  <c r="H674" i="4"/>
  <c r="H675" i="4"/>
  <c r="H676" i="4"/>
  <c r="H651" i="4"/>
  <c r="H650" i="4"/>
  <c r="H1190" i="4"/>
  <c r="H1191" i="4"/>
  <c r="H1192" i="4"/>
  <c r="H1193" i="4"/>
  <c r="H1194" i="4"/>
  <c r="H1196" i="4"/>
  <c r="H1188" i="4"/>
  <c r="H1205" i="4"/>
  <c r="H1206" i="4"/>
  <c r="H1207" i="4"/>
  <c r="H1204" i="4"/>
  <c r="H1202" i="4"/>
  <c r="H118" i="4"/>
  <c r="H119" i="4"/>
  <c r="H117" i="4"/>
  <c r="H116" i="4"/>
  <c r="H323" i="4"/>
  <c r="H324" i="4"/>
  <c r="H325" i="4"/>
  <c r="H326" i="4"/>
  <c r="H327" i="4"/>
  <c r="H328" i="4"/>
  <c r="H329" i="4"/>
  <c r="H330" i="4"/>
  <c r="H331" i="4"/>
  <c r="H332" i="4"/>
  <c r="H333" i="4"/>
  <c r="H334" i="4"/>
  <c r="H335" i="4"/>
  <c r="H336" i="4"/>
  <c r="D339" i="4"/>
  <c r="H339" i="4"/>
  <c r="D340" i="4"/>
  <c r="H340" i="4"/>
  <c r="D341" i="4"/>
  <c r="H341" i="4"/>
  <c r="D342" i="4"/>
  <c r="H342" i="4"/>
  <c r="D343" i="4"/>
  <c r="H343" i="4"/>
  <c r="D344" i="4"/>
  <c r="H344" i="4"/>
  <c r="D345" i="4"/>
  <c r="H345" i="4"/>
  <c r="D346" i="4"/>
  <c r="H346" i="4"/>
  <c r="D347" i="4"/>
  <c r="H347" i="4"/>
  <c r="D348" i="4"/>
  <c r="H348" i="4"/>
  <c r="D349" i="4"/>
  <c r="H349" i="4"/>
  <c r="D350" i="4"/>
  <c r="H350" i="4"/>
  <c r="H351" i="4"/>
  <c r="D352" i="4"/>
  <c r="H352" i="4"/>
  <c r="H355" i="4"/>
  <c r="H356" i="4"/>
  <c r="H357" i="4"/>
  <c r="H358" i="4"/>
  <c r="H359" i="4"/>
  <c r="H360" i="4"/>
  <c r="H361" i="4"/>
  <c r="H362" i="4"/>
  <c r="H363" i="4"/>
  <c r="H364" i="4"/>
  <c r="H365" i="4"/>
  <c r="H366" i="4"/>
  <c r="H367" i="4"/>
  <c r="H368" i="4"/>
  <c r="H369" i="4"/>
  <c r="D372" i="4"/>
  <c r="H372" i="4"/>
  <c r="D373" i="4"/>
  <c r="H373" i="4"/>
  <c r="H374" i="4"/>
  <c r="H375" i="4"/>
  <c r="D376" i="4"/>
  <c r="H376" i="4"/>
  <c r="D377" i="4"/>
  <c r="H377" i="4"/>
  <c r="D378" i="4"/>
  <c r="H378" i="4"/>
  <c r="D379" i="4"/>
  <c r="H379" i="4"/>
  <c r="D380" i="4"/>
  <c r="H380" i="4"/>
  <c r="H381" i="4"/>
  <c r="D382" i="4"/>
  <c r="H382" i="4"/>
  <c r="D383" i="4"/>
  <c r="H383" i="4"/>
  <c r="D384" i="4"/>
  <c r="H384" i="4"/>
  <c r="D385" i="4"/>
  <c r="H385" i="4"/>
  <c r="D386" i="4"/>
  <c r="H386" i="4"/>
  <c r="H389" i="4"/>
  <c r="H390" i="4"/>
  <c r="H391" i="4"/>
  <c r="H392" i="4"/>
  <c r="H393" i="4"/>
  <c r="H394" i="4"/>
  <c r="H395" i="4"/>
  <c r="H396" i="4"/>
  <c r="H397" i="4"/>
  <c r="H398" i="4"/>
  <c r="H399" i="4"/>
  <c r="H400" i="4"/>
  <c r="H401" i="4"/>
  <c r="H402" i="4"/>
  <c r="H403" i="4"/>
  <c r="D406" i="4"/>
  <c r="H406" i="4"/>
  <c r="D407" i="4"/>
  <c r="H407" i="4"/>
  <c r="D408" i="4"/>
  <c r="H408" i="4"/>
  <c r="D409" i="4"/>
  <c r="H409" i="4"/>
  <c r="D410" i="4"/>
  <c r="H410" i="4"/>
  <c r="D411" i="4"/>
  <c r="H411" i="4"/>
  <c r="D412" i="4"/>
  <c r="H412" i="4"/>
  <c r="D413" i="4"/>
  <c r="H413" i="4"/>
  <c r="D414" i="4"/>
  <c r="H414" i="4"/>
  <c r="D415" i="4"/>
  <c r="H415" i="4"/>
  <c r="D416" i="4"/>
  <c r="H416" i="4"/>
  <c r="H418" i="4"/>
  <c r="H419" i="4"/>
  <c r="H420" i="4"/>
  <c r="H421" i="4"/>
  <c r="H422" i="4"/>
  <c r="H423" i="4"/>
  <c r="H424" i="4"/>
  <c r="H425" i="4"/>
  <c r="H428" i="4"/>
  <c r="H429" i="4"/>
  <c r="H430" i="4"/>
  <c r="H431" i="4"/>
  <c r="H432" i="4"/>
  <c r="H433" i="4"/>
  <c r="H434" i="4"/>
  <c r="H435" i="4"/>
  <c r="H438" i="4"/>
  <c r="H439" i="4"/>
  <c r="H440" i="4"/>
  <c r="H441" i="4"/>
  <c r="H442" i="4"/>
  <c r="H443" i="4"/>
  <c r="H444" i="4"/>
  <c r="H447" i="4"/>
  <c r="H448" i="4"/>
  <c r="H449" i="4"/>
  <c r="H450" i="4"/>
  <c r="H451" i="4"/>
  <c r="H452" i="4"/>
  <c r="H453" i="4"/>
  <c r="H456" i="4"/>
  <c r="H457" i="4"/>
  <c r="H458" i="4"/>
  <c r="H459" i="4"/>
  <c r="H460" i="4"/>
  <c r="H463" i="4"/>
  <c r="H464" i="4"/>
  <c r="H465" i="4"/>
  <c r="H466" i="4"/>
  <c r="H467" i="4"/>
  <c r="H321" i="4"/>
  <c r="H320" i="4"/>
  <c r="H496" i="4"/>
  <c r="H497" i="4"/>
  <c r="H498" i="4"/>
  <c r="H499" i="4"/>
  <c r="H501" i="4"/>
  <c r="H502" i="4"/>
  <c r="H503" i="4"/>
  <c r="H504" i="4"/>
  <c r="D505" i="4"/>
  <c r="H505" i="4"/>
  <c r="H506" i="4"/>
  <c r="H507" i="4"/>
  <c r="H508" i="4"/>
  <c r="H509" i="4"/>
  <c r="H510" i="4"/>
  <c r="H511" i="4"/>
  <c r="H512" i="4"/>
  <c r="H514" i="4"/>
  <c r="H515" i="4"/>
  <c r="H516" i="4"/>
  <c r="H518" i="4"/>
  <c r="H519" i="4"/>
  <c r="H520" i="4"/>
  <c r="H521" i="4"/>
  <c r="H522" i="4"/>
  <c r="H523" i="4"/>
  <c r="H527" i="4"/>
  <c r="H528" i="4"/>
  <c r="H529" i="4"/>
  <c r="H530" i="4"/>
  <c r="D531" i="4"/>
  <c r="H531" i="4"/>
  <c r="H532" i="4"/>
  <c r="H533" i="4"/>
  <c r="H534" i="4"/>
  <c r="H535" i="4"/>
  <c r="H536" i="4"/>
  <c r="H537" i="4"/>
  <c r="H538" i="4"/>
  <c r="H540" i="4"/>
  <c r="H541" i="4"/>
  <c r="H542" i="4"/>
  <c r="H544" i="4"/>
  <c r="H545" i="4"/>
  <c r="H546" i="4"/>
  <c r="H550" i="4"/>
  <c r="H551" i="4"/>
  <c r="H552" i="4"/>
  <c r="H553" i="4"/>
  <c r="H555" i="4"/>
  <c r="H556" i="4"/>
  <c r="H557" i="4"/>
  <c r="D558" i="4"/>
  <c r="H558" i="4"/>
  <c r="D559" i="4"/>
  <c r="H559" i="4"/>
  <c r="H560" i="4"/>
  <c r="H561" i="4"/>
  <c r="H563" i="4"/>
  <c r="H564" i="4"/>
  <c r="H565" i="4"/>
  <c r="H492" i="4"/>
  <c r="H491" i="4"/>
  <c r="D479" i="4"/>
  <c r="H479" i="4"/>
  <c r="H480" i="4"/>
  <c r="D481" i="4"/>
  <c r="H481" i="4"/>
  <c r="D482" i="4"/>
  <c r="H482" i="4"/>
  <c r="H476" i="4"/>
  <c r="H475" i="4"/>
  <c r="H742" i="4"/>
  <c r="H743" i="4"/>
  <c r="D744" i="4"/>
  <c r="H744" i="4"/>
  <c r="D745" i="4"/>
  <c r="H745" i="4"/>
  <c r="D746" i="4"/>
  <c r="H746" i="4"/>
  <c r="H747" i="4"/>
  <c r="H748" i="4"/>
  <c r="H749" i="4"/>
  <c r="D750" i="4"/>
  <c r="H750" i="4"/>
  <c r="H751" i="4"/>
  <c r="H752" i="4"/>
  <c r="D753" i="4"/>
  <c r="H753" i="4"/>
  <c r="H754" i="4"/>
  <c r="H755" i="4"/>
  <c r="H756" i="4"/>
  <c r="H760" i="4"/>
  <c r="H761" i="4"/>
  <c r="H762" i="4"/>
  <c r="H763" i="4"/>
  <c r="H764" i="4"/>
  <c r="H765" i="4"/>
  <c r="H766" i="4"/>
  <c r="H767" i="4"/>
  <c r="D768" i="4"/>
  <c r="H768" i="4"/>
  <c r="H769" i="4"/>
  <c r="H770" i="4"/>
  <c r="H771" i="4"/>
  <c r="D774" i="4"/>
  <c r="H774" i="4"/>
  <c r="D775" i="4"/>
  <c r="H775" i="4"/>
  <c r="D776" i="4"/>
  <c r="H776" i="4"/>
  <c r="H777" i="4"/>
  <c r="H778" i="4"/>
  <c r="D779" i="4"/>
  <c r="H779" i="4"/>
  <c r="H780" i="4"/>
  <c r="H784" i="4"/>
  <c r="H785" i="4"/>
  <c r="H786" i="4"/>
  <c r="H787" i="4"/>
  <c r="H788" i="4"/>
  <c r="H789" i="4"/>
  <c r="H790" i="4"/>
  <c r="H793" i="4"/>
  <c r="H794" i="4"/>
  <c r="H795" i="4"/>
  <c r="H796" i="4"/>
  <c r="H797" i="4"/>
  <c r="H798" i="4"/>
  <c r="H799" i="4"/>
  <c r="H800" i="4"/>
  <c r="H801" i="4"/>
  <c r="H802" i="4"/>
  <c r="H803" i="4"/>
  <c r="H807" i="4"/>
  <c r="H739" i="4"/>
  <c r="H738" i="4"/>
  <c r="H716" i="4"/>
  <c r="H717" i="4"/>
  <c r="H718" i="4"/>
  <c r="H719" i="4"/>
  <c r="H720" i="4"/>
  <c r="H721" i="4"/>
  <c r="H722" i="4"/>
  <c r="H724" i="4"/>
  <c r="H725" i="4"/>
  <c r="H726" i="4"/>
  <c r="H727" i="4"/>
  <c r="H728" i="4"/>
  <c r="H729" i="4"/>
  <c r="H730" i="4"/>
  <c r="H731" i="4"/>
  <c r="H732" i="4"/>
  <c r="H733" i="4"/>
  <c r="H734" i="4"/>
  <c r="H736" i="4"/>
  <c r="H713" i="4"/>
  <c r="H712" i="4"/>
  <c r="H704" i="4"/>
  <c r="H705" i="4"/>
  <c r="H707" i="4"/>
  <c r="H709" i="4"/>
  <c r="H702" i="4"/>
  <c r="H701" i="4"/>
  <c r="H810" i="4"/>
  <c r="H844" i="4"/>
  <c r="H843" i="4"/>
  <c r="O14" i="11"/>
  <c r="H922" i="4"/>
  <c r="H923" i="4"/>
  <c r="H924" i="4"/>
  <c r="H925" i="4"/>
  <c r="H926" i="4"/>
  <c r="H927" i="4"/>
  <c r="H928" i="4"/>
  <c r="H920" i="4"/>
  <c r="H919" i="4"/>
  <c r="H933" i="4"/>
  <c r="H931" i="4"/>
  <c r="H930" i="4"/>
  <c r="H914" i="4"/>
  <c r="H917" i="4"/>
  <c r="H911" i="4"/>
  <c r="H910" i="4"/>
  <c r="H570" i="4"/>
  <c r="H571" i="4"/>
  <c r="H573" i="4"/>
  <c r="H575" i="4"/>
  <c r="H578" i="4"/>
  <c r="H580" i="4"/>
  <c r="H582" i="4"/>
  <c r="H585" i="4"/>
  <c r="H586" i="4"/>
  <c r="H587" i="4"/>
  <c r="H588" i="4"/>
  <c r="H567" i="4"/>
  <c r="H593" i="4"/>
  <c r="H594" i="4"/>
  <c r="H595" i="4"/>
  <c r="H597" i="4"/>
  <c r="H598" i="4"/>
  <c r="H599" i="4"/>
  <c r="H601" i="4"/>
  <c r="H590" i="4"/>
  <c r="H621" i="4"/>
  <c r="H622" i="4"/>
  <c r="H624" i="4"/>
  <c r="H625" i="4"/>
  <c r="H618" i="4"/>
  <c r="H606" i="4"/>
  <c r="H607" i="4"/>
  <c r="H610" i="4"/>
  <c r="H613" i="4"/>
  <c r="H614" i="4"/>
  <c r="H615" i="4"/>
  <c r="H616" i="4"/>
  <c r="H603" i="4"/>
  <c r="H630" i="4"/>
  <c r="H631" i="4"/>
  <c r="H632" i="4"/>
  <c r="H633" i="4"/>
  <c r="H635" i="4"/>
  <c r="H636" i="4"/>
  <c r="H637" i="4"/>
  <c r="H639" i="4"/>
  <c r="H640" i="4"/>
  <c r="H641" i="4"/>
  <c r="H642" i="4"/>
  <c r="H627" i="4"/>
  <c r="H647" i="4"/>
  <c r="H648" i="4"/>
  <c r="H644" i="4"/>
  <c r="H857" i="4"/>
  <c r="H858" i="4"/>
  <c r="H859" i="4"/>
  <c r="H860" i="4"/>
  <c r="H861" i="4"/>
  <c r="H862" i="4"/>
  <c r="H863" i="4"/>
  <c r="H864" i="4"/>
  <c r="H865" i="4"/>
  <c r="H867" i="4"/>
  <c r="H868" i="4"/>
  <c r="H869" i="4"/>
  <c r="H872" i="4"/>
  <c r="H873" i="4"/>
  <c r="H874" i="4"/>
  <c r="H875" i="4"/>
  <c r="H876" i="4"/>
  <c r="H877" i="4"/>
  <c r="H878" i="4"/>
  <c r="H879" i="4"/>
  <c r="H880" i="4"/>
  <c r="H881" i="4"/>
  <c r="H882" i="4"/>
  <c r="H883" i="4"/>
  <c r="H884" i="4"/>
  <c r="H886" i="4"/>
  <c r="H887" i="4"/>
  <c r="H888" i="4"/>
  <c r="H889" i="4"/>
  <c r="H890" i="4"/>
  <c r="H893" i="4"/>
  <c r="H894" i="4"/>
  <c r="H895" i="4"/>
  <c r="H896" i="4"/>
  <c r="H897" i="4"/>
  <c r="H898" i="4"/>
  <c r="H899" i="4"/>
  <c r="H900" i="4"/>
  <c r="H901" i="4"/>
  <c r="H902" i="4"/>
  <c r="H903" i="4"/>
  <c r="H904" i="4"/>
  <c r="H905" i="4"/>
  <c r="H906" i="4"/>
  <c r="H855" i="4"/>
  <c r="H854" i="4"/>
  <c r="H1213" i="4"/>
  <c r="H1220" i="4"/>
  <c r="H1221" i="4"/>
  <c r="H1222" i="4"/>
  <c r="H1217" i="4"/>
  <c r="H1215" i="4"/>
  <c r="H1237" i="4"/>
  <c r="H1238" i="4"/>
  <c r="H1239" i="4"/>
  <c r="H1241" i="4"/>
  <c r="H1235" i="4"/>
  <c r="H1245" i="4"/>
  <c r="H1246" i="4"/>
  <c r="H1247" i="4"/>
  <c r="H1249" i="4"/>
  <c r="H1243" i="4"/>
  <c r="H1252" i="4"/>
  <c r="H1251" i="4"/>
  <c r="H472" i="4"/>
  <c r="H471" i="4"/>
  <c r="H470" i="4"/>
  <c r="H839" i="4"/>
  <c r="H840" i="4"/>
  <c r="H1103" i="4"/>
  <c r="H1102" i="4"/>
  <c r="H849" i="4"/>
  <c r="H850" i="4"/>
  <c r="H851" i="4"/>
  <c r="H852" i="4"/>
  <c r="H848" i="4"/>
  <c r="H837" i="4"/>
  <c r="H831" i="4"/>
  <c r="H830" i="4"/>
  <c r="H829" i="4"/>
  <c r="H828" i="4"/>
  <c r="H827" i="4"/>
  <c r="H822" i="4"/>
  <c r="H823" i="4"/>
  <c r="H817" i="4"/>
  <c r="H818" i="4"/>
  <c r="H819" i="4"/>
  <c r="H820" i="4"/>
  <c r="H821" i="4"/>
  <c r="H1173" i="4"/>
  <c r="H1174" i="4"/>
  <c r="H1175" i="4"/>
  <c r="H1176" i="4"/>
  <c r="H1178" i="4"/>
  <c r="H1179" i="4"/>
  <c r="H1180" i="4"/>
  <c r="H1182" i="4"/>
  <c r="H1183" i="4"/>
  <c r="H1184" i="4"/>
  <c r="H1185" i="4"/>
  <c r="H1186" i="4"/>
  <c r="H1170" i="4"/>
  <c r="H1169" i="4"/>
  <c r="H913" i="4"/>
  <c r="H816" i="4"/>
  <c r="H826" i="4"/>
  <c r="H832" i="4"/>
  <c r="H835" i="4"/>
  <c r="H838" i="4"/>
  <c r="H836" i="4"/>
  <c r="D488" i="4"/>
  <c r="H488" i="4"/>
  <c r="D485" i="4"/>
  <c r="H485" i="4"/>
  <c r="G102" i="8"/>
  <c r="G101" i="8"/>
  <c r="G100" i="8"/>
  <c r="G95" i="8"/>
  <c r="F42" i="8"/>
  <c r="F41" i="8"/>
  <c r="F40" i="8"/>
  <c r="F39" i="8"/>
  <c r="F37" i="8"/>
  <c r="F35" i="8"/>
  <c r="F34" i="8"/>
  <c r="F33" i="8"/>
  <c r="F32" i="8"/>
  <c r="F31" i="8"/>
  <c r="F29" i="8"/>
  <c r="F28" i="8"/>
  <c r="F27" i="8"/>
  <c r="F26" i="8"/>
  <c r="F25" i="8"/>
  <c r="F24" i="8"/>
  <c r="F23" i="8"/>
  <c r="F21" i="8"/>
  <c r="F20" i="8"/>
  <c r="F19" i="8"/>
  <c r="F18" i="8"/>
  <c r="F17" i="8"/>
  <c r="F16" i="8"/>
  <c r="F15" i="8"/>
  <c r="F14" i="8"/>
  <c r="F13" i="8"/>
  <c r="F12" i="8"/>
  <c r="F10" i="8"/>
  <c r="F9" i="8"/>
  <c r="F7" i="8"/>
  <c r="P305" i="7"/>
  <c r="P304" i="7"/>
  <c r="P303" i="7"/>
  <c r="P302" i="7"/>
  <c r="P301" i="7"/>
  <c r="P299" i="7"/>
  <c r="P297" i="7"/>
  <c r="P296" i="7"/>
  <c r="P295" i="7"/>
  <c r="P294" i="7"/>
  <c r="P291" i="7"/>
  <c r="P289" i="7"/>
  <c r="P287" i="7"/>
  <c r="P286" i="7"/>
  <c r="P283" i="7"/>
  <c r="P280" i="7"/>
  <c r="P279" i="7"/>
  <c r="P278" i="7"/>
  <c r="P276" i="7"/>
  <c r="P275" i="7"/>
  <c r="P274" i="7"/>
  <c r="P273" i="7"/>
  <c r="P271" i="7"/>
  <c r="P269" i="7"/>
  <c r="P267" i="7"/>
  <c r="P264" i="7"/>
  <c r="P262" i="7"/>
  <c r="P261" i="7"/>
  <c r="P260" i="7"/>
  <c r="P258" i="7"/>
  <c r="P257" i="7"/>
  <c r="P256" i="7"/>
  <c r="P254" i="7"/>
  <c r="P253" i="7"/>
  <c r="P252" i="7"/>
  <c r="P251" i="7"/>
  <c r="P249" i="7"/>
  <c r="P247" i="7"/>
  <c r="P246" i="7"/>
  <c r="P244" i="7"/>
  <c r="P243" i="7"/>
  <c r="P242" i="7"/>
  <c r="P240" i="7"/>
  <c r="P237" i="7"/>
  <c r="P236" i="7"/>
  <c r="P235" i="7"/>
  <c r="P234" i="7"/>
  <c r="P233" i="7"/>
  <c r="P232" i="7"/>
  <c r="P231" i="7"/>
  <c r="P230" i="7"/>
  <c r="P229" i="7"/>
  <c r="P228" i="7"/>
  <c r="P227" i="7"/>
  <c r="P226" i="7"/>
  <c r="P224" i="7"/>
  <c r="P223" i="7"/>
  <c r="P222" i="7"/>
  <c r="P217" i="7"/>
  <c r="P216" i="7"/>
  <c r="H216" i="7"/>
  <c r="P215" i="7"/>
  <c r="H215" i="7"/>
  <c r="P214" i="7"/>
  <c r="P213" i="7"/>
  <c r="P212" i="7"/>
  <c r="P211" i="7"/>
  <c r="H211" i="7"/>
  <c r="P210" i="7"/>
  <c r="P209" i="7"/>
  <c r="P208" i="7"/>
  <c r="P207" i="7"/>
  <c r="P206" i="7"/>
  <c r="H206" i="7"/>
  <c r="P205" i="7"/>
  <c r="H205" i="7"/>
  <c r="O204" i="7"/>
  <c r="P204" i="7"/>
  <c r="P203" i="7"/>
  <c r="P202" i="7"/>
  <c r="P201" i="7"/>
  <c r="P200" i="7"/>
  <c r="H200" i="7"/>
  <c r="P199" i="7"/>
  <c r="H199" i="7"/>
  <c r="P198" i="7"/>
  <c r="H198" i="7"/>
  <c r="P197" i="7"/>
  <c r="H197" i="7"/>
  <c r="P196" i="7"/>
  <c r="H196" i="7"/>
  <c r="P195" i="7"/>
  <c r="P194" i="7"/>
  <c r="P193" i="7"/>
  <c r="H193" i="7"/>
  <c r="P192" i="7"/>
  <c r="H192" i="7"/>
  <c r="P188" i="7"/>
  <c r="P184" i="7"/>
  <c r="O183" i="7"/>
  <c r="P183" i="7"/>
  <c r="O182" i="7"/>
  <c r="P182" i="7"/>
  <c r="O169" i="7"/>
  <c r="O168" i="7"/>
  <c r="P168" i="7"/>
  <c r="O166" i="7"/>
  <c r="P166" i="7"/>
  <c r="T157" i="7"/>
  <c r="P149" i="7"/>
  <c r="P148" i="7"/>
  <c r="H148" i="7"/>
  <c r="P147" i="7"/>
  <c r="H147" i="7"/>
  <c r="H146" i="7"/>
  <c r="H145" i="7"/>
  <c r="H144" i="7"/>
  <c r="H143" i="7"/>
  <c r="H141" i="7"/>
  <c r="P139" i="7"/>
  <c r="P138" i="7"/>
  <c r="H138" i="7"/>
  <c r="P137" i="7"/>
  <c r="H137" i="7"/>
  <c r="P136" i="7"/>
  <c r="H136" i="7"/>
  <c r="P135" i="7"/>
  <c r="H135" i="7"/>
  <c r="P134" i="7"/>
  <c r="P133" i="7"/>
  <c r="H133" i="7"/>
  <c r="P132" i="7"/>
  <c r="H132" i="7"/>
  <c r="P131" i="7"/>
  <c r="H131" i="7"/>
  <c r="P130" i="7"/>
  <c r="H130" i="7"/>
  <c r="P128" i="7"/>
  <c r="H128" i="7"/>
  <c r="P127" i="7"/>
  <c r="H127" i="7"/>
  <c r="P126" i="7"/>
  <c r="H126" i="7"/>
  <c r="P125" i="7"/>
  <c r="H125" i="7"/>
  <c r="P123" i="7"/>
  <c r="H123" i="7"/>
  <c r="P122" i="7"/>
  <c r="H122" i="7"/>
  <c r="P121" i="7"/>
  <c r="H121" i="7"/>
  <c r="P120" i="7"/>
  <c r="H120" i="7"/>
  <c r="P118" i="7"/>
  <c r="H118" i="7"/>
  <c r="P117" i="7"/>
  <c r="H117" i="7"/>
  <c r="P116" i="7"/>
  <c r="H116" i="7"/>
  <c r="P115" i="7"/>
  <c r="H115" i="7"/>
  <c r="P114" i="7"/>
  <c r="H114" i="7"/>
  <c r="P113" i="7"/>
  <c r="H113" i="7"/>
  <c r="P112" i="7"/>
  <c r="H112" i="7"/>
  <c r="P111" i="7"/>
  <c r="H111" i="7"/>
  <c r="P110" i="7"/>
  <c r="H110" i="7"/>
  <c r="P109" i="7"/>
  <c r="H109" i="7"/>
  <c r="P108" i="7"/>
  <c r="H108" i="7"/>
  <c r="P107" i="7"/>
  <c r="H107" i="7"/>
  <c r="P106" i="7"/>
  <c r="P105" i="7"/>
  <c r="H105" i="7"/>
  <c r="P104" i="7"/>
  <c r="H104" i="7"/>
  <c r="P103" i="7"/>
  <c r="H103" i="7"/>
  <c r="P102" i="7"/>
  <c r="H102" i="7"/>
  <c r="P101" i="7"/>
  <c r="H101" i="7"/>
  <c r="P100" i="7"/>
  <c r="H100" i="7"/>
  <c r="P99" i="7"/>
  <c r="H99" i="7"/>
  <c r="P98" i="7"/>
  <c r="H98" i="7"/>
  <c r="P97" i="7"/>
  <c r="H97" i="7"/>
  <c r="O96" i="7"/>
  <c r="T96" i="7"/>
  <c r="H96" i="7"/>
  <c r="H95" i="7"/>
  <c r="H94" i="7"/>
  <c r="O93" i="7"/>
  <c r="T93" i="7"/>
  <c r="H92" i="7"/>
  <c r="H85" i="7"/>
  <c r="H84" i="7"/>
  <c r="P83" i="7"/>
  <c r="H83" i="7"/>
  <c r="P82" i="7"/>
  <c r="H82" i="7"/>
  <c r="P81" i="7"/>
  <c r="P76" i="7"/>
  <c r="H76" i="7"/>
  <c r="P75" i="7"/>
  <c r="H75" i="7"/>
  <c r="P74" i="7"/>
  <c r="H74" i="7"/>
  <c r="P73" i="7"/>
  <c r="H73" i="7"/>
  <c r="P72" i="7"/>
  <c r="H72" i="7"/>
  <c r="P71" i="7"/>
  <c r="H71" i="7"/>
  <c r="H70" i="7"/>
  <c r="P69" i="7"/>
  <c r="H69" i="7"/>
  <c r="P68" i="7"/>
  <c r="H68" i="7"/>
  <c r="P67" i="7"/>
  <c r="H67" i="7"/>
  <c r="P66" i="7"/>
  <c r="H66" i="7"/>
  <c r="P65" i="7"/>
  <c r="H65" i="7"/>
  <c r="P64" i="7"/>
  <c r="H64" i="7"/>
  <c r="H63" i="7"/>
  <c r="P62" i="7"/>
  <c r="P61" i="7"/>
  <c r="H61" i="7"/>
  <c r="P60" i="7"/>
  <c r="H60" i="7"/>
  <c r="O44" i="7"/>
  <c r="P44" i="7"/>
  <c r="H42" i="7"/>
  <c r="O34" i="7"/>
  <c r="P34" i="7"/>
  <c r="O30" i="7"/>
  <c r="O38" i="7"/>
  <c r="P38" i="7"/>
  <c r="H27" i="7"/>
  <c r="H19" i="7"/>
  <c r="H17" i="7"/>
  <c r="H16" i="7"/>
  <c r="H14" i="7"/>
  <c r="O146" i="7"/>
  <c r="P146" i="7"/>
  <c r="H151" i="7"/>
  <c r="G104" i="8"/>
  <c r="O185" i="7"/>
  <c r="P185" i="7"/>
  <c r="P30" i="7"/>
  <c r="O162" i="7"/>
  <c r="P93" i="7"/>
  <c r="P96" i="7"/>
  <c r="O176" i="7"/>
  <c r="O160" i="7"/>
  <c r="P160" i="7"/>
  <c r="T146" i="7"/>
  <c r="O50" i="7"/>
  <c r="P50" i="7"/>
  <c r="O145" i="7"/>
  <c r="T145" i="7"/>
  <c r="O63" i="7"/>
  <c r="T63" i="7"/>
  <c r="O28" i="7"/>
  <c r="T28" i="7"/>
  <c r="O21" i="7"/>
  <c r="P21" i="7"/>
  <c r="O87" i="7"/>
  <c r="P87" i="7"/>
  <c r="O89" i="7"/>
  <c r="P89" i="7"/>
  <c r="O32" i="7"/>
  <c r="P32" i="7"/>
  <c r="O26" i="7"/>
  <c r="T26" i="7"/>
  <c r="O179" i="7"/>
  <c r="P179" i="7"/>
  <c r="O178" i="7"/>
  <c r="P178" i="7"/>
  <c r="O88" i="7"/>
  <c r="P88" i="7"/>
  <c r="O84" i="7"/>
  <c r="P84" i="7"/>
  <c r="O187" i="7"/>
  <c r="P187" i="7"/>
  <c r="O186" i="7"/>
  <c r="P186" i="7"/>
  <c r="O189" i="7"/>
  <c r="P189" i="7"/>
  <c r="O55" i="7"/>
  <c r="O57" i="7"/>
  <c r="P57" i="7"/>
  <c r="O51" i="7"/>
  <c r="T51" i="7"/>
  <c r="O41" i="7"/>
  <c r="P41" i="7"/>
  <c r="O157" i="7"/>
  <c r="P157" i="7"/>
  <c r="O159" i="7"/>
  <c r="O42" i="7"/>
  <c r="P42" i="7"/>
  <c r="O175" i="7"/>
  <c r="O16" i="7"/>
  <c r="P16" i="7"/>
  <c r="O91" i="7"/>
  <c r="P91" i="7"/>
  <c r="O23" i="7"/>
  <c r="T23" i="7"/>
  <c r="O25" i="7"/>
  <c r="O17" i="7"/>
  <c r="O142" i="7"/>
  <c r="O140" i="7"/>
  <c r="O80" i="7"/>
  <c r="O156" i="7"/>
  <c r="P156" i="7"/>
  <c r="O33" i="7"/>
  <c r="P33" i="7"/>
  <c r="O59" i="7"/>
  <c r="O15" i="7"/>
  <c r="O144" i="7"/>
  <c r="O29" i="7"/>
  <c r="P162" i="7"/>
  <c r="O163" i="7"/>
  <c r="O43" i="7"/>
  <c r="O52" i="7"/>
  <c r="O94" i="7"/>
  <c r="O70" i="7"/>
  <c r="O48" i="7"/>
  <c r="P48" i="7"/>
  <c r="T50" i="7"/>
  <c r="P145" i="7"/>
  <c r="P63" i="7"/>
  <c r="P28" i="7"/>
  <c r="O36" i="7"/>
  <c r="P36" i="7"/>
  <c r="O180" i="7"/>
  <c r="P180" i="7"/>
  <c r="O181" i="7"/>
  <c r="P181" i="7"/>
  <c r="O54" i="7"/>
  <c r="T54" i="7"/>
  <c r="O46" i="7"/>
  <c r="P46" i="7"/>
  <c r="O47" i="7"/>
  <c r="T47" i="7"/>
  <c r="P26" i="7"/>
  <c r="T84" i="7"/>
  <c r="O85" i="7"/>
  <c r="T85" i="7"/>
  <c r="P55" i="7"/>
  <c r="O45" i="7"/>
  <c r="P45" i="7"/>
  <c r="T42" i="7"/>
  <c r="O56" i="7"/>
  <c r="P56" i="7"/>
  <c r="T55" i="7"/>
  <c r="O49" i="7"/>
  <c r="P49" i="7"/>
  <c r="P51" i="7"/>
  <c r="P23" i="7"/>
  <c r="T15" i="7"/>
  <c r="F4" i="8"/>
  <c r="P15" i="7"/>
  <c r="O77" i="7"/>
  <c r="N170" i="7"/>
  <c r="T59" i="7"/>
  <c r="P59" i="7"/>
  <c r="T43" i="7"/>
  <c r="P43" i="7"/>
  <c r="T140" i="7"/>
  <c r="P140" i="7"/>
  <c r="T25" i="7"/>
  <c r="P25" i="7"/>
  <c r="T142" i="7"/>
  <c r="P142" i="7"/>
  <c r="O95" i="7"/>
  <c r="P94" i="7"/>
  <c r="T94" i="7"/>
  <c r="P29" i="7"/>
  <c r="O37" i="7"/>
  <c r="P37" i="7"/>
  <c r="O172" i="7"/>
  <c r="P172" i="7"/>
  <c r="O78" i="7"/>
  <c r="O170" i="7"/>
  <c r="P80" i="7"/>
  <c r="T144" i="7"/>
  <c r="P144" i="7"/>
  <c r="P17" i="7"/>
  <c r="T17" i="7"/>
  <c r="F5" i="8"/>
  <c r="O53" i="7"/>
  <c r="T52" i="7"/>
  <c r="P52" i="7"/>
  <c r="T70" i="7"/>
  <c r="P70" i="7"/>
  <c r="N176" i="7"/>
  <c r="P176" i="7"/>
  <c r="P54" i="7"/>
  <c r="P47" i="7"/>
  <c r="P85" i="7"/>
  <c r="N159" i="7"/>
  <c r="P159" i="7"/>
  <c r="T95" i="7"/>
  <c r="P95" i="7"/>
  <c r="T53" i="7"/>
  <c r="P53" i="7"/>
  <c r="T77" i="7"/>
  <c r="P77" i="7"/>
  <c r="P151" i="7"/>
  <c r="T78" i="7"/>
  <c r="P78" i="7"/>
  <c r="N163" i="7"/>
  <c r="P163" i="7"/>
  <c r="O39" i="7"/>
  <c r="P39" i="7"/>
  <c r="P170" i="7"/>
  <c r="N175" i="7"/>
  <c r="P175" i="7"/>
  <c r="N169" i="7"/>
  <c r="P169" i="7"/>
</calcChain>
</file>

<file path=xl/sharedStrings.xml><?xml version="1.0" encoding="utf-8"?>
<sst xmlns="http://schemas.openxmlformats.org/spreadsheetml/2006/main" count="2866" uniqueCount="1164">
  <si>
    <t>ADDA ARCHITECTS &amp; URBAN DESIGNERS</t>
  </si>
  <si>
    <t xml:space="preserve">1001, Western Vesu Point,Opp. S.N.S Squre,
University Road, </t>
  </si>
  <si>
    <t>Availble In LAR IN REPLACEMENT</t>
  </si>
  <si>
    <t>Vesu Cross Road,Surat, Gujarat 395007</t>
  </si>
  <si>
    <t>Availble In LAR rate matched</t>
  </si>
  <si>
    <t>MO. 0261-221 8063</t>
  </si>
  <si>
    <t>studio@addaarchitects.in</t>
  </si>
  <si>
    <t>CUSTOMER INFO</t>
  </si>
  <si>
    <t>PRAMUKH OFFICE , VESU</t>
  </si>
  <si>
    <t>QUOTE NO.</t>
  </si>
  <si>
    <t>Tel: +91</t>
  </si>
  <si>
    <t>DATE</t>
  </si>
  <si>
    <t xml:space="preserve">E-mail : </t>
  </si>
  <si>
    <t>VALID UNTIL</t>
  </si>
  <si>
    <t>SUBJECT :- OFFICE INTERIOR ESTIMATE</t>
  </si>
  <si>
    <t>NO.</t>
  </si>
  <si>
    <t>AREA / WORK</t>
  </si>
  <si>
    <t>DESCRIPTION</t>
  </si>
  <si>
    <t>MATERIAL</t>
  </si>
  <si>
    <t xml:space="preserve">QTY. </t>
  </si>
  <si>
    <t>UNIT</t>
  </si>
  <si>
    <t>RATE</t>
  </si>
  <si>
    <t>AMOUNT</t>
  </si>
  <si>
    <t>DSR VOL NO</t>
  </si>
  <si>
    <t>DSR CODE NO</t>
  </si>
  <si>
    <t>Description</t>
  </si>
  <si>
    <t>Unit</t>
  </si>
  <si>
    <t>Rate</t>
  </si>
  <si>
    <t>Quantity</t>
  </si>
  <si>
    <t>Remarks</t>
  </si>
  <si>
    <t>TENDER FOR INTERIOR WORD FILE REFERENCE (FILE-251-7)</t>
  </si>
  <si>
    <t>FALSE CEILING</t>
  </si>
  <si>
    <t>Providing &amp; fixing  Suspended false ceiling, which includes Gypsteel SERRA ™ CRP surface ribbed perimeter channels (having one flange of 20mm and another flange of 30mm and a web of 27mm) along the perimeter of ceiling, screw fixed to masonry wall/partition with the help of nylon sleeves and screws, at 610mm centres.  Then suspending Gypsteel SERRA™ CRP surface ribbed intermediate channels of size 45mm (with two flanges of 15mm each) from the soffit at 1220mm centres with Gypsteel SERRA™ CRP surface ribbed ceiling angle of width 25mmx10mm fixed to soffit with GI cleat and steel expansion fasteners(Mfg by Saint Gobain Gyproc). Then Gypsteel SERRA™ CRP surface ribbed Ceiling section of having web of 51.5mm and two flanges of 26mm each with lips of 10.5mm are then fixed to the Gypsteel SERRA™ intermediate channel with the help of connecting clip and in direction perpendicular to the Gypsteel intermediate™ channel at 457.5mm centres.  Single layer of 12.5mm tapered edge Gypboard® Plain (conforming to IS 2095 part 1 1996) is then screw fixed to ceiling section with 25mm drywall screws at 230mm centres. Above rates includes all materials required for finishing of groove such as jointing compound, fibre/paper tape &amp; dry wall screws, labor, tools, Tackles, Protection, machinery, Lead, lift, equipment etc.</t>
  </si>
  <si>
    <t>GYPSUM</t>
  </si>
  <si>
    <t>sq.ft.</t>
  </si>
  <si>
    <t>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 mm, at 1200 mm centre to centre, one flange fixed to the ceiling with dash fastener 12.5mm dia x 50 mm long with 6 mm dia bolts, other flange of cleat fixed to the angle hangers of 25x10x0.50 mm of required length with nuts &amp; bolts of required size and other end of angle hanger fixed with intermediate G.I. channels 45x15x0.9 mm running at the rate of 1200 mm centre to centre, to which the ceiling section 0.5 mm thick bottom wedge of 80 mm with tapered flanges of 26 mm each having lips of10.5 mm, at 450 mm centre to centre, shall be fixed in a direction perpendicular to G.I. intermediate channel with connecting clips made out of 2.64 mm dia x 230 mm long G.I. wire at every junction, including fixing perimeter channels 0.5 mm thick 27 mm high having flanges of 20mm and 30 mm long, the perimeter of ceiling fixed to wall/partition with the help of rawl plugs at 450 mm centre, with 25mm long dry wall screws @ 230 mm interval, including fixing of gypsum board to ceiling section and perimeter channel with the help of dry wall screws of size3.5 x 25 mm at 230 mm c/c, including jointing and finishing to a flush finish of tapered and square edges of the board with recommended jointing compound , jointing tapes , finishing with jointing compound in 3 layers covering upto 150 mm or both sides of joint and two coats of primer suitable for board, all as per manufacture's specification and also including the cost of making openings for light fittings, grills, diffusers, cutouts made with frame of perimeter channels suitably fixed, all complete as per drawings, specification  but excluding the cost of painting with :</t>
  </si>
  <si>
    <t>Vol 1</t>
  </si>
  <si>
    <t>12.45.1</t>
  </si>
  <si>
    <t>12.5 mm thick tapered edge gypsum plain board
conforming to IS: 2095- (Part I) :2011 (Board with BIS
certification marks)</t>
  </si>
  <si>
    <t>Sq mt</t>
  </si>
  <si>
    <t>Ground / 1st Floor &amp; 2nd Floor all area considered except passage</t>
  </si>
  <si>
    <t>Sr. no 5.1 a, 12.45.1 page 454 NOIDA</t>
  </si>
  <si>
    <t>CP 203 Sr no. 12.45.1</t>
  </si>
  <si>
    <t>Corner Groove</t>
  </si>
  <si>
    <t>Providing &amp; making of groove between false ceiling &amp; wall by using 9 x 10 x 28 x 0.5 mm Shadow line bead (Saint gobain make of eq. Make). Above rates includes all materials required for finishing of groove such as jointing compound, fibre/paper tape &amp; dry wall screws, labor, tools, Tackles, Protection, machinery, Lead, lift, equipment etc.</t>
  </si>
  <si>
    <t>r.ft.</t>
  </si>
  <si>
    <t>NS Item</t>
  </si>
  <si>
    <t>R mt</t>
  </si>
  <si>
    <t xml:space="preserve">Reception Area Wall Groove </t>
  </si>
  <si>
    <t>WALL PUNNING</t>
  </si>
  <si>
    <t>Providing &amp; Applying Plaster of Paris Punning up to average thickness of 12 mm thk. on existing walls to proper level &amp; plumb, including Groove Complete as per site conditions &amp; directions of the Architect.</t>
  </si>
  <si>
    <t>P.O.P</t>
  </si>
  <si>
    <t>Providing and applying 12 mm thick (average) premixed formulated one coat gypsum lightweight plaster having additives and light weight aggregates as vermiculite/ perlite respectively conforming to IS: 2547 (Part - 1 &amp; II) 1976, applied on hacked / uneven background such as bare brick/ block/ RCC work on walls &amp; ceiling at all floors and locations, finished in smooth line and level etc. complete.</t>
  </si>
  <si>
    <t>Staircase Area Not Considered</t>
  </si>
  <si>
    <t>PANTRY</t>
  </si>
  <si>
    <t>QUARTZ STONE</t>
  </si>
  <si>
    <t>Providing and fixing 18 mm thick gang saw cut, mirror polished, premoulded and prepolihsed, machine cut for kitchen platforms, vanity counters, window sills, facias and similar locations of required size, approved shade, colour and texture laid over 20 mm thick base cement mortar 1:4 (a cement: 4 coarse sand), joints treated with white cement, mixed with matching pigment, epoxy touch ups, including rubbing, curing, moulding and polishing to edges to give high gloss finish etc. complete at all level</t>
  </si>
  <si>
    <t>8.2.1</t>
  </si>
  <si>
    <t>Raj Nagar Plain white marble/ Udaipur green marble/ Zebra black marble</t>
  </si>
  <si>
    <t>8.2.1.2</t>
  </si>
  <si>
    <t>Area of slab over 0.50 sqm</t>
  </si>
  <si>
    <t>Pantry &amp; Kitchen Platform Considered</t>
  </si>
  <si>
    <t>8.2.2</t>
  </si>
  <si>
    <t>Granite stone slab of colour black, Cherry/Ruby red</t>
  </si>
  <si>
    <t>8.2.2.2</t>
  </si>
  <si>
    <t>Pantry &amp; Kitchen Platform &amp; Main Entry Steps &amp; Toilet Basin Counter  Considered</t>
  </si>
  <si>
    <t>3.4 b 8.2.2.2 page no. 448 NOIDA</t>
  </si>
  <si>
    <t>CP 212 3.4 b 8.2.2.2</t>
  </si>
  <si>
    <t>Providing edge moulding to 18 mm thick marble stone counters, Vanities etc., including machine polishing to edge to give high gloss finish etc. complete as per design approved by Engineer-in-Charge.</t>
  </si>
  <si>
    <t>8.3.2</t>
  </si>
  <si>
    <t xml:space="preserve">Granite work </t>
  </si>
  <si>
    <t>metre</t>
  </si>
  <si>
    <t>Pantry &amp; Kitchen Platform &amp; Main Entry Steps &amp; Toilet Basin Counter  Skirting Considered</t>
  </si>
  <si>
    <t>Sr. No. 33 page 4 ADI</t>
  </si>
  <si>
    <t>CP 48 Sr. No. 33</t>
  </si>
  <si>
    <t>Extra for providing opening of required size &amp; shape for wash basin/ kitchen sink in kitchen platform, vanity counter and similar location in marble/ Granite/ stone work, including necessary holes for pillar taps etc. including moulding, rubbing and polishing of cut edges etc. complete.</t>
  </si>
  <si>
    <t xml:space="preserve">each </t>
  </si>
  <si>
    <t>Pantry &amp; Kitchen Platform &amp; Toilet Basin Considered</t>
  </si>
  <si>
    <t>Sr. No. 34 page 4 ADI</t>
  </si>
  <si>
    <t>CP 48 Sr. No. 34</t>
  </si>
  <si>
    <t>STAFF FIELD AREA TOILET</t>
  </si>
  <si>
    <t>"Providing  and  fixing  Vitrified  Tiles   of  600mm  x 1200mm x 10mm  thick floor tiles of approved make of all finish, colour, and laid in any pattern as approved, Tile shall have water absorption less than 0.08%  and conforming  to  IS  :  15622,  tiles  shall  be  fixed  on   PCC  bedding   of   required thickness with adhesive -  chemical of kerakoll/Laticrate  adjusting  as per  finished floor   level,   including  surface  preparation,   giving   necessary  slopes,  2-3  mm spacers shall be provided  to  make  grouting  space  and  filling with approved coloured epoxy grout of  'Karakol' or 'Laticrete' make as approved, Rate shall be inclusive  of  all  material,  Labour,  cutting  in  any  shape,  loading/unloading, shifting/handling,  any/all  lead/lift,  tools,  machinery,  plants,  supply  &amp;  fixing  of appropriate floor protection covering sheet &amp; removal of the same when asked, cutting for Elect. / computer junction boxes, cleaning of tiles after completion of work   etc.   complete   as   per   specifications   &amp;   directed   by   Architect   /
Engineer-In-Charge."</t>
  </si>
  <si>
    <t>2' X 4' TILE</t>
  </si>
  <si>
    <t>11.41A</t>
  </si>
  <si>
    <t>Providing and laying Vitrified tiles in floor in different sizes (thickness to be specified by the manufacturer) with water absorption less than 0.08% and conforming to IS:15622, of approved brand &amp; manufacturer, in all colours and shade, laid on 20 mm thick cement mortar 1:4 (1 cement: 4 coarse sand) jointing with grey cement slurry @3.3 kg/sqm including grouting the joints with white cement and matching pigments etc. The tiles must be cut with the zero chipping diamond cutter only . Laying of tiles will be done with the notch trowel, plier, wedge, clips of required thickness, leveling system and rubber mallet for placing the tiles gently and easily.</t>
  </si>
  <si>
    <t>11.41A.2.1</t>
  </si>
  <si>
    <t>Size of Tile 600 x 600 mm</t>
  </si>
  <si>
    <t>Sqm</t>
  </si>
  <si>
    <t>CP 210 Sr. No. 3.2 a</t>
  </si>
  <si>
    <t>11.41A.2.2</t>
  </si>
  <si>
    <t>Size of Tile 600 x 1200 mm</t>
  </si>
  <si>
    <t>NS ITEM</t>
  </si>
  <si>
    <t>1200 x 200 mm  AS per Dwg. (CPM OFFICE)</t>
  </si>
  <si>
    <t>11.46.2</t>
  </si>
  <si>
    <t>Main Entry</t>
  </si>
  <si>
    <t>All Wall Skirting Considered</t>
  </si>
  <si>
    <t>Size of Tile 1200 x 200 mm</t>
  </si>
  <si>
    <t>Grouting the joints of flooring tiles having joints of 3 mm width, using epoxy grout mix of 0.70 kg of organic coated filler of desired shade (0.10 kg of hardener and 0.20 kg of resin per kg), including filling / grouting and finishing complete as per direction of Engineer-in-charge.</t>
  </si>
  <si>
    <t>11.48.2</t>
  </si>
  <si>
    <t>Deduct for not grouting the joints with white cement and matching pigment in the items of fixing of vitrified tiles.</t>
  </si>
  <si>
    <t>Providing and fixing Ist quality Vitrified wall tiles conforming to IS: 15622 (thickness to be specified by the manufacturer), of approved make, in all colours, shades except burgundy, bottle green, black of any size as approved by Engineer-in-Charge, in skirting, risers of steps and dados, over 12 mm thick bed of cement mortar 1:3 (1 cement : 3 coarse sand) and jointing with grey cement slurry @ 3.3kg per sqm, including pointing in white cement mixed with pigment of matching shade complete.</t>
  </si>
  <si>
    <t>Lift Wall Dado ,Toilet Wall Dado</t>
  </si>
  <si>
    <t>BASIN , W.C &amp; URINAL WITH PLUMBING &amp; WATERPROOFING</t>
  </si>
  <si>
    <t>nos.</t>
  </si>
  <si>
    <t>Providing and fixing fixing white vitreous china extended wall mounting water closet of size 780x370x690 mm of approved shape including providing &amp; fixing white vitreous china cistern with dual flush fitting, of flushing capacity 3 litre/6 litre (adjustable to 4 litre/8 litres), including seat cover, and cistern fittings, nuts, bolts and gasket etc complete.</t>
  </si>
  <si>
    <t>Each</t>
  </si>
  <si>
    <t>All Floor Toilet Considered</t>
  </si>
  <si>
    <t>Sr. no 17.78 pg 463 Noida</t>
  </si>
  <si>
    <t>CP 194 Sr. no 17.78</t>
  </si>
  <si>
    <t>Providing and fixing fixing white vitreous china battery based infrared sensor operated urinal of approx. size 610x390x370 mm having pre &amp; post flushing with water (250 ml &amp; 500  ml consumption), consumption), having water inlet from back side, including fixing to wall with suitable brackets all as per manufacturers specification and direction of Engineer-in-charge</t>
  </si>
  <si>
    <t>Sr. no 17.80 pg 463 Noida</t>
  </si>
  <si>
    <t xml:space="preserve">CP 194 Sr. no 17.80 </t>
  </si>
  <si>
    <t>Supplying, Installation, Testing and Commissioning urinal partition of size 90x320x720 mm deep. Including cutting and making good the wall wherever required.</t>
  </si>
  <si>
    <t>Gents Toilet Considered</t>
  </si>
  <si>
    <t>Supplying, Installation, Testing and Commissioning of Single piece slim concealed cistern body with installation kit &amp; "P-type" drain pipe connection set for wall hung wc , nuts, bolts and gasket etc. complete including cutting and making good the wall wherever required.</t>
  </si>
  <si>
    <t>Supplying, Installation, Testing and Commissioning of Control plate for concealed cistern including cutting and making good the wall wherever required.</t>
  </si>
  <si>
    <t>Providing and fixing C.P. brass health faucet with 8mm dia 1m long PVC tube and wall hook complete in all respects. All complete as directed by Engineer-in-charge.</t>
  </si>
  <si>
    <t>Sr. no 8.4 NS pg 478 Noida</t>
  </si>
  <si>
    <t>CP 179 Sr. no 8.4 NS</t>
  </si>
  <si>
    <t>Supplying, Installation, Testing and Commissioning of  Wall mounted Single concealed Stop cock with operative lever, Basin Spout &amp; wall flenge etc. complete including cutting and making good the wall wherever required</t>
  </si>
  <si>
    <t>Supplying, Installation, Testing and Commissioning of Regular Body of Single Concealed Stop Cock (Composite One Piece Body) with Cartridge, but without Exposed Parts complete including cutting and making good the wall wherever required</t>
  </si>
  <si>
    <t>Supply &amp; Fixing of Ladena basin (Kohler2215IN-2-0 or equivalent) Including ofrequired plumbing Accessories andConsumable Item complete as directed byarchitect or engineer in charge.</t>
  </si>
  <si>
    <t>CP 34 Sr. No. 11</t>
  </si>
  <si>
    <t>Providing and fixing white color vitreous China Under Counter, rectangular wash basin with R. S. or CI bracket and 32 mm dia outlet, with 32 mm dia C.P. bottle trap with brass C.P. wall cap and extension pieces, 15 mm dia C.P. brass angle stop cock with 10mm dia C.P. brass connection pipe etc. CP brass chain, CP wall flange, rubber adopter for waste connection complete, CP brass chain CP waste and CP pipe to wall with CP wall flange and rubber adopter for waste connection complete, with pedestal of matching model below wash basin, including cutting and making good the walls wherever required.</t>
  </si>
  <si>
    <t>Sr. No. 8.1 NS page 477 NOIDA</t>
  </si>
  <si>
    <t>CP 180 Sr. No. 8.1 NS</t>
  </si>
  <si>
    <t>Providing and fixing CP Bottle Trap[ for basin, sink and urinal</t>
  </si>
  <si>
    <t>Sr. No. 8.2 NS page 477 NOIDA</t>
  </si>
  <si>
    <t>CP 180 Sr. No. 8.2 NS</t>
  </si>
  <si>
    <t>Providing and fixing of Regulating Angle valve with Comfort handle, with extended push rod, push rosette Dia 54 mm ; Material - Brass DIN EN/Noise Class I; Connection: 1/2"/DN 15, Outlet 1/2"/DN 15; Chrome/Weight 0.130 KG per piece</t>
  </si>
  <si>
    <t>Sr. No. 8.3 NS page 478 NOIDA</t>
  </si>
  <si>
    <t>CP 179 Sr. No. 8.3 NS</t>
  </si>
  <si>
    <t>Providing, Fixing testing and comimissioning of 15mm dia C.P. brass 2 way bib cock with C.P. wall flange of approved quality and making good.</t>
  </si>
  <si>
    <t>Sr. No. 8.5 NS page 478 NOIDA</t>
  </si>
  <si>
    <t>CP 179 Sr. No. 8.5 NS</t>
  </si>
  <si>
    <t>Providing and fixing Single Lever Hi-flowDiverter shower system with Jaquar make orequivalent ( FUS-29079NK Single LeverExposed Parts Kit of Hi-flow DiverterConsisting of Operating Lever, CartridgeSleeve, Wall Flange (with Seals), ButtonAssembly Sleeve &amp; Button, ALD-079NConcealed Body for Single Lever High FlowDiverter with Button Assembly, PJ-37429Bathtub Spout with Wall Flange, SHA-475L280 Shower Arm Ø20mm &amp; 280mmLong Round Shape for Ceiling MountedShowers with Flange, OHS-1799 OverheadShower Ø120mm Round Shape Multi Flow(ABS Body Chrome Plated with Gray FacePlate) with Rubit Cleaning System ) Asdirected by Engineer in charge.</t>
  </si>
  <si>
    <t>CP 33 Sr. No. 20</t>
  </si>
  <si>
    <t>Supplying, Installation, Testing and Commissioning of Single Lever Exposed Parts Kit of Hi-flow Diverter Consisting of Operating Lever, Cartridge Sleeve, Wall Flange (with Seals), Button Assembly Sleeve &amp; Button including cutting and making good the wall wherever required</t>
  </si>
  <si>
    <t>Supplying, Installation, Testing and Commissioning of Concealed Body for Single Lever High Flow Diverter with Button Assembly, But without Exposed Parts  including cutting and making good the wall wherever required</t>
  </si>
  <si>
    <t>Supplying, Installation, Testing and Commissioning of Bath Spout with Wall Flange including cutting and making good the wall wherever required</t>
  </si>
  <si>
    <t xml:space="preserve">Providing and laying integral cement based water proofing treatment including preparation of surface as required for treatment of roofs, balconies, terraces etc consisting of following operation a) Applying a slurry coat of neat cement using 2.75 kg/sqm of cement admixed with water proofing compound conforming to IS. 2645 and approved by Engineer-in-charge over the RCC slab including adjoining walls upto 300 mm height including cleaning the surface before treatment.
b) Laying brick bats with mortar using broken bricks/brick bats 25 mm to 115 mm size with 50% of cement mortar 1:5 (1 cement : 5 coarse sand) admixed with water proofing compound conforming to IS : 2645 and approved by Engineer- in-charge over 20 mm thick layer of cement mortar of mix 1:5 (1 cement :5 coarse sand ) admixed with water proofing compound conforming to IS : 2645 and approved by Engineer- in-charge to required slope and treating similarly the adjoining walls upto 300 mm height including rounding of junctions of walls and slabs.
c) After two days of proper curing applying a second coat of cement slurry using 2.75 kg/ sqm of cement admixed with water proofing compound conforming to IS : 2645 and approved by Engineer-in-charge.
d) Finishing the surface with 20 mm thick jointless cement mortar of mix 1:4 (1 cement :4 coarse sand) admixed with water proofing compound conforming to IS : 2645 and approved by Engineer-in-charge including laying glass fibre cloth of approved quality in top layer of plaster and finally finishing the surface with trowel with neat cement slurry and making pattern of 300x300 mm square 3 mm deep.
e) The whole terrace so finished shall be flooded with water for a minimum period of two weeks for curing and for final test.“All above operations to be done in order and as directed and specified by the Engineer-in-Charge :
</t>
  </si>
  <si>
    <t>22.7.1</t>
  </si>
  <si>
    <t>With average thickness of 120 mm and minimum thickness at khurra as 65 mm.</t>
  </si>
  <si>
    <t>All Floor Toilet - Water Proofing Considered</t>
  </si>
  <si>
    <t>CP 46 Sr. No. 37</t>
  </si>
  <si>
    <t>REFRESHMENT AREA TOILET</t>
  </si>
  <si>
    <t>HEAD TOILET</t>
  </si>
  <si>
    <t>ACOUSTIC SOLUTIONS</t>
  </si>
  <si>
    <t>GLASS DOOR</t>
  </si>
  <si>
    <t>Providing and fixing frameless fully glazed 12mm thk toughened float glass fixed withnecessary patch fittings (Dorma make) including cutting, making holes, cutouts in the glass of required shape and size to accommodate fittings and fixing the fittings in floors, soffits, jams including necessary fixtures, screws, sealant wherever required andSS cover over patch fittings. Rate shall include necessary etching film / LOGO, approved patch fitting locking systems, 1 pair of 600mmlong S. S. (H Shape) Handles of approved make, floor springs, and any necessary hardware items.( DORMA MAKE Top Pivot -PT 24, Top Patch Fittings - PT 20, Bottom Patch fittings - PT 10, Floor Spring - BTS 75 V, Corner lock with strike plate and Euro ProfileCylinder - US 10, Handle - TG DIH600 - 32mm dia X 600mm length) etc.</t>
  </si>
  <si>
    <t xml:space="preserve">Glass Door: Providing &amp; installing 100x25mm aluminium anodised door frame with Single framed glazed Stile Door 60mm system with 60x35mm system on verticals &amp; top of the door &amp; 80x35 on the bottom of the door with 12mm thick tempered glass shutter, 3 side beading system aluminium horizontal member 25x100mm and vertical member 25x100mm with rebate/door jamb, seal 3/B or G acoustic door seal. The rate shall be inclusive of Lever handle with Narrow Stile rose &amp; escutcheons, Narrow Stile Sash Lock with 35mm Backseat+ Strike Plate, Exposed door closer TS 3000V with hold open. All as per approved design &amp; Drawing. including concealed wooden framework &amp; 12 mm thick painted MDF strip required to fix the section with 8 nos, 75mm long dash fastener as per detail drawing. All aluminium sections to be pre-anodised.  </t>
  </si>
  <si>
    <t>Sr. No 3.6 NS page 467 Noida</t>
  </si>
  <si>
    <t>CP 190 Sr. No 3.6 NS</t>
  </si>
  <si>
    <t>STAFF FIELD AREA ( 3'-0" X 8'-6" )</t>
  </si>
  <si>
    <t>GLASS</t>
  </si>
  <si>
    <t>CONFERENCE ROOM ( 3'-0" X 8'-6" )</t>
  </si>
  <si>
    <t>ACCOUNT CABIN-1 ( 3'-0" X 8'-6" )</t>
  </si>
  <si>
    <t>ACCOUNT CABIN-2 ( 3'-0" X 8'-6" )</t>
  </si>
  <si>
    <t>ACCOUNT CABIN-3 ( 3'-0" X 8'-6" )</t>
  </si>
  <si>
    <t>ACCOUNT CABIN-4 ( 3'-0" X 8'-6" )</t>
  </si>
  <si>
    <t xml:space="preserve">GLASS PARTITION </t>
  </si>
  <si>
    <t>Providing and erecting in position full height fully glazed partiton in Silver Annodized natural Aluminium Modular Glass Partition using standard track section of size 54 mm X 25 mm profile of Kubik- Kwentha 54 series, Dorma - Alexa Series or equivalent approved at top, bottom and sides as per manufacturer's standards and specifications and as directed by the Architect to comply with the standard partition suite design including door in single glazed 10mm thk clear toughened glass to be fixed in the centre of the track section, single door frame size to allow the glazed door of same size, shape, profile as partition &amp;/or upto 35mm thk door of any type i.e. solid flush door or glazed door as per directions and upto any desired height, with sound insulation capacity of minimum of 32 dB including Glass to glass I, T, L joint and connectors, standard assessories as per manufacturers recommendations &amp; standards, gaskets etc complete. The Clear toughened glass shall be of Saint Gobain / Asahi or equivalent make as approved.</t>
  </si>
  <si>
    <t>Providing &amp; Fixing in position framed Glass partitions (JEB PARTITIONS) upto the hight of 2.4 meters with 10mm thick toughened clear glass held in position with M 65 Profiles &amp; slimline aluminium profiles by JEB or DORMA including All mid profiles &amp; side profiles.</t>
  </si>
  <si>
    <t>Sr. No 3.7 NS page 468 Noida</t>
  </si>
  <si>
    <t>CP 189 Sr. No 3.7 NS</t>
  </si>
  <si>
    <t>STAFF FIELD AREA ( 8'-3" X 8'-6" )</t>
  </si>
  <si>
    <t>FRAME + GLASS</t>
  </si>
  <si>
    <t>CONFERENCE ROOM ( 17'-6" X 8'-6" )</t>
  </si>
  <si>
    <t>ACCOUNT CABIN-1 ( 8'-6" X 8'-6" )</t>
  </si>
  <si>
    <t>ACCOUNT CABIN-2 ( 8'-6" X 8'-6" )</t>
  </si>
  <si>
    <t>ACCOUNT CABIN-3 ( 8'-6" X 8'-6" )</t>
  </si>
  <si>
    <t>ACCOUNT CABIN-4 ( 5'-3" X 8'-6" )</t>
  </si>
  <si>
    <t>Kg</t>
  </si>
  <si>
    <t>Partition above the glass partition (MS pipe weight 1.81 KG / Mtr.) (Available in LAR)</t>
  </si>
  <si>
    <t>Sr. No. 3 Schedule B page 8 ADI</t>
  </si>
  <si>
    <t>CP 37 Sr. No. 3</t>
  </si>
  <si>
    <t>Providing and fixing frame work for partitions/ wall lining/ paneling etc. made of 50x25x1.6 mm hollow MS tube, placed along the walls, ceiling and floor in a grid pattern with spacing @ 60 cm centre to centre both ways (vertically &amp; horizontally) or at required spacing near opening, with necessary welding at junctions and fixing the frame to wall/ ceiling/ floors with steel dash fasteners of 8 mm dia, 75 mm long bolt, including making provision for opening for doors, windows, electrical conduits, switch boards etc., including providing with two coats of approved steel primer etc. complete</t>
  </si>
  <si>
    <t>Partition Infill (Available in LAR)</t>
  </si>
  <si>
    <t>Sr. No 4.10,  3.14 page 453 Noida</t>
  </si>
  <si>
    <t>CP 204 Sr. No 4.10,  3.14</t>
  </si>
  <si>
    <t>Providing &amp; fixing of Infill - Layers of Fiber glass wool insulation - 1000gms/m2 As an acoustic requirement. Contractor to affix 50mm thick 1 layers of Fiber glass wool insulation of density
1000gms/m2, of wrapped in GI chicken mesh on both sides Cladding</t>
  </si>
  <si>
    <t>9.1.56</t>
  </si>
  <si>
    <t>Providing and fixing Pre -laminated medium density fibre board exterior grade (Grade-I) IS:14587:1998 marked, to frame, backing or studding with screws etc. complete ( Frames, backing or studding to be paid separately).</t>
  </si>
  <si>
    <t>9.156.1</t>
  </si>
  <si>
    <t>Pre-laminated with decorative lamination on both side exterior
Grade - I MDF Board 12 mm thick confirming to IS:14587</t>
  </si>
  <si>
    <t>Sq Mt</t>
  </si>
  <si>
    <t>LAMINATE PARTITION (PLYWOOD FIXING &amp; ALUMINIUM FRAMING CONSIDERED SEPARATE ITEM)</t>
  </si>
  <si>
    <t>CUSTOMISED FURNITURE</t>
  </si>
  <si>
    <t>PARTITION</t>
  </si>
  <si>
    <t>PARTITION WITH ( ALU.FRAMING+ROCKWOOL+GYPSUM)</t>
  </si>
  <si>
    <t>GYPSUM FINISH</t>
  </si>
  <si>
    <t>DUMMY BEAM ON GLASS PARTITION</t>
  </si>
  <si>
    <t>PLY</t>
  </si>
  <si>
    <t>SOLID DOOR</t>
  </si>
  <si>
    <t>STAIRCASE DOOR ( 2'-6" X 8'-6" ) X 2 NOS.</t>
  </si>
  <si>
    <t>LAMINATE FINISH</t>
  </si>
  <si>
    <t>9.20.1</t>
  </si>
  <si>
    <t>Providing and fixing ISI marked flush door shutters conforming to IS : 2202 (Part I) decorative type, core of block board construction with frame of 1st class hard wood and well matched teak 3 ply veneering with vertical grains or cross bands and face veneers on both faces of shutters</t>
  </si>
  <si>
    <t>GF - 12=3 Nos. , FF - 8 Nos. &amp; SF - 13 Nos. (Available in LAR)</t>
  </si>
  <si>
    <t>Sr. No 6.2 a,  9.20.2  page 457 Noida</t>
  </si>
  <si>
    <t xml:space="preserve">CP 200 Sr. No 6.2 a,  9.20.2 </t>
  </si>
  <si>
    <t>MAIN ENTRY_SLIDING DOOR ( 3'-6" X 8'-6" )</t>
  </si>
  <si>
    <t>Extra for providing lipping with 2nd class teak wood battens 25 mm minimum depth on all edges of flush door shutters (over all area of door shutter to be measured)</t>
  </si>
  <si>
    <t>Sr. No 6.3,  9.23  page 457 Noida</t>
  </si>
  <si>
    <t>CP 200 Sr. No 6.3,  9.23</t>
  </si>
  <si>
    <t>Extra for providing vision panel not exceeding 0.1 sqm in all type of flush
doors (cost of glass excluded) (overall area of door shutter to be
measured):</t>
  </si>
  <si>
    <t>9.24.1</t>
  </si>
  <si>
    <t>Rectangular or square</t>
  </si>
  <si>
    <t>1.5*0.3 Vision Panel Considered</t>
  </si>
  <si>
    <t>9.24.2</t>
  </si>
  <si>
    <t>Circular</t>
  </si>
  <si>
    <t>0.3 Dia Considered for ele door &amp; Toilet Outside Door</t>
  </si>
  <si>
    <t>Extra for cutting rebate in   door shutters (Total area of the shutterto be measured).</t>
  </si>
  <si>
    <t>Providing and fixing bright finished brass butt hinges with necessary screws etc. complete :</t>
  </si>
  <si>
    <t>9.72.2</t>
  </si>
  <si>
    <t>125x70x4 mm (ordinary type)</t>
  </si>
  <si>
    <t>each</t>
  </si>
  <si>
    <t>Wooden Flush Door - Each 4 Pc. Considered</t>
  </si>
  <si>
    <t>STAFF FIELD AREA TOILET DOOR ( 2'-6" X 8'-6" )</t>
  </si>
  <si>
    <t>Providing and fixing bright finished brass tower bolts (barrel type) with necessary screws etc. complete :</t>
  </si>
  <si>
    <t>9.74.1</t>
  </si>
  <si>
    <t>250x10 mm</t>
  </si>
  <si>
    <t xml:space="preserve">Double Door Considered </t>
  </si>
  <si>
    <t>Wooden Flush Door - Considered</t>
  </si>
  <si>
    <t>6.6, 9.88 pg 457 Noida</t>
  </si>
  <si>
    <t>CP 200 Sr. No 6.6, 9.88</t>
  </si>
  <si>
    <t>REFRESHMENT TOILET ENTRY  ( 2'-6" X 8'-6" )</t>
  </si>
  <si>
    <t xml:space="preserve">Providing and fixing aluminium extruded section body tubular type universal hydraulic door closer (having brand logo with ISI, IS : 3564, embossed on the body, door weight upto 36 kg to 80 kg and door width from 701 mm to 1000 mm), with double speed adjustment with necessary accessories and screws etc. complete. </t>
  </si>
  <si>
    <t>Sr. No. 43 page 6 ADI</t>
  </si>
  <si>
    <t>CP 42 Sr. No. 43</t>
  </si>
  <si>
    <t>REFRESHMENT PANTRY ENTRY  ( 3'-6" X 8'-6" )</t>
  </si>
  <si>
    <t>Providing and fixing stainless steel handle H-Type Stainless Steel Pull Handles complete with all necessary screws, gaskets, washers and other accessories of size 19mm x 305mm.</t>
  </si>
  <si>
    <t>Set</t>
  </si>
  <si>
    <t>Glass Door - Considered</t>
  </si>
  <si>
    <t>3.4 NS pg 467 Noida</t>
  </si>
  <si>
    <t>CP 190 Sr. No 3.4 NS</t>
  </si>
  <si>
    <t>PANELLING</t>
  </si>
  <si>
    <t>MAIN HEAD CABIN - DESK BACKDROP WALL</t>
  </si>
  <si>
    <t>MDF+PU FINISH</t>
  </si>
  <si>
    <t>Providing and fixing wall panneling, comprising 12 mm thick plywood confirming to IS 710 finished with 1 mm aproved laminate, including 25 mm thk resin bonded glass wool (48 kg/m3 density) packed in to Polythene bags in cavity held on 28Gx12, GI wire netting fixed on both side, fixed with frame of 50x50X1.5 mm mm Aluminium, placed along the walls, ceiling and floor in a grid pattern with spacing maximum @ 60 cm centre to centre both ways (vertically &amp; horizontally) or at required spacing near opening, with fixing the frame to wall/ceiling/ floors with dash fasteners of 8 mm dia, 75 mm long bol,including all as per drawings, and as per direction of engineer-in-charge.</t>
  </si>
  <si>
    <t>RECEPTION AREA</t>
  </si>
  <si>
    <t>RECEPTION TABLE ( 9'-0" X 3'-0" )</t>
  </si>
  <si>
    <t>As per Manufacturer specification</t>
  </si>
  <si>
    <t>PLATFORM STORAGE</t>
  </si>
  <si>
    <t>GLASS + PROFILE</t>
  </si>
  <si>
    <t>OVERHEAD STORAGE</t>
  </si>
  <si>
    <t>STAFF FIELD AREA</t>
  </si>
  <si>
    <t>FILE STORAGE</t>
  </si>
  <si>
    <t>CONFERENCE ROOM</t>
  </si>
  <si>
    <t>TALL UNIT</t>
  </si>
  <si>
    <t>CONFERENCE TABLE</t>
  </si>
  <si>
    <t>CORIAN + LAMINATE</t>
  </si>
  <si>
    <t>MAIN HEAD CABIN</t>
  </si>
  <si>
    <t>HEAD TABLE ( 8'-6" X 3'-0" )</t>
  </si>
  <si>
    <t>CREDENZA</t>
  </si>
  <si>
    <t>MODULAR FURNITURE</t>
  </si>
  <si>
    <t>WORKING DESK ( 4'-0" X 2'-0" )</t>
  </si>
  <si>
    <t>LAMINATE + METAL</t>
  </si>
  <si>
    <t>DISCUSSION DESK ( 8'-0" X 2'-6" )</t>
  </si>
  <si>
    <t xml:space="preserve">                                      ( 3'-6" DIA )</t>
  </si>
  <si>
    <t>( 3'-6" DIA )</t>
  </si>
  <si>
    <t>ACCOUNT CABIN-1</t>
  </si>
  <si>
    <t>TABLE ( 6'-0" X 2'-3" )</t>
  </si>
  <si>
    <t>BACK CREDENZA ( 6' X 1'-6" X 2'-6" )</t>
  </si>
  <si>
    <t>ACCOUNT CABIN-2</t>
  </si>
  <si>
    <t>ACCOUNT CABIN-3</t>
  </si>
  <si>
    <t>ACCOUNT CABIN-4</t>
  </si>
  <si>
    <t>REFRESHMENT AREA</t>
  </si>
  <si>
    <t>TABLE ( 7'-6" X 3'-0" )</t>
  </si>
  <si>
    <t>READYMADE FURNITURE</t>
  </si>
  <si>
    <t>CENTER TABLE</t>
  </si>
  <si>
    <t>SIDE TABLE</t>
  </si>
  <si>
    <t>CONSOLE</t>
  </si>
  <si>
    <t>OFFICE CHAIRS</t>
  </si>
  <si>
    <t>EXECUTIVE CHAIR</t>
  </si>
  <si>
    <t>VISITOR'S CHAIR</t>
  </si>
  <si>
    <t>HEAD CHAIR</t>
  </si>
  <si>
    <t>VISITOR'S CHAIR ( HEAD CABIN )</t>
  </si>
  <si>
    <t>SOFA &amp; LOUNGERS</t>
  </si>
  <si>
    <t>WAITING_3 SEATER SOFA ( 7'-6" X 2'-9" ) X 2 NOS.</t>
  </si>
  <si>
    <t>FABRIC</t>
  </si>
  <si>
    <t>SINGLE SEATER SOFA ( 3' X 2'-9" ) X 2 NOS.</t>
  </si>
  <si>
    <t>3 SEATER SOFA ( 8'-0" X 2'-9" )</t>
  </si>
  <si>
    <t>LOUNGER CHAIR</t>
  </si>
  <si>
    <t>DESIGNER LIGHTS</t>
  </si>
  <si>
    <t>HANGING LIGHT</t>
  </si>
  <si>
    <t>As per Selection</t>
  </si>
  <si>
    <t>HANGING LIGHT FOR DISCUSSION DESK</t>
  </si>
  <si>
    <t>HANGING LIGHT FOR DESK</t>
  </si>
  <si>
    <t>HANGING LIGHT FOR SEATING</t>
  </si>
  <si>
    <t>COLOR WORK</t>
  </si>
  <si>
    <t>Providing and applying white cement based putty of average thickness 1 mm, of approved brand and manufacturer. Quote for each layer over the plastered wall surface to prepare the surface even and smooth complete</t>
  </si>
  <si>
    <t>Existing Masonry Wall  Considered</t>
  </si>
  <si>
    <t>Sr. No. 24 page 3 ADI</t>
  </si>
  <si>
    <t>CP 50 Sr. No. 24</t>
  </si>
  <si>
    <t>WALL PAINT</t>
  </si>
  <si>
    <t>VELVET</t>
  </si>
  <si>
    <t>Wall painting with premium acrylic emulsion paint of interior grade, having VOC (Volatile Organic Compound ) content less than 50 grams/ litre of approved brand and manufacture, including applying additional coats wherever required to achieve even shade and colour.</t>
  </si>
  <si>
    <t>13.83.2</t>
  </si>
  <si>
    <t xml:space="preserve">Two coats </t>
  </si>
  <si>
    <t>Paint Existing Masonry Wall  Considered</t>
  </si>
  <si>
    <t>Sr. No. 26 page 3 ADI</t>
  </si>
  <si>
    <t xml:space="preserve">CP 50 Sr. No. 26 </t>
  </si>
  <si>
    <t>CEILING PAINT</t>
  </si>
  <si>
    <t>Applying priming coats with primer of approved brand and manufacture, having low VOC (Volatile Organic Compound ) content.</t>
  </si>
  <si>
    <t>Applying priming coats with primer ofapproved brand and manufacture, having lowVOC (Volatile Organic Compound ) content.13.85.3 :-</t>
  </si>
  <si>
    <t>PU</t>
  </si>
  <si>
    <t>COLOR MATT PU FOR MDF</t>
  </si>
  <si>
    <t>ICA</t>
  </si>
  <si>
    <t>13.85.3</t>
  </si>
  <si>
    <t>With water thinnable cement primer on wall surface having VOC content less than 50 grams/litre</t>
  </si>
  <si>
    <t>Paint Gypsum Ceiling / Cove Ceiling &amp; Toilet Ceiling Considered</t>
  </si>
  <si>
    <t>Sr. No. 25 page 3 ADI</t>
  </si>
  <si>
    <t>CP 50 Sr. No. 25</t>
  </si>
  <si>
    <t>Providing and fixing roller blinds of approved shade conformning to the following Technical Specifications: 
Roller blind fabric should be made up of 35% Fiberglass, 65% Vinyl on Fiberglass, it should have specific low emissivity treatment and Lead free with Greenguard Gold certification. Fabric should cut UV rays with 97% approximately and antimicrobial properties as per ASTM E 2180, ASTM G21 &amp; G22, AATCC30 Part 3, ASTM D 3273. One control unit is to be supplied for an area od 2.4sqm of blinds/ Roller Upper Tube: Made of high strength extruded aluminium alloy, finish powder coated with min 60 micron coating, Size of 40 mm outer dia and wall thickness of min. 1.2mm, Bottom Tube: Made of high strength extruded aluminium alloy, finish powder coated with min 60 micron coating, Size of 20 mm height and wall thickness of min. 1.2mm, Special feature. Control Unit: Made of high strength reinforced Nylon grade 6, consisting of outside sleeve and centre shaft, sleeve shall provide bearing surface of roller tube and rotate freely on centre shaft, providing smooth quiet and long wearing operations. Brackets: Fixing brackets is made of mild steel with zinc coating, made of thickness of min. 0.7mm. Ball Chain: Made of 2mm thickness polyester cord with moulded 4.5mm round plastic balls.</t>
  </si>
  <si>
    <t>Exterior Towards Façade Considered (Roller blinds is available)</t>
  </si>
  <si>
    <t>Sr. No. 3.1 NS page 466 NOIDA</t>
  </si>
  <si>
    <t>CP 191 Sr. No. 3.1 NS</t>
  </si>
  <si>
    <t>RUG- MAIN HEAD CABIN ( 9'-0" X 9'-0" )</t>
  </si>
  <si>
    <t>Supply and fixing of floor rug as per approved design, pattern etc. complete in all respect</t>
  </si>
  <si>
    <t>RUG</t>
  </si>
  <si>
    <t>Providing and fixing Carpet flooring using Carpet Tile of approved make, shade and pattern and of the following specification: High Cut – Low Loop Carpet tile, Premium Solution Dyed Nylon with Anti Stain Treatment, 1/10 gauge, minimum Pile height should be 8.0mm Cut and 3.5mm Loop or with acceptable tolerance, total minimum thickness 9.0mm, Tile size should be minimum 500mm x 500mm, Secondary Back Commercial 100% Re-cyclable. Wear Warranty– product should be warranted for10 Year Warranty with minimum weight loss of pile and colour. All yarns used are Solution dyed to minimize use of water and exclude any effluent production</t>
  </si>
  <si>
    <t>Conference Room Considered (Area in sqft.)</t>
  </si>
  <si>
    <t>Sr. No. 2.1 NS page 465 NOIDA</t>
  </si>
  <si>
    <t xml:space="preserve">CP 192 Sr. No. 2.1 NS </t>
  </si>
  <si>
    <t>NEW ITEM</t>
  </si>
  <si>
    <t>VOL 1</t>
  </si>
  <si>
    <t>Extra for providing and fixing ceiling to curved surfaces in narrow
widths</t>
  </si>
  <si>
    <t>Sqmt.</t>
  </si>
  <si>
    <t>All Floor P &amp; F Gypsum Cove Ceiling</t>
  </si>
  <si>
    <t>Providing &amp; fixing Vertical Linear Baffle Ceiling made out of Aluminum Extrusion in Aluminum alloy grade 6063. The baffle blade shall be in size of 100x25x3600mm in powder coated Black finish. The baffle blade shall be suspended using Slotted U-profile at on-center spacing in multiples of 25mm.Longer lengths of Baffle to be connected by Baffle Joiner and the ends to be fixed with End caps.  Installation of U-Grid: The U profile to be suspended at every 1200mm on-centre using 6mm threaded rod from the structural soffit using U-profile hanger. U-profile splice to be used to join more than one U profiles of length 3.75M. 1st U-Grid Channel must be no more than 400mm from the perimeter Installation of Baffles: Locate the slot for Baffle Hangers in U Profile section at 1200mm centres. Hangers are inserted into the slot, then rotated 90° and fixed into position by tightening the grub screw. Baffle to be lifted into position and hangers engage over lip of U-Grid Channel. Each Hanger to be secured into position by inserting the Locking Clip.  When doing continuous installation, Baffles blades are to be connected at ends with Baffle Joiner, which are inserted into the top and bottom slots of the Baffle closed profile for alignment only. The bottom Joiner to be located first and fastened on one side only. The top Joiner to be fitted then and secured with grub screws on one side. Then the two Baffle sections shall be joined and the top Joiner is screw fastened on the 2nd Baffle profile. End Caps to be located by pushing the End Cap tongues into open Baffle slots. Installation to be carried out by Trained Installation team &amp; Installation should be carried out as per recommended procedure.</t>
  </si>
  <si>
    <t>Ground &amp; 1st Floor Passage P &amp; F Baffle Ceiling</t>
  </si>
  <si>
    <t>Sr. No. 3.3 NS pg 466 Noida</t>
  </si>
  <si>
    <t xml:space="preserve">CP 191 Sr. No. 3.3 NS </t>
  </si>
  <si>
    <t>Providing and fixing plywood 4 mm thick, one side decorative veneer
conforming to IS: 1328 (type-1), for plain lining / cladding with necessary
screws, including priming coat on unexposed surface with :</t>
  </si>
  <si>
    <t>P &amp; F ONLY Laminate in Ceiling</t>
  </si>
  <si>
    <t>GF - Conference Room &amp; Reception Area P &amp; F ONLY Laminate in Ceiling</t>
  </si>
  <si>
    <t>P &amp; F Stretch Ceiling</t>
  </si>
  <si>
    <t>GF - Conference Room P &amp; F Stretch Ceiling</t>
  </si>
  <si>
    <t>Providing and fixing machine cut, mirror/ eggshell polished , Marble
stone work for wall lining (veneer work) including dado, skirting, risers of
steps etc., in required design and pattern wherever required, stones of
different finished surface texture, on 12 mm (average) thick cement
mortar 1:3 (1 cement : 3 coarse sand) laid and jointed with white cement slurry @ 3.3 kg/sqm including pointing with white cement slurry admixed
with pigment of matching shade, including rubbing, curing, polishing
etc. all complete as per Architectural drawings, and as directed by the
Engineer-in-Charge.</t>
  </si>
  <si>
    <t>8.11.1</t>
  </si>
  <si>
    <t>18 mm thick Italian Marble stone slab,Perlato, Rosso verona,
Fire Red or Dark Emperadore etc.</t>
  </si>
  <si>
    <t>GF - Reception Area &amp; 2F Living Room , Master Room P &amp; F Stone (Wall Cladding)</t>
  </si>
  <si>
    <t>P &amp; F Cement sheet (Wall Cladding)</t>
  </si>
  <si>
    <t>GF - Reception Area &amp; 2F Living Room , Master Room P &amp; F Cement sheet (Wall Cladding)</t>
  </si>
  <si>
    <t>Providing and fixing in wall lining medium density fibre board IS:
14587:1998 marked, Pre-laminated one side decorative lamination and
other side balancing lamination, with necessary fixing arrangement and
screws etc. complete.</t>
  </si>
  <si>
    <t>9.158.1</t>
  </si>
  <si>
    <t xml:space="preserve"> 12 mm thick.</t>
  </si>
  <si>
    <t>GF - Conference Room TV wall P &amp; F MDF (Wall Panelling)</t>
  </si>
  <si>
    <t>P &amp; F Laminate (Wall Panelling)</t>
  </si>
  <si>
    <t>P &amp; F Podium Stage 6" Height MS Fabrication Base (600 mm centre to centre)</t>
  </si>
  <si>
    <t>KG</t>
  </si>
  <si>
    <t>2F Training Centre P &amp; F Podium Stage 6" Height with MS Fabrication Base</t>
  </si>
  <si>
    <t xml:space="preserve">P &amp; F Aluminium Framing 50 x 25 mm Pipe </t>
  </si>
  <si>
    <t xml:space="preserve">(For Panelling / Partition / Ceiling Work) P &amp; F Aluminium Framing 50 x 25 mm Pipe </t>
  </si>
  <si>
    <t>Providing and fixing 12 mm thick panelling or panelling and glazing in
panelled or panelled and glazed shutters for doors, windows and
clerestory windows (area of opening for panel inserts excluding portion
inside grooves or rebates to be measured). Panelling for panelled or
panelled and glazed shutters 25 mm to 40 mm thick.</t>
  </si>
  <si>
    <t>9.126.1</t>
  </si>
  <si>
    <t>Marine plywood conforming to IS: 710</t>
  </si>
  <si>
    <t xml:space="preserve">(For Panelling / Partition / Ceiling Work) P &amp; F 12 mm Plywood </t>
  </si>
  <si>
    <t xml:space="preserve">Design, Supply, Installation, Testing &amp; Commissioning of Dancing Musical  GRFC Fountain for Hostel Building of 4.5m dia, shade to be decided by Engineer-In-Charge. </t>
  </si>
  <si>
    <t>NOZZLE PART</t>
  </si>
  <si>
    <t xml:space="preserve">Musical Fountain comprise of 09 Nos of main movements along with 33 Nos auxillary movements through following different set of nozzles. </t>
  </si>
  <si>
    <t>4nos of straight jets</t>
  </si>
  <si>
    <t>3 nos of Mist Nozzle</t>
  </si>
  <si>
    <t>1 no sunburst nozzles</t>
  </si>
  <si>
    <t>3 sets organ</t>
  </si>
  <si>
    <t>2 nos revolving jet</t>
  </si>
  <si>
    <t>2 nos cross jet</t>
  </si>
  <si>
    <t xml:space="preserve">1 nos revolving peacock tail </t>
  </si>
  <si>
    <t>1 nos wedding cake rise &amp; fall square</t>
  </si>
  <si>
    <t>box</t>
  </si>
  <si>
    <t>1 nos finger jet</t>
  </si>
  <si>
    <t>PUMP UNIT</t>
  </si>
  <si>
    <t>Submersible type, Vertical</t>
  </si>
  <si>
    <t>CV-02 STAGE</t>
  </si>
  <si>
    <t>11 LPS at 8M head</t>
  </si>
  <si>
    <t>2.2 KW, 3 Phase, 380-400V, 50Hz</t>
  </si>
  <si>
    <t>CONTROL PANEL UNIT</t>
  </si>
  <si>
    <t>Sheet steel enclosure 16 SWG, Ammeter/Voltmeter, selector switch, main incoming MCCB , Terminal connector , Thermal L/L unit Star-Delta Timer , Start-Stop Switch Distribution bus bar, main switches, contactors, overload relays, switches fuse units, phase indicating lamp etc. complete with internal wiring . Earthing arangement will be provided in the panel (the components for the above</t>
  </si>
  <si>
    <t>control panel will be of renowned as per availability) along with Controller for the illumination system.</t>
  </si>
  <si>
    <t>RELAY PANEL UNIT</t>
  </si>
  <si>
    <t>Sheet steel enclosure 16 SWG Mains MCB/MCCB, Relays Contractors, Terminal connector with suitable capacitors &amp; system controller.</t>
  </si>
  <si>
    <t>LS</t>
  </si>
  <si>
    <t>ILLUMINATION UNIT</t>
  </si>
  <si>
    <t>Cast aluminium alloy body duly powder coated fitted with toughened glass with</t>
  </si>
  <si>
    <t xml:space="preserve">Set </t>
  </si>
  <si>
    <t>LED will generate multiple colour combination with 1 meter length of</t>
  </si>
  <si>
    <t xml:space="preserve">power cable : </t>
  </si>
  <si>
    <t>OTHER ESSENTIAL ACCESSORIES</t>
  </si>
  <si>
    <t xml:space="preserve">Solenoid valve: </t>
  </si>
  <si>
    <t>No.s</t>
  </si>
  <si>
    <t>Gate valve:</t>
  </si>
  <si>
    <t>Distribution Feeder Pipe line: 1.5” / 2" dia medium/high quality upvc as per requirement</t>
  </si>
  <si>
    <t xml:space="preserve">PRV </t>
  </si>
  <si>
    <t>Pressure manifold made of MS sheet duly power coated of dia 4" &amp; length</t>
  </si>
  <si>
    <t>20' fitted with short piece for making provision of 2 nos solenoid valves.</t>
  </si>
  <si>
    <t>Mounting Frame: M.S. angle duly cold forged for anti - corrosion treatment</t>
  </si>
  <si>
    <t>on which the entire fountain system will be rested &amp; installed.</t>
  </si>
  <si>
    <t>Miscellaneous hardware items &amp; flexi pipe required for installation of above</t>
  </si>
  <si>
    <t>unit.</t>
  </si>
  <si>
    <t>Submersible powercable: Of reputed make manufacturer. (3 core / 1.5mm / 2.5 mm)</t>
  </si>
  <si>
    <t>SOUND SYSTEM</t>
  </si>
  <si>
    <t xml:space="preserve">High quality sound system with amplifiers and wide frequency speakers for dynamic and surround sound. All are heavy duty designed elegantly constructed. Supplied with amplifier rack 250w Power amplifier with circuit breaker protection with 4 (four) nos. weatherproof speakers 200w input power. </t>
  </si>
  <si>
    <t>CD /DVD player.</t>
  </si>
  <si>
    <t>Power requirement: 440 volt 3 phase A.C.</t>
  </si>
  <si>
    <t>OTHER ASSOCIATED CHARGES</t>
  </si>
  <si>
    <t>Consisting of Packing, loading &amp; Installation charges if any.</t>
  </si>
  <si>
    <t>Water pool Size: dia 4.5m</t>
  </si>
  <si>
    <t>Control Room 8'x 6'x8'</t>
  </si>
  <si>
    <t>Lot</t>
  </si>
  <si>
    <t>N.S</t>
  </si>
  <si>
    <t>Supply of Plants with Planters for display of plants at Reception and diff area of Building indoor/Outdoor, highly resistant to breakage, harsh weathers and ultra violet rays.</t>
  </si>
  <si>
    <t>Bougainvillea Trees (5'-6' ht)</t>
  </si>
  <si>
    <t xml:space="preserve">Bougainvillea Shrubs 2' ht shrub &amp; FRP planter size  - 10"X10"X10" with Fillers </t>
  </si>
  <si>
    <t>Providing and installing Precast Chair Bench with Back Rest in Decorative Finishes. The bench should consist of 2 Nos. L- Shaped base support in cement colour approved by Engineer-In-Charge of thickness 100 mm , back height- 1000mm&amp;front height -450 mm, base width-620mm, and 5 Nos. Size 1500mm x 100mm x 50mm manufactured by using M-30 Grade of concrete. The Chair bench is to be reinforced suitably to prevent damage during handling.</t>
  </si>
  <si>
    <t>P &amp; F 6 mm thk. MS Plate (Shelf Unit)</t>
  </si>
  <si>
    <t>GF - Conference Room TV wall P &amp; F 6 mm thk. MS Plate (Shelf Unit)</t>
  </si>
  <si>
    <t>P &amp; F 12 mm thk. MS Plate including Powder Coating</t>
  </si>
  <si>
    <t>LIFT ELEVATION P &amp; F 12 mm thk. MS Plate including Powder Coating</t>
  </si>
  <si>
    <t>Providing and fixing ISI marked flush door shutters conforming to IS :
2202 (Part I) decorative type, core of block board construction with
frame of 1st class hard wood and well matched teak 3 ply veneering
with vertical grains or cross bands and face veneers on both faces of
shutters.</t>
  </si>
  <si>
    <t>9.20.3</t>
  </si>
  <si>
    <t xml:space="preserve"> 25 mm thick (for cupboard) including ISI marked nickel plated
bright finished M.S. Piano hinges IS : 3818 marked with
necessary screws</t>
  </si>
  <si>
    <t>ELE Room P &amp; F Shutter for Db Unit</t>
  </si>
  <si>
    <t>9.166.1</t>
  </si>
  <si>
    <t>Providing and fixing 18mm thick both sides Pre-laminated cement bonded
wood particle board as per IS : 15786:2008 of approved brand and shade
with suitable full threaded steel screws etc. in partitions, boxes, shelves,
racks and cupboard, kitchen cabinet under kitchen counter etc. all
complete as per direction of Engineer-in-charge (Note: Fittings to be
paid separately)</t>
  </si>
  <si>
    <t>Pantry &amp; Kitchen P &amp; F Undercounter Storage Unit</t>
  </si>
  <si>
    <t>Providing and fixing 6mm thick both sides Pre-laminated cement bonded
wood particle board as per IS : 15786:2008 of approved brand and shade
with suitable full threaded steel screws etc. on the backing of racks,
drawer, cupboard, kitchen cabinet under kitchen counter etc. all complete
as per direction of Engineer-in-charge</t>
  </si>
  <si>
    <t xml:space="preserve">Providing and fixing cupboard shutter with 19mm thick one side
decorative and other side balancing lamination factory pressed BWP
grade marine ply as per IS 710 of approved brand including 2mm thick
PVC edge banding tape with hot glue by edge bending machine etc.
with auto closing spring loaded hinges (hydraulic type) etc. complete
as per direction of Engineer-in-charge.(Payment of providing and fixing
auto closing hinges shall be paid separately) </t>
  </si>
  <si>
    <t>9.17.1</t>
  </si>
  <si>
    <t>Providing and fixing stainless steel fancy handle of approved make fixed
with SS screws etc. complete as per direction of Engineer-in-charge.</t>
  </si>
  <si>
    <t xml:space="preserve">Providing and fixing stainless steel soft closing spring hinges at 0 degree
hinges (hydraulic type) of approved make/brand to cupboard shutters
with full threaded steel screws including making necessary recess in
board and finished etc. complete as per direction of Engineer-in-charge. </t>
  </si>
  <si>
    <t xml:space="preserve">Providing and fixing stainless steel soft closing heavy type telescopic
drawer channels of approved make 500 mm long with screws etc.
complete as per directions of Engineer- in-charge. </t>
  </si>
  <si>
    <t>Pantry &amp; Kitchen P &amp; F Overhead Storage Unit</t>
  </si>
  <si>
    <t>Providing and fixing 600x450 mm beveled edge mirror of superior
glass (of approved quality) complete with 6 mm thick hard board
ground fixed to wooden cleats with C.P. brass screws and washers
complete.</t>
  </si>
  <si>
    <t>MIRROR SIZE IS BIG IN DWG. P &amp; F Mirror</t>
  </si>
  <si>
    <t>P &amp; F Mirror</t>
  </si>
  <si>
    <t>All Toilet P &amp; F Mirror</t>
  </si>
  <si>
    <t>SIGNAGE</t>
  </si>
  <si>
    <t>PLANTERS</t>
  </si>
  <si>
    <t>ART-E-FACTS &amp; PAINTINGS</t>
  </si>
  <si>
    <t>TABLE (5'-3" X 2'-6" X 2'-6")</t>
  </si>
  <si>
    <t>No.</t>
  </si>
  <si>
    <t>Assi. Office (L Shape - Laminate Finish)</t>
  </si>
  <si>
    <t>SIDE CREDENZA (6' X 1'-6" X 2'-1.5")</t>
  </si>
  <si>
    <t>Assi. Office (2 shutter , 3 Drawrer , PU Finish)</t>
  </si>
  <si>
    <t>Reception TABLE (8' X 2' X 3'-6")</t>
  </si>
  <si>
    <t>Reception Table (2 shutter , 3 Drawrer , PU Finish)</t>
  </si>
  <si>
    <t>TABLE (10' X 3' X 2'-6")</t>
  </si>
  <si>
    <t>CPM Office (Top Marble with Laminate Finish)</t>
  </si>
  <si>
    <t>TABLE (6'-9" X 2'-6" X 2'-6")</t>
  </si>
  <si>
    <t>BO Office (L Shape - Laminate Finish)</t>
  </si>
  <si>
    <t>SIDE CREDENZA (5' X 1'-6" X 2'-1.5")</t>
  </si>
  <si>
    <t>BO Office (2 shutter , 3 Drawrer , PU Finish)</t>
  </si>
  <si>
    <t>PS Office (L Shape - Laminate Finish)</t>
  </si>
  <si>
    <t>PS Office (2 shutter , 3 Drawrer , PU Finish)</t>
  </si>
  <si>
    <t>BACK CREDENZA (10'-2" X 1'-4" X 2'-6" )</t>
  </si>
  <si>
    <t>PS Office (Laminate Finish)</t>
  </si>
  <si>
    <t>Conference TABLE (16'-6" X 5' X 2'-6")</t>
  </si>
  <si>
    <t>Conference Table (Veneer &amp; Wood Finish)</t>
  </si>
  <si>
    <t>TV CREDENZA (16'-3" X 1'-5" X 1'-4")</t>
  </si>
  <si>
    <t>Conference TV Unit Credenza (Veneer Finish)</t>
  </si>
  <si>
    <t>TV CREDENZA (7' X 1' X 1'-2")</t>
  </si>
  <si>
    <t>Living Room TV Unit Credenza (Stone Top with BPG Shutter Finish)</t>
  </si>
  <si>
    <t>TABLE (7' X 4' X 2'-6")</t>
  </si>
  <si>
    <t>GF &amp; FF Workstation Table</t>
  </si>
  <si>
    <t>TABLE (4'-3" X 2'-6" X 2'-6")</t>
  </si>
  <si>
    <t>Instructor Cabin  (L Shape - Laminate Finish)</t>
  </si>
  <si>
    <t>Instructor Cabin (2 shutter , 3 Drawrer , PU Finish)</t>
  </si>
  <si>
    <t>Lounge TV Unit Credenza (Stone Top with BPG Shutter Finish)</t>
  </si>
  <si>
    <t>TV CREDENZA (6'-4" X 1' X 1'-2")</t>
  </si>
  <si>
    <t>Master Bedroom TV Unit Credenza (PU Finish)</t>
  </si>
  <si>
    <t>Study Table (4'-9" X 2' X 2'-6")</t>
  </si>
  <si>
    <t>Master Bedroom Study Table (Veneer Finish)</t>
  </si>
  <si>
    <t>WARDROBE (4'-8" X 8')</t>
  </si>
  <si>
    <t>Master Bedroom Wardrobe (Veneer Finish)</t>
  </si>
  <si>
    <t>Crockery Unit (9' X 1'-4" X 2'-11" )</t>
  </si>
  <si>
    <t>Kitchen Crockery Unit</t>
  </si>
  <si>
    <t>WARDROBE (6'-6" X 8')</t>
  </si>
  <si>
    <t>Restroom Wardrobe (Veneer Finish)</t>
  </si>
  <si>
    <t>Dressing Table (3' X 1'-10" X 10")</t>
  </si>
  <si>
    <t>Restroom Dressing Table (Veneer Finish)</t>
  </si>
  <si>
    <t>Suitcase Console (5'-3" X 1'-10" X 1'-8")</t>
  </si>
  <si>
    <t>Restroom Suitcase Table (Veneer Finish)</t>
  </si>
  <si>
    <t>TABLE (5' X 2' X 2'-6")</t>
  </si>
  <si>
    <t>Training Centre (Laminate Finish)</t>
  </si>
  <si>
    <t>Storage Unit (13' X 2'-3" X 2'-8" )</t>
  </si>
  <si>
    <t>Cafetaria (Stone Top Laminate Finish)</t>
  </si>
  <si>
    <t>P &amp; F Shelf Unit (PU FINISH) (9' x 6.25')</t>
  </si>
  <si>
    <t xml:space="preserve">GF - CPM Office P &amp; F Shelf Unit (PU FINISH) </t>
  </si>
  <si>
    <t>ELECTRICAL ITEM</t>
  </si>
  <si>
    <t>CHAPTER 1 - POINT WIRING</t>
  </si>
  <si>
    <t>1.10.3</t>
  </si>
  <si>
    <t>Wiring for light point/ fan point/ exhaust fan point/ call bell point with 1.5 sq.mm FRLS PVC insulated copper conductor single core cable in surface / recessed medium class PVC conduit, with modular switch, modular plate, suitable Gl box and earthing the point with 1.5 sq.mm FRLS PVC insulated copper conductor single core cable etc. as required. (Group C)</t>
  </si>
  <si>
    <t>Point</t>
  </si>
  <si>
    <t>Wiring for twin control light point with 1.5 sq.mm FRLS PVC insulated copper conductor single core cable in surface / recessed medium class PVC conduit, 2 way modular switch, modular plate, suitable Gl box and earthing the point with 1.5 sq.mm FRLS PVC insulated copper conductor single core cable etc. as required.</t>
  </si>
  <si>
    <t>1.55.3</t>
  </si>
  <si>
    <t>Wiring for group controlled (looped) light point/fan point/exhaust fan point/ call bell point (without independent switch etc.) with 1.5 sq. mm FRLS PVC insulated copper conductor single core cable in surface/ recessed PVC conduit, and earthing the point with 1.5 sq. mm FRLS PVC insulated copper conductor single core cable etc. as required. (Group C)</t>
  </si>
  <si>
    <t>Wiring for circuit/ submain wiring alongwith earth wire with the following sizes of FRLS PVC insulated copper conductor, single core cable in surface/ recessed medium class PVC conduit as required.</t>
  </si>
  <si>
    <t>1.14.1</t>
  </si>
  <si>
    <t>2 x 1.5sqmm + 1 x 1.5sqmm earth wire</t>
  </si>
  <si>
    <t>Metre</t>
  </si>
  <si>
    <t>1.14.2</t>
  </si>
  <si>
    <t>2 x 2.5sqmm + 1 x 2.5sqmm earth wire</t>
  </si>
  <si>
    <t>1.14.3</t>
  </si>
  <si>
    <t>2 x 4sqmm + 1 x 4sqmm earth wire</t>
  </si>
  <si>
    <t>1.21.2</t>
  </si>
  <si>
    <t>Supplying and fixing of following sizes of medium class PVC conduit along with accessories in surface/recess including cutting the wall and making good the same in case of recessed conduit as required.
25mm</t>
  </si>
  <si>
    <t>Supplying and fixing suitable size Gl box with modular plate and cover in front on surface or in recess, including providing and fixing 3 pin 5/6 A modular socket outlet and 5/6 A modular switch, connections etc. as required</t>
  </si>
  <si>
    <t>Supplying and fixing suitable size Gl box with modular plate and cover in front on surface or in recess, including providing and fixing 6 pin 5/6 &amp; 15/16 A modular socket outlet and 15/16 A modular switch, connections etc. as required.</t>
  </si>
  <si>
    <t>Supplying &amp; fixing suitable size Gl box wih modular plate and cover in fronton surface or in recess including providing and fixing 25 A modular socket outlet and 25 A modular SP MCB, "C" curve including connections, painting etc. as required.</t>
  </si>
  <si>
    <t>Supplying and fixing 3 pin, 5 A ceiling rose on the existing junction box/ wooden block including connections etc. as required.</t>
  </si>
  <si>
    <t>Supplying and fixing call bell/ buzzer suitable for single phase, 230 V, complete as required.</t>
  </si>
  <si>
    <t>Installation, testing and commissioning of pre-wired, fluorescent fitting / compact fluorescent fitting of all types, complete with all accessories and tube/lamp etc. directly on ceiling/ wall, including connections with 1.5 sq. mm FRLS PVC insulated, copper conductor, single core cable and earthing etc. as required.</t>
  </si>
  <si>
    <t>Installation, testing and commissioning of ceiling fan, including wiring the down rods of standard length (upto 30 cm) with 1.5 sq. mm FRLS PVC insulated, copper conductor, single core cable etc. as required.</t>
  </si>
  <si>
    <t>1.50.1</t>
  </si>
  <si>
    <t>Installation of exhaust fan in the existing opening, including making good the damage, connection, testing, commissioning etc. as required.
Upto 450mm sweep</t>
  </si>
  <si>
    <t>CHAPTER-2-MCCB, MCB &amp; DB’S</t>
  </si>
  <si>
    <t>Providing and fixing following rating and breaking capacity and pole MCCB with thermomagnetic release and terminal spreaders in existing cubicle panel board including drilling holes in cubicle panel, making connections, etc. as required.</t>
  </si>
  <si>
    <t>2.2.14</t>
  </si>
  <si>
    <t>125A 36KA FP MCCB</t>
  </si>
  <si>
    <t>Supplying and fixing following way, single pole and neutral, sheet steel, MCB distribution board, 240 V, on surface/ recess, complete with tinned copper bus bar, neutral bus bar, earth bar, din bar, interconnections, powder painted including earthing etc. as required. (But without MCB/RCCB/lsolator)</t>
  </si>
  <si>
    <t>2.3.1</t>
  </si>
  <si>
    <t>6 way , Double door</t>
  </si>
  <si>
    <t>2.3.2</t>
  </si>
  <si>
    <t>8 way , Double door</t>
  </si>
  <si>
    <t>2.3.3</t>
  </si>
  <si>
    <t>12 way , Double door</t>
  </si>
  <si>
    <t>Supplying and fixing following way, horizontal type three pole and neutral, sheet steel, MCB distribution board, 415 V, on surface/ recess, complete with tinned copper bus bar, neutral bus bar, earth bar, din bar, interconnections, powder painted including earthing etc. as required. (But without MCB/RCCB/lsolator)</t>
  </si>
  <si>
    <t>2.4.2</t>
  </si>
  <si>
    <t>6 way (4 + 18), Double door</t>
  </si>
  <si>
    <t>2.4.3</t>
  </si>
  <si>
    <t>8 way (4 + 24), Double door</t>
  </si>
  <si>
    <t>Supplying and fixing of following ways surface/ recess mounting, vertical type, 415 V, TPN MCB distribution board of sheet steel, dust protected, duly powder painted, inclusive of 200 A tinned copper bus bar, common neutral link, earth bar, din bar for mounting MCBs (but without MCBs and incomer) as required . (Note : Vertical type MCB TPDB is normally used where 3 phase outlets are required.)</t>
  </si>
  <si>
    <t>2.5.3</t>
  </si>
  <si>
    <t>12 way (4 + 36), Double door</t>
  </si>
  <si>
    <t>Supplying and fixing 5 A to 32 A rating, 240/415 V, 10 kA, "C" curve, miniature circuit breaker suitable for inductive load of following poles in the existing MCB DB complete with connections, testing and commissioninq etc. as required.</t>
  </si>
  <si>
    <t>2.10.1</t>
  </si>
  <si>
    <t>Single Pole</t>
  </si>
  <si>
    <t>2.10.3</t>
  </si>
  <si>
    <t>Double Pole</t>
  </si>
  <si>
    <t>2.10.4</t>
  </si>
  <si>
    <t>Triple Pole</t>
  </si>
  <si>
    <t>2.10.5</t>
  </si>
  <si>
    <t>Triple Pole and Neutral</t>
  </si>
  <si>
    <t>Supplying and fixing 40 A to 63 A rating, 240/415 V, 10 kA, "C" curve, miniature circuit breaker suitable for inductive load of following poles in the existing MCB DB complete with connections, testing and commissioninq etc. as required.</t>
  </si>
  <si>
    <t>Four Pole</t>
  </si>
  <si>
    <t>Supplying and fixing single pole blanking plate in the existing MCB DB complete etc. as required.</t>
  </si>
  <si>
    <t>Supplying and fixing following rating, double pole, (single phase and neutral), 240 V, residual current circuit breaker (RCCB), having a sensitivity current 30 mA in the existing MCB DB complete with connections, testing and commissioning etc. as required.</t>
  </si>
  <si>
    <t>2.14.1</t>
  </si>
  <si>
    <t>25A</t>
  </si>
  <si>
    <t>2.14.2</t>
  </si>
  <si>
    <t>40A</t>
  </si>
  <si>
    <t>2.14.3</t>
  </si>
  <si>
    <t>63A</t>
  </si>
  <si>
    <t>Supplying and fixing following rating, four pole, (three phase and neutral), 415 volts, residual current circuit breaker (RCCB), having a sensitivity current 30 mA in the existing MCB DB complete with connections, testing and commissioning etc. as required.</t>
  </si>
  <si>
    <t>2.15.2</t>
  </si>
  <si>
    <t>CHAPTER-4-CABLE TRAYS</t>
  </si>
  <si>
    <t>Supplying and installing following size of perforated painted with powder coating M.S. cable trays with perforation not more than 17.5%, in convenient sections, joined with connectors, suspended from the ceiling with M.S. suspenders including bolts &amp; nuts, painting suspenders etc as required</t>
  </si>
  <si>
    <t>4.1.4</t>
  </si>
  <si>
    <t>300 mm width X 50 mm depth X 1.6 mm thickness</t>
  </si>
  <si>
    <t>Supplying and installing following size of perforated painted with powder coating M.S. cable trays bends with perforation not more than 17.5%„ joined with connectors, suspended from the ceiling with M.S. suspenders including bolts &amp; nuts, painting suspenders etc as required.</t>
  </si>
  <si>
    <t>4.2.4</t>
  </si>
  <si>
    <t>Supplying and installing following size of perforated painted with powder coating M.S. cable trays Tee with perforation not more than 17.5%, joined with connectors, suspended from the ceiling with M.S. suspenders including bolts &amp; nuts, painting suspenders etc as required.</t>
  </si>
  <si>
    <t>4.3.4</t>
  </si>
  <si>
    <t>CHAPTER-5-EARTHING</t>
  </si>
  <si>
    <t>Earthing with G.l. earth plate 600 mm X 600 mm X 6 mm thick including accessories, and providing masonry enclosure with cover plate having locking arrangement and watering pipe of 2.7 metre long etc. with charcoal/ coke and salt as required.</t>
  </si>
  <si>
    <t>Earthing with copper earth plate 600 mm X 600 mm X 3 mm thick including accessories, and providing masonry enclosure with cover plate having locking arrangement and watering pipe of 2.7 metre long etc. with charcoal/ coke and salt as required.</t>
  </si>
  <si>
    <t>Providing and fixing 25 mm X 5 mm G.l. strip on surface or in recess for connections etc. as required.</t>
  </si>
  <si>
    <t>Providing and fixing 4.00 mm dia copper wire on surface or in recess for loop earthing as required.</t>
  </si>
  <si>
    <t>CHAPTER-6-LIGHTING CONDUCTOR</t>
  </si>
  <si>
    <t>Providing and fixing of lightning conductor finial, made of 25 mm dia 300 mm long, G.l. tube, having single prong at top, with 85 mm dia 6 mm thick G.l. base plate including holes etc. complete as required.</t>
  </si>
  <si>
    <t>Providing and fixing G.l. tape 20 mm X 3 mm thick on parapet or surface of wall for lightning conductor complete as required.(For horizontal run)</t>
  </si>
  <si>
    <t>Providing and fixing G.l. tape 20 mm X 3 mm thick on parapet or surface of wall for lightning conductor complete as required.(For vertical run)</t>
  </si>
  <si>
    <t>CHARTER-7-MV CABLE LAYING</t>
  </si>
  <si>
    <t>Laying and fixing of one number PVC insulated and PVC sheathed 1 XLPE power cable of 1.1 KV grade of following size on cable tray as required.</t>
  </si>
  <si>
    <t>7.8.1</t>
  </si>
  <si>
    <t>Upto 35 sq. mm (clamped with 1mm thick saddle)</t>
  </si>
  <si>
    <t>CHAPTER-9-MV CABLE JOINTING &amp; END TERMINATION</t>
  </si>
  <si>
    <t>Supplying and making end termination with brass compression gland and aluminium lugs for following size of PVC insulated and PVC sheathed 1 XLPE aluminium conductor cable of 1.1 KV grade as required.</t>
  </si>
  <si>
    <t>9.1.20</t>
  </si>
  <si>
    <t>3½ X 25 sq. mm (28mm)</t>
  </si>
  <si>
    <t>9.1.32</t>
  </si>
  <si>
    <t>4 X 10 sq. mm (25mm)</t>
  </si>
  <si>
    <t>CHAPTER-14-MISC. CIVIL ITEMS</t>
  </si>
  <si>
    <t>Excavation for cable trenches of depth upto 1.2 m in soft soil including getting out the excavated soil and disposal of surplus excavated soil as directed within a lead of 50 metres.</t>
  </si>
  <si>
    <t>CUM</t>
  </si>
  <si>
    <t>CHAPTER-19-BLDC FAN</t>
  </si>
  <si>
    <t>Supply, Installation, Testing and Commissioning of 1200 mm sweep, BEE 5 star rated, ceiling fan with Brush Less Direct Current (BLDC) Motor, class of insulation: B, 3 nos. blades, 30 cm long down rod, 2 nos. canopies, shackle kit, safety rope, copper winding, Power Factor not less than 0.9, ServiceValue(CM/M/W) minimum 6.00, Air delivery minimum 210 Cum/Min , 350 RPM (tolerance as per IS : 374-2019), THD less than 10%, remote or electronic regulator unit for speed control and all remaining accessories including safety pin, nut bolts, washers, temperature rise=75 degree C (max.), insulation resistance more than 2 mega ohm, suitable for 230 V, 50 Hz, single phase AC Supply, earthing etc. complete as required.</t>
  </si>
  <si>
    <t>ONLY SUPPLING OF FOLLOWING ITEMS</t>
  </si>
  <si>
    <t>Supply of following size XLPE insulated, PVC inner sheathed, Armoured cable of 1.1KV grade confirming to IS:7098 with up to date amendments etc.</t>
  </si>
  <si>
    <t>3.5c X 25sqmm Aluminium Armoured XLPE Cable</t>
  </si>
  <si>
    <t>4c X 10sqmm Copper Armoured XLPE Cable</t>
  </si>
  <si>
    <t>4c X 6sqmm Copper Armoured XLPE Cable</t>
  </si>
  <si>
    <t>3c X 2.5sqmm Copper Armoured XLPE Cable</t>
  </si>
  <si>
    <t>Supply of following size Flexible cable of 1.1KV grade confirming to IS:694 with up to date amendments etc.</t>
  </si>
  <si>
    <t>4c X 6sqmm Copper Flexible Cable</t>
  </si>
  <si>
    <t>Supply of following type of Light Fitting / Fans</t>
  </si>
  <si>
    <t>Concealed Light Fitting (Basic rate 750/-)</t>
  </si>
  <si>
    <t>Surface Light Fitting (Basic rate 450/-)</t>
  </si>
  <si>
    <t>Suspended Light Fitting (Basic rate 1250/-)</t>
  </si>
  <si>
    <t>Pendent Light Fitting at Reception (Basic rate 25000/-)</t>
  </si>
  <si>
    <t>150mm Exhaust fan with louvers (Basic rate 1200/-)</t>
  </si>
  <si>
    <t>ELECTRICAL WORK &amp; SWITCHBOARD</t>
  </si>
  <si>
    <t>FOORING WORK</t>
  </si>
  <si>
    <t xml:space="preserve">TOTAL BUDGET  </t>
  </si>
  <si>
    <t>GROUND FLOOR</t>
  </si>
  <si>
    <t>SECOND FLOOR</t>
  </si>
  <si>
    <t>INSTRUCTOR ROOM</t>
  </si>
  <si>
    <t>MASTER ROOM</t>
  </si>
  <si>
    <t>REST ROOM</t>
  </si>
  <si>
    <t>A</t>
  </si>
  <si>
    <t xml:space="preserve">Measurement Sheet </t>
  </si>
  <si>
    <t>Date: 12.03.2024</t>
  </si>
  <si>
    <t>SITE : - CPM OFFICE</t>
  </si>
  <si>
    <t>DSR CODE NO.</t>
  </si>
  <si>
    <t>Particulars</t>
  </si>
  <si>
    <t>Nos.</t>
  </si>
  <si>
    <t>Length (FT.)</t>
  </si>
  <si>
    <t>Width (FT.)</t>
  </si>
  <si>
    <t>Height (FT.)</t>
  </si>
  <si>
    <t>Total:-</t>
  </si>
  <si>
    <t>Sqft.</t>
  </si>
  <si>
    <t>Ground Floor</t>
  </si>
  <si>
    <t>Reception Area</t>
  </si>
  <si>
    <t>Less Laminate Ceiling</t>
  </si>
  <si>
    <t>PS OFFICE</t>
  </si>
  <si>
    <t>Con. Attached Bathroom</t>
  </si>
  <si>
    <t>CPM OFFICE</t>
  </si>
  <si>
    <t>CPM OFFICE Attached Bathroom</t>
  </si>
  <si>
    <t>Pantry</t>
  </si>
  <si>
    <t>Workstation Area</t>
  </si>
  <si>
    <t>Server Room</t>
  </si>
  <si>
    <t>Ladies Toilet</t>
  </si>
  <si>
    <t>WC - Ladies Toilet</t>
  </si>
  <si>
    <t>Gents Toilet</t>
  </si>
  <si>
    <t>WC - Gents Toilet</t>
  </si>
  <si>
    <t>Gents Toilet Urinal</t>
  </si>
  <si>
    <t>First Floor</t>
  </si>
  <si>
    <t>Ass. Office Attached Toilet</t>
  </si>
  <si>
    <t>Compactor Room</t>
  </si>
  <si>
    <t>Second Floor</t>
  </si>
  <si>
    <t>Training Center</t>
  </si>
  <si>
    <t>Less Instructor Cabin</t>
  </si>
  <si>
    <t>Instructor Cabin</t>
  </si>
  <si>
    <t>Cafeteria</t>
  </si>
  <si>
    <t>Lobby</t>
  </si>
  <si>
    <t>Lounge</t>
  </si>
  <si>
    <t>Passage</t>
  </si>
  <si>
    <t>Kitchen</t>
  </si>
  <si>
    <t xml:space="preserve">Dinning </t>
  </si>
  <si>
    <t>Living Room</t>
  </si>
  <si>
    <t>Master Room</t>
  </si>
  <si>
    <t>Master Toilet</t>
  </si>
  <si>
    <t>Rest Room</t>
  </si>
  <si>
    <t>Rest Room Toilet</t>
  </si>
  <si>
    <t>Common Toilet</t>
  </si>
  <si>
    <t>Cafteria Toilet</t>
  </si>
  <si>
    <t>Cove Ceiling Inside plain area</t>
  </si>
  <si>
    <t>Conference Room</t>
  </si>
  <si>
    <t>Rmt.</t>
  </si>
  <si>
    <t>Rft.</t>
  </si>
  <si>
    <t>Ground Floor Reception Wall</t>
  </si>
  <si>
    <t>2nd Floor Rest Room</t>
  </si>
  <si>
    <t>13.78</t>
  </si>
  <si>
    <t>In this bill:-</t>
  </si>
  <si>
    <t>Less Door</t>
  </si>
  <si>
    <t>Towards Window Wall</t>
  </si>
  <si>
    <t>Less Window</t>
  </si>
  <si>
    <t xml:space="preserve">Master Room </t>
  </si>
  <si>
    <t>8.2</t>
  </si>
  <si>
    <t>Staircase Ground to 1st Floor Tread</t>
  </si>
  <si>
    <t>Mid Landing</t>
  </si>
  <si>
    <t>Staircase 1st to 2nd Floor Tread</t>
  </si>
  <si>
    <t>RFt.</t>
  </si>
  <si>
    <t>8.5</t>
  </si>
  <si>
    <t>ELE Room</t>
  </si>
  <si>
    <t>Store Room</t>
  </si>
  <si>
    <t>Supplying, Installation, Testing and Commissioning of  Thin Rim Table Top Basin, Size: 530x420x140 mm, Shape - Rectangular including cutting and making good the wall wherever required</t>
  </si>
  <si>
    <t>Supplying, Installation, Testing and Commissioning of  Thin Rim Table Top Basin, Size: 425 x 340 x 175 mm, Shape - Oval including cutting and making good the wall wherever required</t>
  </si>
  <si>
    <t>MAIN ENTRY</t>
  </si>
  <si>
    <t>Above Glass Partition</t>
  </si>
  <si>
    <t>Instructor Room</t>
  </si>
  <si>
    <t>Providing and fixing bright finished brass 100 mm mortice latch with one dead bolt and a pair of lever handles of approved quality with necessary screws etc. complete.</t>
  </si>
  <si>
    <t>Supply and installation of manual operated cord enabled Honeycomb blinds using top headrail made of extruded aluminium with end caps and brackets adoptable to accomodate bottom section with powder coated finish and matching honeycomb cellular fabric and installation to be of mountable clamps holding headrail. The operating cord using lifting and lowering of blind, with moulded plastic mechanism having a locking member ni the headrail.complete including al necessary hardware and accessories for fixing of Honeycomb blinds to the metal section, at various locations, as per actual measurements prevailing at site and the instructions of officer-in-charge</t>
  </si>
  <si>
    <t xml:space="preserve">PS OFFICE </t>
  </si>
  <si>
    <t>Window</t>
  </si>
  <si>
    <t xml:space="preserve">Cafeteria </t>
  </si>
  <si>
    <t xml:space="preserve">Living Room </t>
  </si>
  <si>
    <t>Add Stretch Ceiling Vertical Facia</t>
  </si>
  <si>
    <t>Reception Area Vertical Facia</t>
  </si>
  <si>
    <t>1</t>
  </si>
  <si>
    <t>2</t>
  </si>
  <si>
    <t>FALSE CEILING WORK</t>
  </si>
  <si>
    <t>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37mm, at
1200 mm centre to centre, one flange fixed to the ceiling with dash
fastener 12.5 mm dia x 50mm long with 6mm dia bolts, other flange
of cleat fixed to the angle hangers of 25x10x0.50 mm of required
length with nuts &amp; bolts of required size and other end of angle
hanger fixed with intermediate G.I. channels 45x15x0.9 mm running
at the spacing of 1200 mm centre to centre, to which the ceiling
section 0.5 mm thick bottom wedge of 80 mm with tapered flanges
of 26 mm each having lips of 10.5 mm, at 450 mm centre to centre,
shall be fixed in a direction perpendicular to G.I. intermediate channel
with connecting clips made out of 2.64 mm dia x 230 mm long G.I.
wire at every junction, including fixing perimeter channels 0.5 mm
thick 27 mm high having flanges of 20 mm and 30 mm long, the
perimeter of ceiling fixed to wall/partition with the help of rawl plugs
at 450 mm centre, with 25mm long dry wall screws @ 230 mm
interval, including fixing of gypsum board to ceiling section and
perimeter channel with the help of dry wall screws of size 3.5 x 25
mm at 230 mm c/c, including jointing and finishing to a flush finish
of tapered and square edges of the board with recommended jointing
compound , jointing tapes , finishing with jointing compound in 3
layers covering upto 150 mm on both sides of joint and two coats of
primer suitable for board, all as per manufacturer's specification and
also including the cost of making openings for light fittings, grills,
diffusers, cutouts made with frame of perimeter channels suitably
fixed, all complete as per drawings, specification and direction of
the Engineer in Charge but excluding the cost of painting with :</t>
  </si>
  <si>
    <t>REFRESHMENT ENTRY  ( 3'-0" X 8'-6" )</t>
  </si>
  <si>
    <t>CURTAIN STAFF FIELD AREA ( 8'-3" X 8'-0" )</t>
  </si>
  <si>
    <t>HONEYCOMB CURTAIN</t>
  </si>
  <si>
    <t>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37mm, at 1200 mm centre to centre, one flange fixed to the ceiling with dash fastener 12.5 mm dia x 50mm long with 6mm dia bolts, other flange of cleat fixed to the angle hangers of 25x10x0.50 mm of required length with nuts &amp; bolts of required size and other end of angle hanger fixed with intermediate G.I. channels 45x15x0.9 mm running at the spacing of 1200 mm centre to centre, to which the ceiling section 0.5 mm thick bottom wedge of 80 mm with tapered flanges of 26 mm each having lips of 10.5 mm, at 450 mm centre to centre, shall be fixed in a direction perpendicular to G.I. intermediate channel with connecting clips made out of 2.64 mm dia x 230 mm long G.I. wire at every junction, including fixing perimeter channels 0.5 mm thick 27 mm high having flanges of 20 mm and 30 mm long, the perimeter of ceiling fixed to wall/partition with the help of rawl plugs at 450 mm centre, with 25mm long dry wall screws @ 230 mm interval, including fixing of gypsum board to ceiling section and perimeter channel with the help of dry wall screws of size 3.5 x 25 mm at 230 mm c/c, including jointing and finishing to a flush finish of tapered and square edges of the board with recommended jointing compound , jointing tapes , finishing with jointing compound in 3 layers covering upto 150 mm on both sides of joint and two coats of primer suitable for board, all as per manufacturer's specification and also including the cost of making openings for light fittings, grills, diffusers, cutouts made with frame of perimeter channels suitably fixed, all complete as per drawings, specification and direction of the Engineer in Charge but excluding the cost of painting with :</t>
  </si>
  <si>
    <t>12.5 mm thick tapered edge gypsum plain board conforming to IS: 2095- Part I.</t>
  </si>
  <si>
    <t>12 mm cement plaster of mix : 1:4 (1 cement: 4 fine sand)</t>
  </si>
  <si>
    <t>4.2 a 13.1.1 page no. 451 NOIDA</t>
  </si>
  <si>
    <t>CP 205 4.2 a 13.1.1</t>
  </si>
  <si>
    <r>
      <rPr>
        <b/>
        <sz val="11"/>
        <color theme="1"/>
        <rFont val="Calibri"/>
        <family val="2"/>
      </rPr>
      <t xml:space="preserve">UTILITY- PLATFORM:
</t>
    </r>
    <r>
      <rPr>
        <sz val="11"/>
        <color theme="1"/>
        <rFont val="Calibri"/>
        <family val="2"/>
      </rPr>
      <t xml:space="preserve">"Providing and fixing 650 mm deep counter with top in approved pre-polished Quartz stone slab 16-18 mm thick laid on 18-20 mm thick one side polished Kota stone in cement mortar 1:4 in between, Providing front facia and band above the counter in same Quartz stone. The item also included providing 18-20 mm thick kota stone vertical supports &amp; Kota stone platform up to skiritng level. All exposed surfaces of platform to be finished in same quartz stone slab. Necessary cut-outs for sink to be provided and  all cut-outs, exposed edges to be face mirror polish pencil edge. Cost to also include making necessary cut-outs for taking pipes through counter top. including of grooves, kani &amp; mouldings etc. </t>
    </r>
  </si>
  <si>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 4 coarse sand), joints treated with white cement, mixed with matching pigment, epoxy touch ups, including rubbing, curing,moulding and polishing to edges to give high gloss finish etc. complete at all levels.</t>
  </si>
  <si>
    <t xml:space="preserve">Area of slab over 0.50 sqm </t>
  </si>
  <si>
    <t>Providing edge moulding to 18 mmthick marble stone counters, Vanities etc.,including machine polishing to edge to givehigh gloss finish etc. complete as per designapproved by Engineer-in-Charge.// 8.3.2 :-</t>
  </si>
  <si>
    <t>Granite work</t>
  </si>
  <si>
    <t>Extra for providing opening of requiredsize &amp; shape for wash basin/ kitchen sink inkitchen platform, vanity counter and similarlocation in marble/ Granite/ stone work,including necessary holes for pillar taps etc.including moulding, rubbing and polishing ofcut edges etc. complete.</t>
  </si>
  <si>
    <t>Providing and laying Vitrified tiles in different sizes (thickness to be specified by manufacturer), with water absorption less than 0.08 % and conforming to I.S. 15622, of approved make, in all colours &amp; shade, in skirting, riser of steps, over 20 mm thick bed of cement mortar 1:4 (1 cement: 4 coarse sand), jointing with grey cement slurry @ 3.3 kg/ sqm including grouting the joint with white cement &amp; matching pigments etc. complete.</t>
  </si>
  <si>
    <t>Size of Tile 600x600 mm (Double Charge)</t>
  </si>
  <si>
    <t>Sr. No. 3.2 a pg 447 Noida</t>
  </si>
  <si>
    <r>
      <rPr>
        <sz val="11"/>
        <color theme="1"/>
        <rFont val="Calibri"/>
        <family val="2"/>
      </rPr>
      <t>Providing and laying Vitrified tiles in different sizes (thickness to  be  specified  by  manufacturer),  with  water  absorption  less than 0.08 % and conforming to I.S. 15622, of approved make, in all  colours  &amp;  shade,  in  s</t>
    </r>
    <r>
      <rPr>
        <b/>
        <sz val="11"/>
        <color theme="1"/>
        <rFont val="Calibri"/>
        <family val="2"/>
      </rPr>
      <t xml:space="preserve">kirting,  riser  of  steps,  </t>
    </r>
    <r>
      <rPr>
        <sz val="11"/>
        <color theme="1"/>
        <rFont val="Calibri"/>
        <family val="2"/>
      </rPr>
      <t>over  12  mm thick  bed  of  cement  mortar  1:3  (1  cement:  3  coarse  sand), jointing   with   grey  cement   slurry  @   3.3  kg/   sqm  including grouting the joint with white cement &amp; matching pigments etc. complete. Size of Tile 600x600 mm</t>
    </r>
  </si>
  <si>
    <t>Providing and fixing fixing white vitreous china battery based infrared sensor operated urinal of approx. size 610x390x370 mm having pre &amp; post flushing with water (250 ml &amp; 500  ml consumption), consumption), having water inlet from back side, including fixing to wall with suitable brackets all as per manufacturers specification and direction of Engineer-in-charge.</t>
  </si>
  <si>
    <t>All Floor Toilet Considered (Available in LAR)</t>
  </si>
  <si>
    <t>Sr. No. 11 page 9 ADI</t>
  </si>
  <si>
    <t>Providing, Fixing testing and comimissioning of 15mm dia C.P. brass 2 way bib cock with C.P. wall flange of approved quality and making good</t>
  </si>
  <si>
    <t>Sr. No. 20 page 9 ADI</t>
  </si>
  <si>
    <t>Providing and laying integral cementbased water proofing treatment includingpreparation of surface as required fortreatment of roofs, balconies, terraces etcconsisting of following operations:(a)Applying a slurry coat of neat cement using2.75 kg/sqm of cement admixed with waterproofing compound conforming to IS. 2645and approved by Engineer-in-charge over theRCC slab including adjoining walls upto 300mm height including cleaning the surfacebefore treatment. (b) Laying brick bats withmortar using broken bricks/brick bats 25 mmto 115 mm size with 50% of cement mortar1:5 (1 cement : 5 coarse sand) admixed withwater proofing compound conforming to IS :2645 and approved by Engineer in-chargeover 20 mm thick layer of cement mortar ofmix 1:5 (1 cement :5 coarse sand ) admixedwith water proofing compound conforming toIS : 2645 and approved by Engineer in-charge to required slope and treatingsimilarly the adjoining walls upto 300 mmheight including rounding of junctions of wallsand slabs. (c) After two days of proper curingapplying a second coat of cement slurry using2.75 kg/ sqm of cement admixed with waterproofing compound conforming to IS : 2645and approved by Engineer-in-charge. (d)Finishing the surface with 20 mm thick jointless cement mortar of mix 1:4 (1 cement:4 coarse sand) admixed with water proofingcompound conforming to IS : 2645 andapproved by Engineer-in-charge includinglaying glass fibre cloth of approved quality intop layer of plaster and finally finishing thesurface with trowel with neat cement slurryand making pattern of 300x300 mm square 3mm deep. (e) The whole terrace so finishedshall be flooded with water for a minimumperiod of two weeks for curing and for finaltest."All above operations to be done in orderand as directed and specified by theEngineer-in-Charge :// 22.7.1 ;- Withaverage thickness of 120 mm and minimumthickness at khurra as 65 mm.</t>
  </si>
  <si>
    <t>Sr. No. 37 page 4 ADI</t>
  </si>
  <si>
    <t>Providing and fixing hand rail ofapproved size by welding etc, to steel ladderrailinf, balcony railing, staircase railing, andsimilar works, including applying priming ofapproved steel primer // 10.26.1 :- M.S. Tube</t>
  </si>
  <si>
    <t xml:space="preserve">Providing and fixing thermal insulation of ceiling (under deck insulation) with Resin Bonded Fibre glass wool conforming to IS : 8183, density 24kg / m3, 50mm thick, wrapped in 200 G Virgin Polythene bags, fixed to ceiling with metallic cleats (50x50x3 mm) @ 60 cm and wire mesh of 12.5 mm x 24 gauge wire mesh, for top most ceiling of building. </t>
  </si>
  <si>
    <t>Providing and fixing ISI marked flush door shutters conforming to IS :2202 (Part I) decorative type, core of block board construction with frame of 1st class hard wood and well matched teak 3 ply veneering with vertical grains or cross bands and face veneers on both faces of shutters .30 mm thick including ISI marked Stainless Steel butt hinges with necessary screws</t>
  </si>
  <si>
    <t>Extra for providing lipping with 2nd class teak wood battens 25 mm minimum depth on all edges of flush door shutters (over all area of door shutter to be measured).</t>
  </si>
  <si>
    <t>Providing and fixing aluminium tower bolts, ISI marked, anodised (anodic coating not less than grade AC 10 as per IS : 1868 ) transparent or dyed to required colour or shade, with necessary screws etc. complete :</t>
  </si>
  <si>
    <t>6.10 a, 9.97.2 pg 457 Noida</t>
  </si>
  <si>
    <t>CP 200 Sr. No 6.10 a, 9.97.2</t>
  </si>
  <si>
    <t>Providing and fixing chromium plated brass 100 mm mortice latch and lock with 6 levers and a pair of lever handles of approved quality with necessary screws etc. complete</t>
  </si>
  <si>
    <t>Aluminium extruded section bodytubular type universal hydraulic door closer(having brand logo with ISI, IS : 3564,embossed on the body, door weight upto 36kg to 80 kg and door width from 701 mm to1000 mm) with double speed adjustmentwith necessary accessories and screws etc.complete.</t>
  </si>
  <si>
    <t>Providing and applying white cementbased putty of average thickness 1 mm, ofapproved brand and manufacturer, over theplastered wall surface to prepare the surfaceeven and smooth complete.</t>
  </si>
  <si>
    <r>
      <rPr>
        <sz val="11"/>
        <color theme="1"/>
        <rFont val="Calibri"/>
        <family val="2"/>
      </rPr>
      <t xml:space="preserve">Providing &amp; applying two or more coats of high quality luxury interior grade acrylic emulsion paint (first two coats are with brush and final coat is with roller) of desired shade for internal wall, including a priming coat with alkali resistant primer/cement (water or solvent based) primer and applying required coats (min two coats) of cement putty of Birla make or equivalent (with whiting chalk and linseed oil of approved make, brand and manufacture, on any surfaces, at all heights, to give an even shade after thoroughly brushing the surface free from mortar dropping and other foreign matter and also including preparing the surface even and sand papered smooth etc., after applying every coat of putty/primer, complete, as directed. The rate shall also include the cost of filler for cracks on the surfaces. </t>
    </r>
    <r>
      <rPr>
        <b/>
        <sz val="11"/>
        <color theme="1"/>
        <rFont val="Calibri"/>
        <family val="2"/>
      </rPr>
      <t>Make- Dulux/Asain/ICI or equal as approved by Architect/Client</t>
    </r>
  </si>
  <si>
    <t>Wall painting with premium acrylicemulsion paint of interior grade, having VOC(Volatile Organic Compound ) content lessthan 50 grams/ litre of approved brand andmanufacture, including applying additionalcoats wherever required to achieve evenshade and colour.// 13.83.2 :-</t>
  </si>
  <si>
    <t xml:space="preserve"> Two coats</t>
  </si>
  <si>
    <r>
      <rPr>
        <sz val="11"/>
        <color theme="1"/>
        <rFont val="Calibri"/>
        <family val="2"/>
      </rPr>
      <t xml:space="preserve">Providing &amp; applying two or more coats of high quality luxury interior grade acrylic emulsion paint (first two coats are with brush and final coat is with roller) of desired shade for ceiling, including a priming coat with alkali resistant primer/cement (water or solvent based) primer and applying required coats (min two coats) of cement putty of Birla make or equivalent (with whiting chalk and linseed oil of approved make, brand and manufacture, on any surfaces, at all heights, to give an even shade after thoroughly brushing the surface free from mortar dropping and other foreign matter and also including preparing the surface even and sand papered smooth etc., after applying every coat of putty/primer, complete, as directed. The rate shall also include the cost of filler for cracks on the surfaces. </t>
    </r>
    <r>
      <rPr>
        <b/>
        <sz val="11"/>
        <color theme="1"/>
        <rFont val="Calibri"/>
        <family val="2"/>
      </rPr>
      <t>Make- Dulux/Asain/ICI or equal as approved by Architect/Client</t>
    </r>
  </si>
  <si>
    <t>With water thinnable cementprimer on wall surface having VOC contentless than 50 grams/litre</t>
  </si>
  <si>
    <t>Providing and fixing Carpet flooring using Carpet Tile of approved make, shade and pattern and of the following specification: High Cut – Low Loop Carpet tile, Premium Solution Dyed Nylon with Anti Stain Treatment, 1/10 gauge, minimum Pile height should be 8.0mm Cut and 3.5mm Loop or with acceptable tolerance, total minimum thickness 9.0mm, Tile size should be minimum 500mm x 500mm, Secondary Back Commercial 100% Re-cyclable. Wear Warranty– product should be warranted for10 Year Warranty with minimum weight loss of pile and colour. All yarns used are Solution dyed to minimize use of water and exclude any effluent production.</t>
  </si>
  <si>
    <t>Providing &amp; fixing Vertical Linear Baffle Ceiling made out of Aluminum Extrusion in Aluminum alloy grade 6063. The baffle blade shall be in size of 100x25x3600mm in powder coated Black finish. The baffle blade shall be suspended using Slotted U-profile at on-center spacing in multiples of 25mm.Longer lengths of Baffle to be connected by Baffle Joiner and the ends to be fixed with End cap sInstallation of U-Grid: The U profile to be suspended at every 1200mm on-centre using 6mm threaded rod from the structural soffit using U-profile hanger. U-profile splice to be used to join more than one U profiles of length 3.75M. 1st U-Grid Channel must be no more than 400mm from the perimeter
Installation of Baffles: 
Locate the slot for Baffle Hangers in U Profile section at 1200mm centres. Hangers are inserted into the slot, then rotated 90° and fixed into position by tightening the grub screw. Baffle to be lifted into position and hangers engage over lip of U-Grid Channel. Each Hanger to be secured into position by inserting the Locking Clip. 
When doing continuous installation, Baffles blades are to be connected at ends with Baffle Joiner, which are inserted into the top and bottom slots of the Baffle closed profile for alignment only. The bottom Joiner to be located first and fastened on one side only. The top Joiner to be fitted then and secured with grub screws on one side. Then the two Baffle sections shall be joined and the top Joiner is screw fastened on the 2nd Baffle profile.
End Caps to be located by pushing the End Cap tongues into open Baffle slots.
Installation to be carried out by Trained Installation team &amp; Installation should be carried out as per recommended procedure.</t>
  </si>
  <si>
    <t xml:space="preserve"> </t>
  </si>
  <si>
    <t>Fixed Furniture</t>
  </si>
  <si>
    <t>Modular Furniture</t>
  </si>
  <si>
    <t>Sr. No</t>
  </si>
  <si>
    <t>Amount</t>
  </si>
  <si>
    <t xml:space="preserve">LAR Page No. </t>
  </si>
  <si>
    <t>CP 205 Sr no. 12.45.1</t>
  </si>
  <si>
    <t>SUBHEAD 9: MUSICAL WATER FOUNTAIN</t>
  </si>
  <si>
    <t>Pg 485-489 Noida</t>
  </si>
  <si>
    <t>Total for Musical Fountain in Admin Building</t>
  </si>
  <si>
    <t>TOTAL for Water Fountain</t>
  </si>
  <si>
    <t>SUBHEAD 7: MISCELLANEOUS</t>
  </si>
  <si>
    <t>Pg 476 to 477 Noida</t>
  </si>
  <si>
    <t>a</t>
  </si>
  <si>
    <t>b</t>
  </si>
  <si>
    <r>
      <rPr>
        <b/>
        <i/>
        <sz val="11"/>
        <color rgb="FF000000"/>
        <rFont val="Times New Roman"/>
        <family val="1"/>
      </rPr>
      <t xml:space="preserve">TOTAL for </t>
    </r>
    <r>
      <rPr>
        <b/>
        <sz val="11"/>
        <color rgb="FF000000"/>
        <rFont val="Times New Roman"/>
        <family val="1"/>
      </rPr>
      <t xml:space="preserve">MISCELLANEOUS WORKS </t>
    </r>
  </si>
  <si>
    <t xml:space="preserve">PASSAGE </t>
  </si>
  <si>
    <t>FIRST FLOOR</t>
  </si>
  <si>
    <t>NOS</t>
  </si>
  <si>
    <t>SQFT</t>
  </si>
  <si>
    <t>PASSAGE</t>
  </si>
  <si>
    <t>TRAINING CENTRE</t>
  </si>
  <si>
    <t>LOUNGE</t>
  </si>
  <si>
    <t>less laminate Conference Room</t>
  </si>
  <si>
    <t xml:space="preserve">compactor </t>
  </si>
  <si>
    <t>Common Toilet Area</t>
  </si>
  <si>
    <t>Hand Washing Area</t>
  </si>
  <si>
    <t>WC Area</t>
  </si>
  <si>
    <t>Urinal Area</t>
  </si>
  <si>
    <t>GENTS TOILET</t>
  </si>
  <si>
    <t>LADIES TOILET</t>
  </si>
  <si>
    <t>Assistance Office 1</t>
  </si>
  <si>
    <t>Assistance Office 2</t>
  </si>
  <si>
    <t>Ass. Office Attached Toilet 1</t>
  </si>
  <si>
    <t>BO OFFICE 1</t>
  </si>
  <si>
    <t>BO OFFICE 2</t>
  </si>
  <si>
    <t>BO OFFICE 3</t>
  </si>
  <si>
    <t>BO OFFICE 4</t>
  </si>
  <si>
    <t>Assistance Office 3</t>
  </si>
  <si>
    <t>Assistance Office 4</t>
  </si>
  <si>
    <t>Assistance Office 5</t>
  </si>
  <si>
    <t>Assistance Office 6</t>
  </si>
  <si>
    <t>Assistant Office 1</t>
  </si>
  <si>
    <t>Assistance Office-2</t>
  </si>
  <si>
    <t>less window</t>
  </si>
  <si>
    <t>less window upper</t>
  </si>
  <si>
    <t>BO OFFICE 1 Towards Window Wall</t>
  </si>
  <si>
    <t>BO OFFICE 2 Towards Window Wall</t>
  </si>
  <si>
    <t>2nd Floor Kitchen(cooking)</t>
  </si>
  <si>
    <t>2nd Floor Kitchen(cooking)verticle</t>
  </si>
  <si>
    <t>GF Pantry (cooking)</t>
  </si>
  <si>
    <t>GF Pantry(washbasin)</t>
  </si>
  <si>
    <t>GF Pantry (cooking)verticle</t>
  </si>
  <si>
    <t>co. gents toilet(wash basin)(gf.ff)</t>
  </si>
  <si>
    <t>co. ladies toilet(wash basin)(gf.ff)</t>
  </si>
  <si>
    <t>Urinal Divider(gf.ff)</t>
  </si>
  <si>
    <t>ledge wall</t>
  </si>
  <si>
    <t>co. gents toilet (gf.ff)ledge wall</t>
  </si>
  <si>
    <t>co. ladies toilet (gf.ff)ledge wall</t>
  </si>
  <si>
    <t>att.toilet(conference room)</t>
  </si>
  <si>
    <t>basin platform</t>
  </si>
  <si>
    <t>rest room toilet(2nd floor)</t>
  </si>
  <si>
    <t>master bedroom toilet(2nd floor)</t>
  </si>
  <si>
    <t>co.toilet (2nd floor)</t>
  </si>
  <si>
    <t>att.toilet(Counter basin)(gf.ff.2ndfloor)</t>
  </si>
  <si>
    <t>att.toilet(ledge wall)(gf.ff.2ndfloor)</t>
  </si>
  <si>
    <t>Flooring</t>
  </si>
  <si>
    <t>double heighted entrance</t>
  </si>
  <si>
    <t>entrance steps trade</t>
  </si>
  <si>
    <t>entrance steps riser</t>
  </si>
  <si>
    <t>reception and waiting area</t>
  </si>
  <si>
    <t>passage</t>
  </si>
  <si>
    <t>ps office</t>
  </si>
  <si>
    <t>ELECTRICAL ROOM</t>
  </si>
  <si>
    <t>SERVER AREA</t>
  </si>
  <si>
    <t>WORKSTATION</t>
  </si>
  <si>
    <t>COMPACTOR</t>
  </si>
  <si>
    <t>ASSISATANT OFFICE 2</t>
  </si>
  <si>
    <t>ASSISATANT OFFICE 1</t>
  </si>
  <si>
    <t>ASSISTANT OFFICE 1</t>
  </si>
  <si>
    <t>ASSISTANT OFFICE 2</t>
  </si>
  <si>
    <t>ASSISTANT OFFICE 3</t>
  </si>
  <si>
    <t>ASSISTANT OFFICE 4</t>
  </si>
  <si>
    <t>ASSISTANT OFFICE 5</t>
  </si>
  <si>
    <t>ASSISTANT OFFICE 6</t>
  </si>
  <si>
    <t>STORAGE</t>
  </si>
  <si>
    <t>WATER COOLER</t>
  </si>
  <si>
    <t>LOBBY STAIRCASE</t>
  </si>
  <si>
    <t>LOBBY LIFT</t>
  </si>
  <si>
    <t>CAFETERIA</t>
  </si>
  <si>
    <t>STORE</t>
  </si>
  <si>
    <t>KITCHEN &amp; DINING</t>
  </si>
  <si>
    <t>LIVING ROOM</t>
  </si>
  <si>
    <t>ELECTRIC ROOM</t>
  </si>
  <si>
    <t>CONFERENCE ROOM TOILET</t>
  </si>
  <si>
    <t xml:space="preserve">CONFERENCE ROOM </t>
  </si>
  <si>
    <t>CPM OFFICE ATT. BATHROOM</t>
  </si>
  <si>
    <t>LADIES TOILET ENTRY</t>
  </si>
  <si>
    <t>LADIES TOILET WASH BASIN</t>
  </si>
  <si>
    <t>Italian Marble FLOORING</t>
  </si>
  <si>
    <t>LADIES TOILET WC</t>
  </si>
  <si>
    <t>GENTS TOILET ENTRY</t>
  </si>
  <si>
    <t>GENTS TOILET WC</t>
  </si>
  <si>
    <t>GENTS TOILET UINAL</t>
  </si>
  <si>
    <t>ASSISTANT OFFICE ATT. BATHROOM</t>
  </si>
  <si>
    <t>CAFETERIA ATT. BATHROOM</t>
  </si>
  <si>
    <t>CO. TOILET</t>
  </si>
  <si>
    <t>RESTROOM TOILET</t>
  </si>
  <si>
    <t>MASTER BEDROOM TOILET</t>
  </si>
  <si>
    <t>SKIRTING</t>
  </si>
  <si>
    <t xml:space="preserve">LOBBY </t>
  </si>
  <si>
    <t>WALL A &amp; C</t>
  </si>
  <si>
    <t>WALL B&amp;D</t>
  </si>
  <si>
    <t>Ladies Toilet WALL</t>
  </si>
  <si>
    <t>Gents Toilet Wall</t>
  </si>
  <si>
    <t>less door</t>
  </si>
  <si>
    <t>Assistant Office Attached Bathroom</t>
  </si>
  <si>
    <t>Cafeteria Attached Washroom</t>
  </si>
  <si>
    <t>Rest Room Att. WashRoom</t>
  </si>
  <si>
    <t>Co. Toilet</t>
  </si>
  <si>
    <t>Master Bed Room</t>
  </si>
  <si>
    <t>Reception And Waiting Area</t>
  </si>
  <si>
    <t>Double Height Feature Wall</t>
  </si>
  <si>
    <t>Entrance Door</t>
  </si>
  <si>
    <t>Lift</t>
  </si>
  <si>
    <t>Electrical Room</t>
  </si>
  <si>
    <t>Compactor</t>
  </si>
  <si>
    <t>less puncture</t>
  </si>
  <si>
    <t>Assistance Office4,5,6</t>
  </si>
  <si>
    <t>water cooler</t>
  </si>
  <si>
    <t>Less Punctures</t>
  </si>
  <si>
    <t>BO office 1</t>
  </si>
  <si>
    <t>BO office 2</t>
  </si>
  <si>
    <t>BO office 3</t>
  </si>
  <si>
    <t>BO office 4</t>
  </si>
  <si>
    <t>assistant office 3</t>
  </si>
  <si>
    <t>assistant office 2</t>
  </si>
  <si>
    <t>assistant office 1</t>
  </si>
  <si>
    <t>assistant office 4</t>
  </si>
  <si>
    <t>assistant office 5</t>
  </si>
  <si>
    <t>assistant office 6</t>
  </si>
  <si>
    <t>workstation</t>
  </si>
  <si>
    <t>Less Punctures(door)</t>
  </si>
  <si>
    <t>Less Punctures(window)</t>
  </si>
  <si>
    <t>Training Centre</t>
  </si>
  <si>
    <t>Passsage</t>
  </si>
  <si>
    <t>Mater Bed Room</t>
  </si>
  <si>
    <t xml:space="preserve">Reception And Waiting Area </t>
  </si>
  <si>
    <t>wall paneling</t>
  </si>
  <si>
    <t>wall paneling A</t>
  </si>
  <si>
    <t>Less Puncture (Glass Partition)</t>
  </si>
  <si>
    <t>Less Puncture (double height)</t>
  </si>
  <si>
    <t>Passage Area Column</t>
  </si>
  <si>
    <t>Passage Wall</t>
  </si>
  <si>
    <t>Less Punctures (door)</t>
  </si>
  <si>
    <t>Assistant Office 2</t>
  </si>
  <si>
    <t>BO Office 1</t>
  </si>
  <si>
    <t>BO Office 2</t>
  </si>
  <si>
    <t>BO Office 3</t>
  </si>
  <si>
    <t>BO Office 4</t>
  </si>
  <si>
    <t>Assistant Office 3</t>
  </si>
  <si>
    <t>Assistant Office 4</t>
  </si>
  <si>
    <t>Assistant Office 6</t>
  </si>
  <si>
    <t>Master Bed Room (Wall A)</t>
  </si>
  <si>
    <t>Master Bed Room (Wall C)</t>
  </si>
  <si>
    <t>Rest Room (Wall C)</t>
  </si>
  <si>
    <t>Rest Room (Wall A)</t>
  </si>
  <si>
    <t>2nd Floor Kitchen (washbasin)</t>
  </si>
  <si>
    <t>2nd Floor Kitchen(service)vereticle</t>
  </si>
  <si>
    <t>2nd Floor Kitchen(service)</t>
  </si>
  <si>
    <t>CPM Office Att. Wash Room</t>
  </si>
  <si>
    <t>Conference Room Att. Wash Room</t>
  </si>
  <si>
    <t>Assistant Att. Wash Room</t>
  </si>
  <si>
    <t>Co.Washroom</t>
  </si>
  <si>
    <t>Cafeteria Att. Wash Room</t>
  </si>
  <si>
    <t>Water Cooler Area (Rectangle)</t>
  </si>
  <si>
    <t xml:space="preserve">Workstation Area </t>
  </si>
  <si>
    <t>Water Cooler Area (Triangle)</t>
  </si>
  <si>
    <t>Kitchen And Dining Area</t>
  </si>
  <si>
    <t>CPM OFFICE Att. Conference Room</t>
  </si>
  <si>
    <t>Main Entrance</t>
  </si>
  <si>
    <t>Less STRETCH CEILING</t>
  </si>
  <si>
    <t>WASHROOM</t>
  </si>
  <si>
    <t>12.45</t>
  </si>
  <si>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 4 coarse sand), joints treated with white cement,
mixed with matching pigment, epoxy touch ups, including rubbing, curing,
moulding and polishing to edges to give high gloss finish etc. complete
at all levels.</t>
  </si>
  <si>
    <t>Providing edge moulding to 18 mm thick marble stone counters, Vanities
etc., including machine polishing to edge to give high gloss finish etc.
complete as per design approved by Engineer-in-Charge.</t>
  </si>
  <si>
    <t>Granite work(Polish work)</t>
  </si>
  <si>
    <t>Staircase Ground to 1st Floor Riser</t>
  </si>
  <si>
    <t>Staircase 1st to 2nd Floor Riser</t>
  </si>
  <si>
    <t>Providing and laying machine cut, mirror polished, Italian Marble stone
flooring laid in required pattern in linear portion of the building all complete
as per architectural drawings, with 18 mm thick stone slab laid over 20
mm (average) thick base of cement mortar 1:4 (1 cement : 4 coarse
sand) laid and jointed with white cement slurry @ 4.4 kg/sqm including
pointing with white cement slurry admixed with pigment to match the
marble shade including rubbing, curing and polishing etc. all complete
as specified and as directed by the Engineer-in-Charge.</t>
  </si>
  <si>
    <t>Double Height Entrance</t>
  </si>
  <si>
    <t>Providing and laying machine cut, mirror polished Marble stone flooring,
in required design (Simple geometrical, abstract etc.) and in patterns in
combination with Italian marble stones of different colours, shades and
finished surface texture etc., in linear portions of the building, all complete
as per the architectural drawings, with 18 mm thick stone slab laid over
20 mm (average) thick base of cement mortar 1:4 (1 cement : 4 coarse
sand) laid and jointed with white cement slurry @ 4.4 kg/sqm, including
pointing with white cement slurry admixed with pigment to match the
marble shade, including rubbing, curing and polishing etc. all complete
as specified and as directed by the Engineer-in-Charge.</t>
  </si>
  <si>
    <t>Italian Marble Pattern</t>
  </si>
  <si>
    <t>WASH ROOM GROUND FLOOR</t>
  </si>
  <si>
    <t>WASH ROOM FIRST FLOOR</t>
  </si>
  <si>
    <t>WASH ROOM SECOND FLOOR</t>
  </si>
  <si>
    <t>Wall Punning|Wall Putty|Primer|Wall Colour</t>
  </si>
  <si>
    <t>Ceiling Putty|Primer|Ceiling Colour</t>
  </si>
  <si>
    <t>GLASS PARTITONS 
Thin Profile Glass Partition: Providing &amp; Fixingof Single glazed modular systemconsist of Aluminium section of 40x16 MM. All sections duly Powdercoated/anodised with 6063-T6 grade and required accessories i.e glass to glass aluminium I sections, T section &amp; 90 degreesections &amp; Glass packing to adjust the floorlevel. Ceiling profile, Floor profile and wallprofile are 16 mm visible face and 40 mm wide with 10mm toughen glass as perapproved make &amp; insertion of Thermoplastic gasket to adhere the glass firm &amp; airtight.Thesound reduction Value is from 32 to 35Db. Accessories/Hardware: neutral cure glazed &amp;metal silicon sealant of approved make onthe periphery of the glass &amp; woodetc.Partition ht will be measured from finishfloor to false ceiling level only. The rate shallbe in sq.mt for all floors and at all heightsincluding all costs. Work complete including all type of material, fittings,fixtures, Finish, loading, unloading,transporation, all leads, accessories, safety measures, sample mockup, all floor, all levels, all heights etc complete as pre detailed drawings, specifications &amp; instruction of architect.</t>
  </si>
  <si>
    <t>GLASS DOORS (Double Leaf)
 Glass Door: Supply &amp; Installationof Modular Aluminium Glass door frame of equivalent make 40mm System,Using 40mm x16mm for Glass door frame DoorframeDimension - 40mm x 16mm. Finish -Powder coating as per approved sample by Architect .10mm thk. clearthoughened Glass. Floor spring  , Mortise lock with handle, Doorstopper etc complete. Work complete including all type of material, fittings, fixtures, Finish, loading, unloading, transporation, all leads, accessories, samplemockup, all floo, all levels, all heights, necessary frame work, Scaffolding , safetymeasures etc complete as per detaileddrawings ,specifications &amp; instruction of architect.</t>
  </si>
  <si>
    <t>GLASS DOORS (Single Leaf)
 Glass Door: Supply &amp; Installationof Modular Aluminium Glass door frame of equivalent make 40mm System,Using 40mm x16mm for Glass door frame DoorframeDimension - 40mm x 16mm. Finish -Powder coating as per approved sample by Architect .10mm thk. clearthoughened Glass. Floor spring  , Mortise lock with handle, Doorstopper etc complete. Work complete including all type of material, fittings, fixtures, Finish, loading, unloading, transporation, all leads, accessories, samplemockup, all floo, all levels, all heights, necessary frame work, Scaffolding , safetymeasures etc complete as per detaileddrawings ,specifications &amp; instruction of architect.</t>
  </si>
  <si>
    <t>CEILING (BAFFLE CEILING)
Providing &amp; fixing Vertical Linear Baffle Ceiling made out of Aluminum Extrusion in Aluminum alloy grade 6063. The baffle blade shall be in size of 100x25x3600mm in powder coated as per selection(wooden finish). The baffle blade shall be suspended using Slotted U-profile at on-center spacing in multiples of 25mm.Longer lengths of Baffle to be connected by Baffle Joiner and the ends to be fixed with End caps, including all type of material, fittings, fixtures, loading, unloading, transporation, all leads, accessories, samplemockup, necessary frame work, safetymeasures etc. complete as per drawings, specifications &amp; instruction of architect.</t>
  </si>
  <si>
    <t>CEILING (WOODEN CEILING)
Providing and fixing frame work for ceiling made of 12 mm thick marine plywood conforming to IS: 710 , with framing of 60X40mm hollow aluminium box section, placed along ceiling in a grid pattern with spacing @ 60 cm centre to centre both ways or at required spacing near fixing the frame to wall/ ceiling with required screw, including making provision for opening of electrical conduits, switch boards etc., including fixing of one side laminate of 1mm thickness, including all materials required for finishing such as adhesive, fibre/paper tape &amp; screws, labor, tools, Protection, machinery, equipment etc. complete, all as per direction of Engineer-in-charge.</t>
  </si>
  <si>
    <t>EACH</t>
  </si>
  <si>
    <t>GF Pantry (cooking) Platform</t>
  </si>
  <si>
    <t>GF Pantry(washbasin) Platform</t>
  </si>
  <si>
    <t>GF Pantry (cooking)verticle Platform</t>
  </si>
  <si>
    <t>2nd Floor Kitchen(cooking)Platform</t>
  </si>
  <si>
    <t>2nd Floor Kitchen (washbasin) Platform</t>
  </si>
  <si>
    <t>2nd Floor Kitchen(service) Platform</t>
  </si>
  <si>
    <t>2nd Floor Kitchen(service)vereticle Platform</t>
  </si>
  <si>
    <t>2nd Floor Kitchen(cooking)verticle Platform</t>
  </si>
  <si>
    <t>co. gents toilet(wash basin TOP)(gf.ff)</t>
  </si>
  <si>
    <t>co. ladies toilet(wash basin TOP)(gf.ff)</t>
  </si>
  <si>
    <t>att.toilet(Counter basin TOP)(gf.ff.2ndfloor)</t>
  </si>
  <si>
    <t xml:space="preserve">att.toilet(conference room) </t>
  </si>
  <si>
    <t>Providing and laying water proofing treatment in sunken portion of
WCs, bathroom etc., by applying cement slurry mixed with water
proofing cement compound consisting of applying :
(a) First layer of slurry of cement @ 0.488 kg/sqm mixed with
water proofing cement compound @ 0.253 kg/ sqm. This
layer will be allowed to air cure for 4 hours.
(b) Second layer of slurry of cement @ 0.242 kg/sqm mixed
with water proofing cement compound @ 0.126 kg/sqm. This
layer will be allowed to air cure for 4 hours followed with water
curing for 48 hours.
The rate includes preparation of surface, treatment and sealing of all 
joints, corners, junctions of pipes and masonry with polymer mixed
slurry.  RATE/sqm 516.60</t>
  </si>
  <si>
    <t>Flooring (Vitrified tile) (Size of Tile 600 x 1200 mm)
Providing and laying Vitrified tiles in floor in(Size of Tile 600 x 1200 mm,Glazed Vitrified tiles Matt/Antiskid finish) (thickness to be specified by the manufacturer) with water absorption less than 0.08% and conforming to IS:15622, of approved brand &amp; manufacturer, in all colours and shade, laid on 20 mm thick cement mortar 1:4 (1 cement: 4 coarse sand) jointing with grey cement slurry @3.3 kg/sqm including Grouting the joints of flooring tiles having joints of 3 mm width, using epoxy grout mix of 0.70 kg of organic coated filler of desired shade (0.10 kg of hardener and 0.20 kg of resin per kg), including filling / grouting and finishing complete as per direction of Engineer-in-charge.
The tiles must be cut with the zero chipping diamond cutter only . Laying of tiles will be done with the notch trowel, plier, wedge, clips of required thickness, leveling system and rubber mallet for placing the tiles gently and easily.</t>
  </si>
  <si>
    <t>NS ITEM 2</t>
  </si>
  <si>
    <t>NS ITEM 3</t>
  </si>
  <si>
    <t>NS ITEM 4</t>
  </si>
  <si>
    <t xml:space="preserve"> WOODEN PARTITIONS 
Providing and fixing frame work for partitions/ wall lining etc. made of 
12 mm thick marine plywood conforming to IS: 710 on both sides, with framing of 60X40mm hollow aluminium box section, placed along the walls, ceiling floor and free standing in a grid pattern with spacing @ 60 cm centre to centre both ways (vertically &amp; horizontally) or at required spacing near opening, with necessary fixing at junctions and fixing the frame to wall/ ceiling/
floors with required screw, including making provision for opening of doors, windows, electrical conduits, switch boards etc., including fixing of two side laminate of 1mm thickness, including all materials required for finishing such as adhesive, fibre/paper tape &amp; screws, labor, tools, Protection, machinery, equipment etc. complete, all as per direction of Engineer-in-charge.</t>
  </si>
  <si>
    <t>WOODEN PANELING
Providing and fixing 12 mm thick marine plywood conforming to IS: 710 along the walls, ceiling and floor, including making provision for electrical conduits, switch boards etc., including fixing of laminate of 1mm thickness, including all materials required for finishing such as adhesive, fibre/paper tape &amp; screws, labor, tools, Protection, machinery, equipment etc. complete, all as per direction of Engineer-in-charge.</t>
  </si>
  <si>
    <t>NS ITEM 7</t>
  </si>
  <si>
    <t>NS ITEM 8</t>
  </si>
  <si>
    <t>NS ITEM 9</t>
  </si>
  <si>
    <t>WOODEN DOOR WITH WOODEN FRAME 
Providing and fixing ISI marked 35 mm thick flush door shutters conforming to IS: 2202(Part I) decorative type, core of block board construction with frame of Second class teakwood (150 mm x 65mm) and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bright finished door closer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excluded) (overall area of door shutter to be
measured)</t>
  </si>
  <si>
    <t>WOODEN DOOR IN STONE FRAME (ALL TOILETS)
Providing and fixing ISI marked 35 mm thick flush door shutters conforming to IS: 2202(Part I) decorative type, core of block board construction with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excluded) (overall area of door shutter to be
measured)</t>
  </si>
  <si>
    <t>NS ITEM 11</t>
  </si>
  <si>
    <t>NS ITEM 13</t>
  </si>
  <si>
    <t>NS ITEM 14</t>
  </si>
  <si>
    <t>NS ITEM 15,16,17,18,19</t>
  </si>
  <si>
    <t>NS ITEM 20</t>
  </si>
  <si>
    <t>URINAL 
Providing and fixing white vitreous china battery based infrared sensor operated urinal (URINAL BODY_(URS-WHT-13253N or equivalent)) , SENSOR_(SNR-HTL-51083 or equivalent)) or equivallent of approx. size 610x390x370 mm having pre &amp; post flushing with water (250 ml &amp; 500  ml consumption), consumption), having water inlet from back side, including fixing to wall with suitable brackets all as per manufacturers specification and direction of Engineer-in-charge</t>
  </si>
  <si>
    <t>NS ITEM 1</t>
  </si>
  <si>
    <t>Groove 
Providing &amp; making of groove between false ceiling &amp; wall of 6 mm X 6 mm groove . Above rates includes all materials required for finishing of groove such as jointing compound, fibre/paper tape &amp; dry wall screws, labor, tools, Tackles, Protection, machinery, Lead, lift, equipment etc.</t>
  </si>
  <si>
    <t>WALL DADO(Vitrified tile)(Size of Tile 600 x 1200 mm)
Providing and fixing Vitrified tiles in wall lining in(Size of Tile 600 x 1200 mm, Glazed Vitrified tiles Matt/Antiskid finish)(thickness to be specified by the manufacturer) with water absorption less than 0.08% and conforming to IS:15622, of approved brand &amp; manufacturer, in all colours and shade, fix with cement based high polymer modified quick set tile adhesive (water based) conforming to IS: 15477, in average 6 mm thickness, including Grouting the joints having joints of 3 mm width, using epoxy grout mix of 0.70 kg of organic coated filler of desired shade (0.10 kg of hardener and 0.20 kg of resin per kg), including filling / grouting and finishing complete as per direction of Engineer-in-charge. 
The tiles must be cut with the zero chipping diamond cutter only . Laying of tiles will be done with the notch trowel, plier, wedge, clips of required thickness, leveling system and rubber mallet for placing the tiles gently and easily.</t>
  </si>
  <si>
    <t xml:space="preserve">WALL DADO (Italian Marble stone)
Providing and fixing machine cut, mirror polished Marble stone for wall lining,
in required design (Simple geometrical, abstract etc.) and in patterns in
combination with Italian marble stones of different colours, shades and
finished surface texture etc., on walls\Partition, all complete as per the architectural drawings, with 18 mm thick stone slab fix with cement based high polymer modified quick set stone adhesive including Grouting the joints having joints, using italian stone adhesive grout mix, including filling / grouting and finishing to match the marble shade, including rubbing, curing and polishing etc. all complete as specified and as directed by the Engineer-in-Charge. </t>
  </si>
  <si>
    <t>NS ITEM 5</t>
  </si>
  <si>
    <t>WALL PUNNING
Providing and applying 12 mm thick (average) premixed formulated
one coat gypsum lightweight plaster having additives and light weight
aggregates as vermiculite/ perlite respectively conforming to IS: 2547
(Part - 1 &amp; II) 1976, applied on hacked / uneven background such as
bare brick/ block/ RCC work on walls &amp; ceiling at all floors and
locations, finished in smooth line and level etc. complete.</t>
  </si>
  <si>
    <t>9,10,11</t>
  </si>
  <si>
    <t>8,9,10,11</t>
  </si>
  <si>
    <t>W.C. 
Providing and fixing white vitreous china extended wall mounting water closet (CNS-WHT-961SPP OR EQUIVALLENT) of size 365x545x360 mm of approved shape including providing &amp; including seat cover, and nuts, bolts and gasket etc complete.
W.C. FLUSH TANK
Supplying, Installation, Testing and Commissioning of Single piece slim concealed cistern body with installation kit &amp; "S-type" (JCS-WHT-2400S OR EQUIVALLENT), drain pipe connection set for wall hung wc , nuts, bolts and gasket etc. complete including cutting and making good the wall wherever required.
W.C. FLUSH TANK PLATE
Supplying, Installation, Testing and Commissioning of Control plate for concealed cistern (JCP-CHR-352415 or equivalent) including cutting and making good the wall wherever required.
 2 WAY BIB COCK
Providing, Fixing testing and comimissioning of 15mm dia C.P. brass 2 way bib cock (ARI-CHR-39041 or equivalent) with C.P. wall flange of approved quality and making good.</t>
  </si>
  <si>
    <t>NS ITEM 22</t>
  </si>
  <si>
    <t>BASIN
Supply &amp; Fixing of Counter top basin (CNS-WHT-903 or equivalent) of size 425x340x175 mm Including of required plumbing Accessories andConsumable Item complete as directed byarchitect or engineer in charge.</t>
  </si>
  <si>
    <t>BASIN
Supply &amp; Fixing of Counter top basin (JDR-WHT-25907N or equivalent) of size 530x420x140 mm Including of required plumbing Accessories i.e. waste coupling 32 mm (ALE-CHR-544NFT or equivalent) and Consumable Item complete as directed byarchitect or engineer in charge.</t>
  </si>
  <si>
    <t>NS ITEM 23</t>
  </si>
  <si>
    <t>NS ITEM 24</t>
  </si>
  <si>
    <t>BOTTLE TRAP
Providing and fixing CP Brass 32mm size Bottle Trap (ALE-CHR-773ML300X125 or equivalent) of approved quality &amp; make and as per the direction of Engineer-in-charge.</t>
  </si>
  <si>
    <t>DIVERTER
Providing and fixing exposed and concealed parts kit of high flow diverter (KUP-CHR-35079NKPM or equivalent) consisting of operating leaver cartradige sleeve wall flange with seals button assembly sleeve and button compatibility with with concealed part (ALD-CHR-079N or equivalent) .</t>
  </si>
  <si>
    <t>NS ITEM 26,27,28</t>
  </si>
  <si>
    <t>ROLLER BLINDS
Providing and fixing roller blinds of approved shade conformning to the following Technical Specifications: Roller blind fabric should be made up of 35% Fiberglass, 65% Vinyl on Fiberglass, it should have specific low emissivity treatment and Lead free with Greenguard Gold certification. Fabric should cut UV rays with 97% approximately and antimicrobial properties as per ASTM E 2180, ASTM G21 &amp; G22, AATCC30 Part 3, ASTM D 3273. One control unit is to be supplied for an area od 2.4sqm of blinds/ Roller Upper Tube: Made of high strength extruded aluminium alloy, finish powder coated with min 60 micron coating, Size of 40 mm outer dia and wall thickness of min. 1.2mm, Bottom Tube: Made of high strength extruded aluminium alloy, finish powder coated with min 60 micron coating, Size of 20 mm height and wall thickness of min. 1.2mm, Special feature. Control Unit: Made of high strength reinforced Nylon grade 6, consisting of outside sleeve and centre shaft, sleeve shall provide bearing surface of roller tube and rotate freely on centre shaft, providing smooth quiet and long wearing operations. Brackets: Fixing brackets is made of mild steel with zinc coating, made of thickness of min. 0.7mm. Ball Chain: Made of 2mm thickness polyester cord with moulded 4.5mm round plastic balls.</t>
  </si>
  <si>
    <t>NS ITEM 35</t>
  </si>
  <si>
    <t>Gypsum board to ceiling
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37mm, at
1200 mm centre to centre, one flange fixed to the ceiling with dash
fastener 12.5 mm dia x 50mm long with 6mm dia bolts, other flange
of cleat fixed to the angle hangers of 25x10x0.50 mm of required
length with nuts &amp; bolts of required size and other end of angle
hanger fixed with intermediate G.I. channels 45x15x0.9 mm running
at the spacing of 1200 mm centre to centre, to which the ceiling
section 0.5 mm thick bottom wedge of 80 mm with tapered flanges
of 26 mm each having lips of 10.5 mm, at 450 mm centre to centre,
shall be fixed in a direction perpendicular to G.I. intermediate channel
with connecting clips made out of 2.64 mm dia x 230 mm long G.I.
wire at every junction, including fixing perimeter channels 0.5 mm
thick 27 mm high having flanges of 20 mm and 30 mm long, the
perimeter of ceiling fixed to wall/partition with the help of rawl plugs
at 450 mm centre, with 25mm long dry wall screws @ 230 mm
interval, including fixing of gypsum board to ceiling section and
perimeter channel with the help of dry wall screws of size 3.5 x 25
mm at 230 mm c/c, including jointing and finishing to a flush finish
of tapered and square edges of the board with recommended jointing
compound , jointing tapes , finishing with jointing compound in 3
layers covering upto 150 mm on both sides of joint and two coats of
primer suitable for board, all as per manufacturer's specification and
also including the cost of making openings for light fittings, grills,
diffusers, cutouts made with frame of perimeter channels suitably
fixed, all complete as per drawings, specification and direction of
the Engineer in Charge but excluding the cost of painting with :</t>
  </si>
  <si>
    <t>11.55.1</t>
  </si>
  <si>
    <t>Flamed finish granite stone slab Jet Black, Cherry Red, Elite Brown, Cat Eye or equivalent.</t>
  </si>
  <si>
    <t xml:space="preserve">FOOTWAY </t>
  </si>
  <si>
    <t xml:space="preserve">GAZEBO AREA FLOORING </t>
  </si>
  <si>
    <r>
      <t xml:space="preserve">PAVER BLOCKS 
</t>
    </r>
    <r>
      <rPr>
        <sz val="16"/>
        <color theme="1"/>
        <rFont val="Calibri"/>
        <family val="2"/>
      </rPr>
      <t xml:space="preserve">Providing and laying factory made chamfered edge Cement Concrete
 paver blocks in footpath, parks, lawns, drive ways or light traffic
 parking etc, of required strength, thickness &amp; size/ shape, made by
 table vibratory method using PU mould, laid in required colour &amp;
 pattern over 50mm thick compacted bed of  sand, compacting and
 proper embedding/laying of inter locking paver blocks into the sand
 bedding layer through vibratory compaction by using plate vibrator,
 filling the joints with sand and cutting of paver blocks as per required
 size and pattern, finishing and sweeping extra sand. complete all as
 per direction of Engineer-in-Charge.
</t>
    </r>
  </si>
  <si>
    <t>16.91.2</t>
  </si>
  <si>
    <t xml:space="preserve"> 80 mm thick C.C. paver block of M-30 grade with approved
 color design and pattern.</t>
  </si>
  <si>
    <t>NS ITEAM</t>
  </si>
  <si>
    <t xml:space="preserve">TENSILE STRUCTURE FOR PARKING </t>
  </si>
  <si>
    <t xml:space="preserve">TENSILE FABRIC SHADE </t>
  </si>
  <si>
    <t xml:space="preserve">METAL WORK </t>
  </si>
  <si>
    <t xml:space="preserve">MS STRUCTURE FOR SHADE SUPPORT </t>
  </si>
  <si>
    <t xml:space="preserve">FLAG POLE </t>
  </si>
  <si>
    <t>NO'S</t>
  </si>
  <si>
    <t>NO</t>
  </si>
  <si>
    <t xml:space="preserve">PER PIECE </t>
  </si>
  <si>
    <t>SQMT</t>
  </si>
  <si>
    <t>TOTAL</t>
  </si>
  <si>
    <t xml:space="preserve">CPM OFFICE chamber </t>
  </si>
  <si>
    <t xml:space="preserve">Conference Room </t>
  </si>
  <si>
    <t xml:space="preserve">CPM OFFICE </t>
  </si>
  <si>
    <t>Ladies Toilet WC</t>
  </si>
  <si>
    <t>Gents Toilet WC</t>
  </si>
  <si>
    <t>WOODEN PARTITION DOOR 
Providing and fixing ISI marked 35 mm thick flush door shutters conforming to IS: 2202(Part I) decorative type, core of block board construction with frame of Second class teakwood (150 mm x 65mm) and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bright finished door closer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excluded) (overall area of door shutter to be
measured)</t>
  </si>
  <si>
    <t xml:space="preserve">Store Room </t>
  </si>
  <si>
    <t>Dining Area</t>
  </si>
  <si>
    <t xml:space="preserve">2.5 FT X 8FT DOOR </t>
  </si>
  <si>
    <t xml:space="preserve">3 FT X 8 FT DOOR </t>
  </si>
  <si>
    <t xml:space="preserve">Urinal </t>
  </si>
  <si>
    <t xml:space="preserve">CPM OFFICE TOILET </t>
  </si>
  <si>
    <t xml:space="preserve">CONFERENCE TOILET </t>
  </si>
  <si>
    <t xml:space="preserve">ASSISTANT OFFICE ATT TOILET </t>
  </si>
  <si>
    <t>Training Center TOILET</t>
  </si>
  <si>
    <t>Master Room TOILET</t>
  </si>
  <si>
    <t>NO.S</t>
  </si>
  <si>
    <t>3 FT  X 8 FT DOORS</t>
  </si>
  <si>
    <t>2.5 FT  X 8 FT DOORS</t>
  </si>
  <si>
    <t xml:space="preserve">PASSAGE DOOR </t>
  </si>
  <si>
    <t xml:space="preserve">LIVING ROOM DOOR </t>
  </si>
  <si>
    <t xml:space="preserve">MASTER BEDROOM DOOR </t>
  </si>
  <si>
    <t xml:space="preserve">REST ROOM TOILET </t>
  </si>
  <si>
    <t xml:space="preserve">3FT X 8FT DOOR </t>
  </si>
  <si>
    <t xml:space="preserve">2.5 FT X 8 FT DOOR </t>
  </si>
  <si>
    <t xml:space="preserve">GAZEBO METAL STRUCTURE </t>
  </si>
  <si>
    <t xml:space="preserve">BEAM 100X50X4MM </t>
  </si>
  <si>
    <t>PARGOLA 50X25X3MM</t>
  </si>
  <si>
    <t>COLUMN  100 DIA 5MM THICKNESS (12)</t>
  </si>
  <si>
    <t>NS ITEM 74</t>
  </si>
  <si>
    <r>
      <t xml:space="preserve">GAZEBO METAL STRUCTURE 
</t>
    </r>
    <r>
      <rPr>
        <sz val="16"/>
        <color theme="1"/>
        <rFont val="Calibri"/>
        <family val="2"/>
      </rPr>
      <t xml:space="preserve"> Providing and making Gazebo structure in metal work using 100mm DIA 5mm thick round hollow metal pipe with supporting beam of 100x50x4mm and Upper pargolas in circular pattern on top of 50x25x3mm size. Welding the structure with required machines. 
</t>
    </r>
  </si>
  <si>
    <t>kg</t>
  </si>
  <si>
    <t>13.47.1</t>
  </si>
  <si>
    <t xml:space="preserve"> Finishing walls with Premium Acrylic Smooth exterior paint with
 Silicone additives of required shade:</t>
  </si>
  <si>
    <t>New work (Two or more coats applied @ 1.43 ltr/10 sqm
 over and including priming coat of exterior primer applied
 @ 2.20 kg/10 sqm)</t>
  </si>
  <si>
    <t xml:space="preserve">EXTERIOR FAÇADE COLOUR </t>
  </si>
  <si>
    <t xml:space="preserve"> Finishing with Deluxe Multi surface paint system for interiors and
 exteriors using Primer as per manufacturers specifications :</t>
  </si>
  <si>
    <t>13.48.3</t>
  </si>
  <si>
    <t>Painting Steel work with Deluxe Multi Surface Paint to
give an even shade. Two or more coat applied @ 0.90 ltr/
10 sqm over an under coat of primer applied @ 0.80 ltr/
10 sqm of approved brand and manufacture</t>
  </si>
  <si>
    <t>NS ITEM_73</t>
  </si>
  <si>
    <t>EXTERIOR FAÇADE
Providing &amp; fixing Vertical Linear Baffle Ceiling made out of Aluminum Extrusion in Aluminum alloy grade 6063. The baffle blade shall be in size of 100x25x3600mm in powder coated Black finish. The baffle blade shall be suspended using Slotted U-profile at on-center spacing in multiples of 25mm.Longer lengths of Baffle to be connected by Baffle Joiner and the ends to be fixed with End caps.  Installation of U-Grid: The U profile to be suspended at every 1200mm on-centre using 6mm threaded rod from the structural soffit using U-profile hanger. U-profile splice to be used to join more than one U profiles of length 3.75M. 1st U-Grid Channel must be no more than 400mm from the perimeter Installation of Baffles: Locate the slot for Baffle Hangers in U Profile section at 1200mm centres. Hangers are inserted into the slot, then rotated 90° and fixed into position by tightening the grub screw. Baffle to be lifted into position and hangers engage over lip of U-Grid Channel. Each Hanger to be secured into position by inserting the Locking Clip.  When doing continuous installation, Baffles blades are to be connected at ends with Baffle Joiner, which are inserted into the top and bottom slots of the Baffle closed profile for alignment only. The bottom Joiner to be located first and fastened on one side only. The top Joiner to be fitted then and secured with grub screws on one side. Then the two Baffle sections shall be joined and the top Joiner is screw fastened on the 2nd Baffle profile. End Caps to be located by pushing the End Cap tongues into open Baffle slots. Installation to be carried out by Trained Installation team &amp; Installation should be carried out as per recommended procedure.</t>
  </si>
  <si>
    <t>FRONT FAÇADE GF</t>
  </si>
  <si>
    <t>FRONT FAÇADE SF</t>
  </si>
  <si>
    <t>LEFT SIDE FAÇADE GF</t>
  </si>
  <si>
    <t>LEFT SIDE FAÇADE SF</t>
  </si>
  <si>
    <t>BACK FAÇADE GF</t>
  </si>
  <si>
    <t>BACK FAÇADE SF</t>
  </si>
  <si>
    <t xml:space="preserve">TERRACOTTA JALI IN FAÇADE </t>
  </si>
  <si>
    <t xml:space="preserve">FRONT ELEVATION </t>
  </si>
  <si>
    <t xml:space="preserve">LEFT ELEVATION </t>
  </si>
  <si>
    <t xml:space="preserve">BACK ELEVATION </t>
  </si>
  <si>
    <t>JALI DESIGN ABOVE POARCH AREA</t>
  </si>
  <si>
    <t>FRONT ELEVATION AREA ABOVE POARCH</t>
  </si>
  <si>
    <t xml:space="preserve">TERRACOTTA JALI SUPPORT FRAMING </t>
  </si>
  <si>
    <t>LENGTH(M)</t>
  </si>
  <si>
    <t xml:space="preserve">FRONT </t>
  </si>
  <si>
    <t xml:space="preserve">LEFT </t>
  </si>
  <si>
    <t xml:space="preserve">BACK </t>
  </si>
  <si>
    <t>LIFT MACHINE ROOM</t>
  </si>
  <si>
    <t xml:space="preserve">Stair passage </t>
  </si>
  <si>
    <t xml:space="preserve">room </t>
  </si>
  <si>
    <t xml:space="preserve">MACHIN ROOM DOOR </t>
  </si>
  <si>
    <t>TERRACE DOOR</t>
  </si>
  <si>
    <t xml:space="preserve">SERVER ROOM </t>
  </si>
  <si>
    <t>STORE ROOM</t>
  </si>
  <si>
    <t>MAIN ROAD</t>
  </si>
  <si>
    <t>PARKING</t>
  </si>
  <si>
    <t>BACK ROAD</t>
  </si>
  <si>
    <r>
      <rPr>
        <b/>
        <sz val="16"/>
        <color theme="1"/>
        <rFont val="Calibri"/>
        <family val="2"/>
      </rPr>
      <t>GRANITE STONE BLOCK</t>
    </r>
    <r>
      <rPr>
        <sz val="16"/>
        <color theme="1"/>
        <rFont val="Calibri"/>
        <family val="2"/>
      </rPr>
      <t xml:space="preserve"> (COBALT STONE)
Providing and fixing 10x10x7.50 cm Granite stone block hand cut
 and chisel dressed on top, for paving in floors, drains etc. laid over
 20mm thick base mortar 1:4 (1 cement : 4 coarse sand) with joints
 10mm wide filled with same mortar including ruled pointing etc.
 complete as per direction of engineer-in-charge.</t>
    </r>
  </si>
  <si>
    <r>
      <t xml:space="preserve">GRANITE FLOORING IN EXTERIOR (STEEL GREY)
</t>
    </r>
    <r>
      <rPr>
        <sz val="16"/>
        <color theme="1"/>
        <rFont val="Calibri"/>
        <family val="2"/>
      </rPr>
      <t xml:space="preserve"> Providing and laying flamed finish Granite stone flooring in required design
 and patterns, in linear as well as curvilinear portions of the building all
 complete as per the architectural drawings with 18 mm thick stone slab
 over 20 mm (average) thick base of cement mortar 1:4 (1 cement : 4
 coarse sand) laid and jointed with cement slurry and pointing with white
 cement slurry admixed with pigment of matching shade including
 rubbing, curing and polishing etc. all complete as specified and as
 directed by the Engineer-in-Charge 
</t>
    </r>
  </si>
  <si>
    <t>CHAJJA</t>
  </si>
  <si>
    <t>CHAJJA (GROUND FLOOR )</t>
  </si>
  <si>
    <t>SqMT</t>
  </si>
  <si>
    <t xml:space="preserve">KG </t>
  </si>
  <si>
    <t>36</t>
  </si>
  <si>
    <t xml:space="preserve">LESS WINDOW </t>
  </si>
  <si>
    <t>8</t>
  </si>
  <si>
    <t>0.5</t>
  </si>
  <si>
    <t xml:space="preserve">POARCH SIDE FAÇADE </t>
  </si>
  <si>
    <t xml:space="preserve">ROAD SIDE FAÇADE </t>
  </si>
  <si>
    <t>BACK SIDE STAIRCASE FACADE</t>
  </si>
  <si>
    <t>7</t>
  </si>
  <si>
    <t>12</t>
  </si>
  <si>
    <t>10</t>
  </si>
  <si>
    <t xml:space="preserve">GARDEN SIDE FAÇADE </t>
  </si>
  <si>
    <r>
      <rPr>
        <b/>
        <sz val="11"/>
        <color theme="1"/>
        <rFont val="Calibri"/>
        <family val="2"/>
      </rPr>
      <t xml:space="preserve">WOODEN PARTITIONS </t>
    </r>
    <r>
      <rPr>
        <sz val="11"/>
        <color theme="1"/>
        <rFont val="Calibri"/>
        <family val="2"/>
      </rPr>
      <t xml:space="preserve">
Providing and fixing frame work for partitions made of 12 mm thick marine plywood conforming to IS: 710 on both sides, with framing of 60X40mm hollow aluminium box section, placed along the walls, ceiling floor and free standing in a grid pattern with spacing @ 60 cm centre to centre both ways (vertically &amp; horizontally) or at required spacing near opening, with necessary fixing at junctions and fixing the frame to wall/ ceiling/ floors with required screw, including making provision for opening of doors, windows, electrical conduits, switch boards etc., including fixing of two side laminate of 1mm thickness, including all materials required for finishing such as adhesive, fibre/paper tape &amp; screws, labor, tools, Protection, machinery, equipment etc. complete, all as per direction of Engineer-in-charge.</t>
    </r>
  </si>
  <si>
    <r>
      <rPr>
        <b/>
        <sz val="11"/>
        <color theme="1"/>
        <rFont val="Calibri"/>
        <family val="2"/>
      </rPr>
      <t xml:space="preserve">WOODEN PARTITION DOORS </t>
    </r>
    <r>
      <rPr>
        <sz val="11"/>
        <color theme="1"/>
        <rFont val="Calibri"/>
        <family val="2"/>
      </rPr>
      <t xml:space="preserve">
Providing and fixing ISI marked 35 mm thick flush door shutters conforming to IS: 2202(Part I) decorative type, core of block board construction with frame of Second class teakwood (150 mm x 65mm) and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bright finished door closer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xcluded) (overall area of door shutter to be measured)</t>
    </r>
  </si>
  <si>
    <r>
      <rPr>
        <b/>
        <sz val="11"/>
        <color theme="1"/>
        <rFont val="Calibri"/>
        <family val="2"/>
      </rPr>
      <t>WOODEN PANELING</t>
    </r>
    <r>
      <rPr>
        <sz val="11"/>
        <color theme="1"/>
        <rFont val="Calibri"/>
        <family val="2"/>
      </rPr>
      <t xml:space="preserve">
Providing and fixing 12 mm thick marine plywood conforming to IS: 710 along the walls, columns and beams including making provision for electrical conduits, switch boards etc., including fixing of laminate of 1mm thickness, including all materials required for finishing such as adhesive, fibre/paper tape &amp; screws, labor, tools, Protection, machinery, equipment etc. complete, all as per direction of Engineer-in-charge.</t>
    </r>
  </si>
  <si>
    <r>
      <rPr>
        <b/>
        <sz val="11"/>
        <color theme="1"/>
        <rFont val="Calibri"/>
        <family val="2"/>
      </rPr>
      <t xml:space="preserve">WOODEN DOOR WITH WOODEN FRAME </t>
    </r>
    <r>
      <rPr>
        <sz val="11"/>
        <color theme="1"/>
        <rFont val="Calibri"/>
        <family val="2"/>
      </rPr>
      <t xml:space="preserve">
Providing and fixing ISI marked 35 mm thick flush door shutters conforming to IS: 2202(Part I) decorative type, core of block board construction with frame of Second class teakwood (150 mm x 65mm) and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bright finished door closer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xcluded) (overall area of door shutter to be measured)</t>
    </r>
  </si>
  <si>
    <r>
      <rPr>
        <b/>
        <sz val="11"/>
        <color theme="1"/>
        <rFont val="Calibri"/>
        <family val="2"/>
      </rPr>
      <t>WOODEN DOOR IN STONE FRAME (ALL TOILETS)</t>
    </r>
    <r>
      <rPr>
        <sz val="11"/>
        <color theme="1"/>
        <rFont val="Calibri"/>
        <family val="2"/>
      </rPr>
      <t xml:space="preserve">
Providing and fixing ISI marked 35 mm thick flush door shutters conforming to IS: 2202(Part I) decorative type, core of block board construction with well matched commercial 3 ply veneering with vertical grains or cross bands and decorative face veneers on both faces of shutters with two side decoretive type veneering , liping, cutting rebate, 35mm thick satainless steel butt hinges with necessary screws and bright finished brass tower bolts etc. complete.Including bright finished brass door latch with necessary screws, bright finished brass handles with screws, with necessary screws, brass morties lock, with edge biding etc.including fixing of two side laminate of 1mm thickness, including all materials required for finishing such as adhesive, fibre/paper tape &amp; screws, labor, tools, Protection, machinery, equipment etc. complete, all as per direction of Engineer-in-charge.
If required providing vision panel not exceeding 0.1 sqm in all type of flush
doors (cost of glass excluded) (overall area of door shutter to be
measured)
(STONE IS NOT INCLUDED IN THE GIVEN RATES)
</t>
    </r>
  </si>
  <si>
    <r>
      <rPr>
        <b/>
        <sz val="11"/>
        <color theme="1"/>
        <rFont val="Calibri"/>
        <family val="2"/>
      </rPr>
      <t>B.O OFFICE + P.S OFFICE TABLE WITH SIDE CREDENZA  2025X750X750MM</t>
    </r>
    <r>
      <rPr>
        <sz val="11"/>
        <color theme="1"/>
        <rFont val="Calibri"/>
        <family val="2"/>
      </rPr>
      <t xml:space="preserve">
25MM THICK LAMINATE FINISH TABLE TOP WITH ALL SIDE
2MM EDEGBAND
SIDE PANEL IN LAMINATE FINISH &amp; ONE SIDE RESTED ON
SIDE CREDENZA
WITH 1 NOS OF FLAP UP BOX
18MM THICK LAMINATE FINISH MODESTY PANEL
</t>
    </r>
    <r>
      <rPr>
        <b/>
        <sz val="11"/>
        <color theme="1"/>
        <rFont val="Calibri"/>
        <family val="2"/>
      </rPr>
      <t>SIDE CREDENZA 1500X450X675MM</t>
    </r>
    <r>
      <rPr>
        <sz val="11"/>
        <color theme="1"/>
        <rFont val="Calibri"/>
        <family val="2"/>
      </rPr>
      <t xml:space="preserve">
18MM THICK LAMINATE FINISH CARCASS
3 DRAWERS WITH TELESCOPIC SLIDES
AN OPENABLE SHUTTERS WITH SOFT CLOSING HINGES
OPEN SPACE FOR CPU</t>
    </r>
  </si>
  <si>
    <t>NS ITEM 10</t>
  </si>
  <si>
    <t xml:space="preserve"> NS ITEM 12</t>
  </si>
  <si>
    <t>NS ITEM 15</t>
  </si>
  <si>
    <t>NS ITEM 16</t>
  </si>
  <si>
    <t xml:space="preserve">common toilet </t>
  </si>
  <si>
    <t xml:space="preserve">Lobby ROOM DOOR </t>
  </si>
  <si>
    <t xml:space="preserve">WORKSTATION </t>
  </si>
  <si>
    <t>No's</t>
  </si>
  <si>
    <t xml:space="preserve">Compound Wall Railing </t>
  </si>
  <si>
    <t xml:space="preserve">Gazebo 50x25 </t>
  </si>
  <si>
    <t>Gazebo 100 x 50</t>
  </si>
  <si>
    <t>Gazebo 100mm Dia pipe</t>
  </si>
  <si>
    <t xml:space="preserve">Beanch Sitting Back Support </t>
  </si>
  <si>
    <t xml:space="preserve">Flag Hosting Pole </t>
  </si>
  <si>
    <t xml:space="preserve">Parking Shade </t>
  </si>
  <si>
    <t>sqmt</t>
  </si>
  <si>
    <t xml:space="preserve">staircase area </t>
  </si>
  <si>
    <t xml:space="preserve">STAIRCASE AREA </t>
  </si>
  <si>
    <t>Sqft</t>
  </si>
  <si>
    <t>SR NO.</t>
  </si>
  <si>
    <t xml:space="preserve">PRODUCT DESCRIPTION </t>
  </si>
  <si>
    <t>QUANTITY</t>
  </si>
  <si>
    <r>
      <rPr>
        <b/>
        <sz val="11"/>
        <color theme="1"/>
        <rFont val="Calibri"/>
        <family val="2"/>
      </rPr>
      <t xml:space="preserve">CEILING (WOODEN CEILING)
</t>
    </r>
    <r>
      <rPr>
        <sz val="11"/>
        <color theme="1"/>
        <rFont val="Calibri"/>
        <family val="2"/>
      </rPr>
      <t xml:space="preserve">
Providing and fixing frame work for ceiling made of 12 mm thick marine plywood conforming to IS: 710 , with framing of 60X40mm hollow aluminium box section, placed along ceiling in a grid pattern with spacing @ 60 cm centre to centre both ways or at required spacing near fixing the frame to wall/ ceiling with required screw, including making provision for opening of electrical conduits, including fixing of one side laminate of 1mm thickness, including all materials required for finishing such as adhesive, fibre/paper tape &amp; screws, labor, tools, Protection, machinery, equipment etc. complete, all as per direction of Engineer-in-charge.</t>
    </r>
  </si>
  <si>
    <r>
      <rPr>
        <b/>
        <sz val="11"/>
        <color theme="1"/>
        <rFont val="Calibri"/>
        <family val="2"/>
      </rPr>
      <t>PASSAGE CONSOLE 1650X475X750</t>
    </r>
    <r>
      <rPr>
        <sz val="11"/>
        <color theme="1"/>
        <rFont val="Calibri"/>
        <family val="2"/>
      </rPr>
      <t xml:space="preserve">
CONSOLE IN 18MM THICK LAMINATE FINISH CARCASS
WITH OPENABLE SHUTETRS WITH SOFT CLOSING HINGES WITH SHELVES
</t>
    </r>
  </si>
  <si>
    <r>
      <rPr>
        <b/>
        <sz val="11"/>
        <color theme="1"/>
        <rFont val="Calibri"/>
        <family val="2"/>
      </rPr>
      <t>RECEPTION TABLE 2100X600X1050MM</t>
    </r>
    <r>
      <rPr>
        <sz val="11"/>
        <color theme="1"/>
        <rFont val="Calibri"/>
        <family val="2"/>
      </rPr>
      <t xml:space="preserve">
Refer DrawingNo.(CPM_ID_WD_21)
Providing &amp;  placing in position 25mm Thick laminate finish table top heighted modesty panel with flexi ply and P.U finish. Hand Rest in laminated finish with metal plate powder coated 
THICK LAMINATE FINISH TABLE TOP HEIGHTED MODESTY PANEL WITH FLEXI PLY &amp; P.U FINISH
HAND REST PANEL IN LAMINATE FINISH WITH METAL
PLATE WITH POWDER COATING</t>
    </r>
  </si>
  <si>
    <r>
      <rPr>
        <b/>
        <sz val="11"/>
        <color theme="1"/>
        <rFont val="Calibri"/>
        <family val="2"/>
      </rPr>
      <t>B.O OFFICE (1,2)+ ASS. OFFICE(1,2,3) ( FIRST FLOOR) Refer DrawingNo.(CPM_ID_WD_23)</t>
    </r>
    <r>
      <rPr>
        <sz val="11"/>
        <color theme="1"/>
        <rFont val="Calibri"/>
        <family val="2"/>
      </rPr>
      <t xml:space="preserve">
BACK CREDENZA 3000X400X675MM
18MM THICK LAMINATE FINISH CARCASS 
ALL DRAWERS WITH TELESCOPIC SLIDES
AN OPENABLE SHUTTERS WITH SOFT CLOSING HINGES
</t>
    </r>
  </si>
  <si>
    <r>
      <rPr>
        <b/>
        <sz val="11"/>
        <color theme="1"/>
        <rFont val="Calibri"/>
        <family val="2"/>
      </rPr>
      <t>CONFERENCE ROOM_TV UNIT 4500X400X425</t>
    </r>
    <r>
      <rPr>
        <sz val="11"/>
        <color theme="1"/>
        <rFont val="Calibri"/>
        <family val="2"/>
      </rPr>
      <t xml:space="preserve">
Refer DrawingNo.(CPM_ID_WD_25)
18MM THICK LAMINATE FINISH CARCASS WALL HANG UNIT
SHUTTERS WITH SOFT CLOSING HINGES
FACIA IN LAMINATE FINISH
WOODEN LAMINATE FINISH WALL PANELLING ABOVE &amp; BELOW THE UNIT
WALL PANELLING AROUND THE TV UNIT IN LAMINATE FINISH
METAL OPEN NICHE WITH POWDER COATING</t>
    </r>
  </si>
  <si>
    <r>
      <rPr>
        <b/>
        <sz val="11"/>
        <color theme="1"/>
        <rFont val="Calibri"/>
        <family val="2"/>
      </rPr>
      <t xml:space="preserve">CONFERENCE TABLE </t>
    </r>
    <r>
      <rPr>
        <sz val="11"/>
        <color theme="1"/>
        <rFont val="Calibri"/>
        <family val="2"/>
      </rPr>
      <t xml:space="preserve">
Refer DrawingNo.(CPM_ID_WD_25)
25MM THICK LAMINATE FINISH TABLE TOP WITH ALL SIDE
2MM EDEGBAND
TABLE TOP IN 2 COLOR LAMINATE
WITH 2 NOS OF SLIM FLAP UP BOX
BASE IN PLY WITH WOODEN BEADINGS ( 1" HALF ROUND )
WITH POLISH
</t>
    </r>
  </si>
  <si>
    <r>
      <rPr>
        <b/>
        <sz val="11"/>
        <color theme="1"/>
        <rFont val="Calibri"/>
        <family val="2"/>
      </rPr>
      <t>C.P.M CHAMBER_MAIN TABLE 3000X900X750MM</t>
    </r>
    <r>
      <rPr>
        <sz val="11"/>
        <color theme="1"/>
        <rFont val="Calibri"/>
        <family val="2"/>
      </rPr>
      <t xml:space="preserve">
Refer DrawingNo.(CPM_ID_WD_26)
MAIN TABLE WITH PEDESTAL
18MM THICK LAMINATE FINISH TABLE TOP WITH 6MM PACKING PLY &amp; TOP IN STONE
SIDE PANEL IN P.U FINISH AS PER DRAWING &amp; ONE SIDE
RESTED ON SIDE CREDENZA
MODESTY PANEL IN LAMINATE FINISH WITH FRONT
FLUTED BPG GLASS ( 2 FT HT )
PEDESTAL UNIT ( 450MM WIDTH )  WITH 3 DRAWER WITH TELESCOPIC SLIDES  IN P.U FINISH CARCASS &amp; FACIA
TOP TILE 15MM TH PROVIDING &amp; FIXING AS per selection
</t>
    </r>
  </si>
  <si>
    <r>
      <rPr>
        <b/>
        <sz val="11"/>
        <color theme="1"/>
        <rFont val="Calibri"/>
        <family val="2"/>
      </rPr>
      <t>C.P.M CHAMBER _SIDE CREDENZA 1650X400X675MM</t>
    </r>
    <r>
      <rPr>
        <sz val="11"/>
        <color theme="1"/>
        <rFont val="Calibri"/>
        <family val="2"/>
      </rPr>
      <t xml:space="preserve">
Refer DrawingNo.(CPM_ID_WD_26)
25MM THICK LAMINATE FINISH TABLE TOP
18MM THICK LAMINATE FINISH CARCASS DRAWERS WITH TELESCOPIC SLIDES &amp; OPENABLE 
SHUTTERS WITH SOFT CLOSING HINGES 
CONCEALED HANDLE IN LAMINATE FINISH
WITH AN OPEN SPACE FOR C.P.U
</t>
    </r>
    <r>
      <rPr>
        <b/>
        <sz val="11"/>
        <color theme="1"/>
        <rFont val="Calibri"/>
        <family val="2"/>
      </rPr>
      <t xml:space="preserve">C.P.M CHAMBER _BACK CREDENZA 2250X400X675MM
</t>
    </r>
    <r>
      <rPr>
        <sz val="11"/>
        <color theme="1"/>
        <rFont val="Calibri"/>
        <family val="2"/>
      </rPr>
      <t>Refer DrawingNo.(CPM_ID_WD_26)
18MM THICK LAMINATE FINISH CARCASS DRAWERS WITH TELESCOPIC SLIDES &amp; OPENABLE 
SHUTTERS WITH SOFT CLOSING HINGES 
CONCEALED HANDLE IN LAMINATE FINISH</t>
    </r>
  </si>
  <si>
    <r>
      <rPr>
        <b/>
        <sz val="11"/>
        <color theme="1"/>
        <rFont val="Calibri"/>
        <family val="2"/>
      </rPr>
      <t>ASSI.  OFFICE_TABLE Refer  and  INSTURCTION ROOM
Refer DrawingNo.(CPM_ID_WD_37)</t>
    </r>
    <r>
      <rPr>
        <sz val="11"/>
        <color theme="1"/>
        <rFont val="Calibri"/>
        <family val="2"/>
      </rPr>
      <t xml:space="preserve">
OFFICE TABLE 1575X750X750 WITH SIDE CREDENZA 1500X450X675
25MM THICK LAMINATE FINISH TABLE TOP WITH ALL SIDE
2MM EDEG BAND
SIDE PANEL IN LAMINATE FINISH &amp; ONE SIDE RESTED ON SIDE CREDENZA
WITH 1 NOS OF FLAP UP BOX
</t>
    </r>
    <r>
      <rPr>
        <b/>
        <sz val="11"/>
        <color theme="1"/>
        <rFont val="Calibri"/>
        <family val="2"/>
      </rPr>
      <t>SIDE CREDENZA</t>
    </r>
    <r>
      <rPr>
        <sz val="11"/>
        <color theme="1"/>
        <rFont val="Calibri"/>
        <family val="2"/>
      </rPr>
      <t xml:space="preserve">
18MM THICK LAMINATE FINISH CARCASS
3 DRAWERS WITH TELESCOPIC SLIDES
AN OPENABLE SHUTTERS WITH SOFT CLOSING HINGES
OPEN SPACE FOR CPU</t>
    </r>
  </si>
  <si>
    <r>
      <rPr>
        <b/>
        <sz val="11"/>
        <color theme="1"/>
        <rFont val="Calibri"/>
        <family val="2"/>
      </rPr>
      <t xml:space="preserve">WORK STATION </t>
    </r>
    <r>
      <rPr>
        <sz val="11"/>
        <color theme="1"/>
        <rFont val="Calibri"/>
        <family val="2"/>
      </rPr>
      <t xml:space="preserve">
</t>
    </r>
    <r>
      <rPr>
        <b/>
        <sz val="11"/>
        <color theme="1"/>
        <rFont val="Calibri"/>
        <family val="2"/>
      </rPr>
      <t>STORAGE CABINET (ALL TABLE)(400X450X650)(6 NO.)</t>
    </r>
    <r>
      <rPr>
        <sz val="11"/>
        <color theme="1"/>
        <rFont val="Calibri"/>
        <family val="2"/>
      </rPr>
      <t xml:space="preserve">
Refer DrawingNo.(CPM_ID_WD_30)
25MM THICK LAMINATE FINISH TABLE TOP WITH ALL SIDE
2MM EDEGBAND
60*30 M.S "O" FRAME STRUCTURE WITH POWDER COATING
WITH METALLIC CABLE RACEWAYS
40MM ALU. STRUCTURE SRCEEN PARTITION WITH
SOFTBOARD ( 1 FT HEIGHT )
WITH 4 NOS OF ZINC FINISH CABLE MANAGER</t>
    </r>
  </si>
  <si>
    <r>
      <rPr>
        <b/>
        <sz val="11"/>
        <color theme="1"/>
        <rFont val="Calibri"/>
        <family val="2"/>
      </rPr>
      <t>WORK STATION AREA ( LOW HEIGHT STORAGE )  3600X600X750</t>
    </r>
    <r>
      <rPr>
        <sz val="11"/>
        <color theme="1"/>
        <rFont val="Calibri"/>
        <family val="2"/>
      </rPr>
      <t xml:space="preserve">
Refer DrawingNo.(CPM_ID_WD_30)
18MM THICK LAMINATE FINISH CARCASS 
ALL DRAWERS WITH TELESCOPIC SLIDES
AN OPENABLE SHUTTERS WITH SOFT CLOSING HINGES</t>
    </r>
  </si>
  <si>
    <r>
      <rPr>
        <b/>
        <sz val="11"/>
        <color theme="1"/>
        <rFont val="Calibri"/>
        <family val="2"/>
      </rPr>
      <t>WORK STATION AREA ( OVERHEAD ) 3600X380X600MM</t>
    </r>
    <r>
      <rPr>
        <sz val="11"/>
        <color theme="1"/>
        <rFont val="Calibri"/>
        <family val="2"/>
      </rPr>
      <t xml:space="preserve">
Refer DrawingNo.(CPM_ID_WD_30)
STORAGE IN 18MM THICK LAMINATE FINISH CARCASS
WITH OPENABLE SHUTETRS WITH SOFT CLOSING HINGES WITH SHELVES</t>
    </r>
  </si>
  <si>
    <r>
      <rPr>
        <b/>
        <sz val="11"/>
        <color theme="1"/>
        <rFont val="Calibri"/>
        <family val="2"/>
      </rPr>
      <t>CAFETARIA TABLE 1500X1500X750</t>
    </r>
    <r>
      <rPr>
        <sz val="11"/>
        <color theme="1"/>
        <rFont val="Calibri"/>
        <family val="2"/>
      </rPr>
      <t xml:space="preserve">
Refer DrawingNo.(CPM_ID_WD_35)
WITH 25MM THICK TOP
CONICAL SHAPED LEGS WITH POWDER COATING 
LAMINATED FINISH BASE &amp; TOP UNIT</t>
    </r>
  </si>
  <si>
    <r>
      <rPr>
        <b/>
        <sz val="11"/>
        <color theme="1"/>
        <rFont val="Calibri"/>
        <family val="2"/>
      </rPr>
      <t>CAFETARIA TABLE 1200X1200X750</t>
    </r>
    <r>
      <rPr>
        <sz val="11"/>
        <color theme="1"/>
        <rFont val="Calibri"/>
        <family val="2"/>
      </rPr>
      <t xml:space="preserve">
Refer DrawingNo.(CPM_ID_WD_35)
WITH 25MM THICK TOP
CONICAL SHAPED LEGS WITH POWDER COATING 
LAMINATED FINISH BASE &amp; TOP UNIT</t>
    </r>
  </si>
  <si>
    <r>
      <rPr>
        <b/>
        <sz val="11"/>
        <color theme="1"/>
        <rFont val="Calibri"/>
        <family val="2"/>
      </rPr>
      <t>KING SIZE BED 1800X2000X350MM</t>
    </r>
    <r>
      <rPr>
        <sz val="11"/>
        <color theme="1"/>
        <rFont val="Calibri"/>
        <family val="2"/>
      </rPr>
      <t xml:space="preserve">
Refer DrawingNo.(CPM_ID_WD_40)
BED WITHOUT STORAGE
BED FRAME IN CUSHION &amp; BED BACK IN CUSHION
</t>
    </r>
  </si>
  <si>
    <r>
      <rPr>
        <b/>
        <sz val="11"/>
        <color theme="1"/>
        <rFont val="Calibri"/>
        <family val="2"/>
      </rPr>
      <t>BED SIDE TABLE 600X375X375</t>
    </r>
    <r>
      <rPr>
        <sz val="11"/>
        <color theme="1"/>
        <rFont val="Calibri"/>
        <family val="2"/>
      </rPr>
      <t xml:space="preserve">
Refer DrawingNo.(CPM_ID_WD_40)
18MM THICK LAMINATE FINISH CARCASS
1 DRAWERS WITH TELESCOPIC SLIDES
</t>
    </r>
  </si>
  <si>
    <r>
      <rPr>
        <b/>
        <sz val="11"/>
        <color theme="1"/>
        <rFont val="Calibri"/>
        <family val="2"/>
      </rPr>
      <t>3 SHUTTER WARDROBE 1425X600X2400</t>
    </r>
    <r>
      <rPr>
        <sz val="11"/>
        <color theme="1"/>
        <rFont val="Calibri"/>
        <family val="2"/>
      </rPr>
      <t xml:space="preserve">
Refer DrawingNo.(CPM_ID_WD_40)
18MM THICK SUEDE WOODEN LAMINATE FINISH CRACSS
3 DRAWERS WITH TELESCOPIC SLIDES
SHUTTERS ARE IN BLOCK BOARD WITH LAMINATE
</t>
    </r>
  </si>
  <si>
    <r>
      <rPr>
        <b/>
        <sz val="11"/>
        <color theme="1"/>
        <rFont val="Calibri"/>
        <family val="2"/>
      </rPr>
      <t>DRESSING UNIT 1200X350X550</t>
    </r>
    <r>
      <rPr>
        <sz val="11"/>
        <color theme="1"/>
        <rFont val="Calibri"/>
        <family val="2"/>
      </rPr>
      <t xml:space="preserve">
Refer DrawingNo.(CPM_ID_WD_40)
18MM THICK SUEDE WOODEN LAMINATE FINISH CRACSS
4 DRAWERS WITH TELESCOPIC SLIDES
WITH M.S LEGS</t>
    </r>
  </si>
  <si>
    <r>
      <rPr>
        <b/>
        <sz val="11"/>
        <color theme="1"/>
        <rFont val="Calibri"/>
        <family val="2"/>
      </rPr>
      <t>DRESSING MIRROR 850X25X850</t>
    </r>
    <r>
      <rPr>
        <sz val="11"/>
        <color theme="1"/>
        <rFont val="Calibri"/>
        <family val="2"/>
      </rPr>
      <t xml:space="preserve">
Refer DrawingNo.(CPM_ID_WD_40)
METAL FRAME WITH POWDER COATING</t>
    </r>
  </si>
  <si>
    <r>
      <rPr>
        <b/>
        <sz val="11"/>
        <color theme="1"/>
        <rFont val="Calibri"/>
        <family val="2"/>
      </rPr>
      <t>3 SHUTTER WARDROBE 1725X600X2400</t>
    </r>
    <r>
      <rPr>
        <sz val="11"/>
        <color theme="1"/>
        <rFont val="Calibri"/>
        <family val="2"/>
      </rPr>
      <t xml:space="preserve">
Refer DrawingNo.(CPM_ID_WD_40)
18MM THICK SUEDE WOODEN LAMINATE FINISH CRACSS
3 DRAWERS WITH TELESCOPIC SLIDES
SHUTTERS ARE IN BLOCK BOARD WITH LAMINATE</t>
    </r>
  </si>
  <si>
    <r>
      <rPr>
        <b/>
        <sz val="11"/>
        <color theme="1"/>
        <rFont val="Calibri"/>
        <family val="2"/>
      </rPr>
      <t>TV UNIT 2825X300X750</t>
    </r>
    <r>
      <rPr>
        <sz val="11"/>
        <color theme="1"/>
        <rFont val="Calibri"/>
        <family val="2"/>
      </rPr>
      <t xml:space="preserve">
Refer DrawingNo.(CPM_ID_WD_40)
18MM THICK LAMINATE FINISH CARCASS WALL HANG UNIT
DRAWERS WITH TELESCOPIC SLIDES
FACIA IN LAMINATE FINISH
25MM THICK TOP PANEL WITH ALL SIDE 2MM EDGEBAND &amp; SIDE PANEL IN 25MM</t>
    </r>
  </si>
  <si>
    <r>
      <rPr>
        <b/>
        <sz val="11"/>
        <color theme="1"/>
        <rFont val="Calibri"/>
        <family val="2"/>
      </rPr>
      <t>KING SIZE BED 1800X2000X350MM</t>
    </r>
    <r>
      <rPr>
        <sz val="11"/>
        <color theme="1"/>
        <rFont val="Calibri"/>
        <family val="2"/>
      </rPr>
      <t xml:space="preserve">
Refer DrawingNo.(CPM_ID_WD_41)
BED WITHOUT STORAGE
BED FRAME IN CUSHION &amp; BED BACK IN CUSHION
EXTENDED BED BACK 2 FT WIDE BOTH SIDE</t>
    </r>
  </si>
  <si>
    <r>
      <rPr>
        <b/>
        <sz val="11"/>
        <color theme="1"/>
        <rFont val="Calibri"/>
        <family val="2"/>
      </rPr>
      <t>BED SIDE TABLE 600X375X250</t>
    </r>
    <r>
      <rPr>
        <sz val="11"/>
        <color theme="1"/>
        <rFont val="Calibri"/>
        <family val="2"/>
      </rPr>
      <t xml:space="preserve">
Refer DrawingNo.(CPM_ID_WD_41)
18MM THICK LAMINATE FINISH CARCASS
2 DRAWERS WITH TELESCOPIC SLIDES</t>
    </r>
  </si>
  <si>
    <r>
      <rPr>
        <b/>
        <sz val="11"/>
        <color theme="1"/>
        <rFont val="Calibri"/>
        <family val="2"/>
      </rPr>
      <t>TV CUM DRESSING UNIT 2200X300X25, 900X500X250</t>
    </r>
    <r>
      <rPr>
        <sz val="11"/>
        <color theme="1"/>
        <rFont val="Calibri"/>
        <family val="2"/>
      </rPr>
      <t xml:space="preserve">
Refer DrawingNo.(CPM_ID_WD_41)
25MM THICK LAMINATE FINISH HANGING WALLSHELF
18MM THICK LAMINATE FINISH CARCASS
DRAWERS WITH TELESCOPIC SLIDES
WITH ROUND METAL FRAME MIRROR 750X25X750
WALL PANELLING NOT INCLUDED
</t>
    </r>
  </si>
  <si>
    <r>
      <rPr>
        <b/>
        <sz val="11"/>
        <color theme="1"/>
        <rFont val="Calibri"/>
        <family val="2"/>
      </rPr>
      <t>2 SHUTTER WARDROBE 1200X600X2400</t>
    </r>
    <r>
      <rPr>
        <sz val="11"/>
        <color theme="1"/>
        <rFont val="Calibri"/>
        <family val="2"/>
      </rPr>
      <t xml:space="preserve">
Refer DrawingNo.(CPM_ID_WD_41)
18MM THICK SUEDE WOODEN LAMINATE FINISH CRACSS
2 DRAWERS WITH TELESCOPIC SLIDES
SHUTTERS ARE IN PROFILE SHUTTER WITH FLUTED GLASS
VERTICAL PROFILE LIGHTS</t>
    </r>
  </si>
  <si>
    <r>
      <rPr>
        <b/>
        <sz val="11"/>
        <color theme="1"/>
        <rFont val="Calibri"/>
        <family val="2"/>
      </rPr>
      <t>OPEN NICHE CUM STORAGE 750X600X2400</t>
    </r>
    <r>
      <rPr>
        <sz val="11"/>
        <color theme="1"/>
        <rFont val="Calibri"/>
        <family val="2"/>
      </rPr>
      <t xml:space="preserve">
Refer DrawingNo.(CPM_ID_WD_41)
18MM THICK 1 MM TEXTURED LAMINATE FINISH CARCASS
1 TRAY DRAWER WITH TELESCOPIC SLIDES
18MM THICK LAMINATE FINISH SHELVES
VERTICAL PROFILE LIGHTS
SHUTTER WITH LAMINATE FINISH</t>
    </r>
  </si>
  <si>
    <r>
      <rPr>
        <b/>
        <sz val="11"/>
        <color theme="1"/>
        <rFont val="Calibri"/>
        <family val="2"/>
      </rPr>
      <t>SUITCASE CONSOLE  1600X500X500</t>
    </r>
    <r>
      <rPr>
        <sz val="11"/>
        <color theme="1"/>
        <rFont val="Calibri"/>
        <family val="2"/>
      </rPr>
      <t xml:space="preserve">
Refer DrawingNo.(CPM_ID_WD_41)
18MM THICK LAMINATE FINISH CARCASS
2 DRAWERS WITH TELESCOPIC DRAWER SLIDES
18MM THICK LAMINATE FINISH OPEN NICHE</t>
    </r>
  </si>
  <si>
    <r>
      <rPr>
        <b/>
        <sz val="11"/>
        <color theme="1"/>
        <rFont val="Calibri"/>
        <family val="2"/>
      </rPr>
      <t>LOUNGE T.V UNIT  2100X300X350</t>
    </r>
    <r>
      <rPr>
        <sz val="11"/>
        <color theme="1"/>
        <rFont val="Calibri"/>
        <family val="2"/>
      </rPr>
      <t xml:space="preserve">
Refer DrawingNo.(CPM_ID_WD_34)
TV UNIT
18MM THICK LAMINATE FINISH CARCASS WALL HANG UNIT
DRAWERS WITH TELESCOPIC SLIDES
FACIA IN LAMINATE FINISH
TOP STONE finish laminate PROVIDING &amp; FIXING 
</t>
    </r>
  </si>
  <si>
    <r>
      <rPr>
        <b/>
        <sz val="11"/>
        <color theme="1"/>
        <rFont val="Calibri"/>
        <family val="2"/>
      </rPr>
      <t>LIVING ROOM T.V UNIT 2100X300X300</t>
    </r>
    <r>
      <rPr>
        <sz val="11"/>
        <color theme="1"/>
        <rFont val="Calibri"/>
        <family val="2"/>
      </rPr>
      <t xml:space="preserve">
Refer DrawingNo.(CPM_ID_WD_39)
TV UNIT
18MM THICK LAMINATE FINISH CARCASS WALL HANG UNIT
FLIP DOWN  ALU. PROFILE SHUTTERTOP
STONE finish laminate PROVIDING &amp; FIXING </t>
    </r>
  </si>
  <si>
    <r>
      <rPr>
        <b/>
        <sz val="11"/>
        <color theme="1"/>
        <rFont val="Calibri"/>
        <family val="2"/>
      </rPr>
      <t xml:space="preserve">SECONDFLOOR KITCHEN
</t>
    </r>
    <r>
      <rPr>
        <sz val="11"/>
        <color theme="1"/>
        <rFont val="Calibri"/>
        <family val="2"/>
      </rPr>
      <t xml:space="preserve">Refer DrawingNo.(CPM_ID_WD_15)
</t>
    </r>
    <r>
      <rPr>
        <b/>
        <sz val="11"/>
        <color theme="1"/>
        <rFont val="Calibri"/>
        <family val="2"/>
      </rPr>
      <t>BASE UNIT</t>
    </r>
    <r>
      <rPr>
        <sz val="11"/>
        <color theme="1"/>
        <rFont val="Calibri"/>
        <family val="2"/>
      </rPr>
      <t xml:space="preserve">
VERTICLE                              18 MM THK_0.8 MM SF FINISH LAMINATE IN BWP PLYWOOD 
VISUAL FINISH - 1               18 MM THK_ 1MM POSTLAM SF FINISH LAMINATE ON BWP PLYWOOD
HANDLE                                ALU. GOLA PROFILE
CORNER UNIT WITH SHELF-02
AUTO HINGES SOFT CLOSE_HETTICH
DRAWER CUTLERY_PVC_600 MM_SOCAR / DITOX-01
DUST BEAN_SWING_S.S._13 LTR_EBCO-01
SOUCER , PLATE &amp; THALI STAND_S.S._ARINOX-01
</t>
    </r>
    <r>
      <rPr>
        <b/>
        <sz val="11"/>
        <color theme="1"/>
        <rFont val="Calibri"/>
        <family val="2"/>
      </rPr>
      <t>FIRST FLOOR PANTRY</t>
    </r>
    <r>
      <rPr>
        <sz val="11"/>
        <color theme="1"/>
        <rFont val="Calibri"/>
        <family val="2"/>
      </rPr>
      <t xml:space="preserve">
UPPER WALL STORE
VERTICLE                              18 MM THK_0.8 MM SF FINISH LAMINATE IN BWP PLYWOOD 
VISUAL FINISH - 1               18 MM THK_ 1MM POSTLAM SF FINISH LAMINATE ON BWP PLYWOOD
HANDLE                                ALU. GOLA PROFILE
AUTO HINGES SOFT CLOSE_HETTICH
DRAWER CUTLERY_PVC_600 MM_SOCAR / DITOX-01
DUST BEAN_SWING_S.S._13 LTR_EBCO-01
SOUCER , PLATE &amp; THALI STAND_S.S._ARINOX-01</t>
    </r>
  </si>
  <si>
    <r>
      <rPr>
        <b/>
        <sz val="11"/>
        <color theme="1"/>
        <rFont val="Calibri"/>
        <family val="2"/>
      </rPr>
      <t>FIRST FLOOR PANTRY</t>
    </r>
    <r>
      <rPr>
        <sz val="11"/>
        <color theme="1"/>
        <rFont val="Calibri"/>
        <family val="2"/>
      </rPr>
      <t xml:space="preserve">
</t>
    </r>
    <r>
      <rPr>
        <b/>
        <sz val="11"/>
        <color theme="1"/>
        <rFont val="Calibri"/>
        <family val="2"/>
      </rPr>
      <t>BASE UNIT</t>
    </r>
    <r>
      <rPr>
        <sz val="11"/>
        <color theme="1"/>
        <rFont val="Calibri"/>
        <family val="2"/>
      </rPr>
      <t xml:space="preserve">
VERTICLE                              18 MM THK_0.8 MM SF FINISH LAMINATE IN BWP PLYWOOD 
VISUAL FINISH - 1               18 MM THK_ 1MM POSTLAM SF FINISH LAMINATE ON BWP PLYWOOD
HANDLE                                ALU. GOLA PROFILE
SLIM STANDARD DRAWER
AUTO HINGES SOFT CLOSE_HETTICH
DRAWER CUTLERY_PVC_600 MM_SOCAR / DITOX-01
DUST BEAN_SWING_S.S._13 LTR_EBCO-01
SOUCER , PLATE &amp; THALI STAND_S.S._ARINOX-01
GROUND PANTRY
UPPER WALL STORE
VERTICLE                              18 MM THK_0.8 MM SF FINISH LAMINATE IN BWP PLYWOOD 
VISUAL FINISH - 1               18 MM THK_ 1MM POSTLAM SF FINISH LAMINATE ON BWP PLYWOOD
HANDLE                                ALU. GOLA PROFILE
AUTO HINGES SOFT CLOSE_HETTICH
DRAWER CUTLERY_PVC_600 MM_SOCAR / DITOX-01
DUST BEAN_SWING_S.S._13 LTR_EBCO-01
SOUCER , PLATE &amp; THALI STAND_S.S._ARINOX-01</t>
    </r>
  </si>
  <si>
    <r>
      <rPr>
        <b/>
        <sz val="11"/>
        <color theme="1"/>
        <rFont val="Calibri"/>
        <family val="2"/>
      </rPr>
      <t>CROCKERY UNIT-01</t>
    </r>
    <r>
      <rPr>
        <sz val="11"/>
        <color theme="1"/>
        <rFont val="Calibri"/>
        <family val="2"/>
      </rPr>
      <t xml:space="preserve">
Refer DrawingNo.(CPM_ID_WD_15)
CARCASS - 1 APD           18 MM THK_0.8 MM SF FINISH LAMINATE IN BWP PLYWOOD 
VISUAL FINISH - 1         18 MM THK_ 1MM POSTLAM SF FINISH LAMINATE ON BWP PLYWOOD
HANDLE                         GOLA PROFILE
AUTO HINGES SOFT CLOSE_HETTICH
HAFELE TELESCOPIC SLIDES WITH SOFT CLOSE-06</t>
    </r>
  </si>
  <si>
    <r>
      <rPr>
        <b/>
        <sz val="11"/>
        <color theme="1"/>
        <rFont val="Calibri"/>
        <family val="2"/>
      </rPr>
      <t>WALL UNIT-01</t>
    </r>
    <r>
      <rPr>
        <sz val="11"/>
        <color theme="1"/>
        <rFont val="Calibri"/>
        <family val="2"/>
      </rPr>
      <t xml:space="preserve">
Refer DrawingNo.(CPM_ID_WD_15)
CARCASS - 1 APD       18 MM THK_0.8 MM SF FINISH LAMINATE IN BWP PLYWOOD
VISUAL FINISH - 1     18 MM THK_ 1MM POSTLAM SF FINISH LAMINATE ON BWP PLYWOOD
HANDLE                       GOLA PROFILE</t>
    </r>
  </si>
  <si>
    <t>RAMANAND S VISHWAKARMA FURNITURE</t>
  </si>
  <si>
    <t xml:space="preserve">ESTIMATE
</t>
  </si>
  <si>
    <t>DATE:- 04/07/2024</t>
  </si>
  <si>
    <r>
      <rPr>
        <b/>
        <sz val="12"/>
        <color theme="1"/>
        <rFont val="Calibri"/>
        <family val="2"/>
        <scheme val="minor"/>
      </rPr>
      <t>Estimate by:-</t>
    </r>
    <r>
      <rPr>
        <sz val="12"/>
        <color theme="1"/>
        <rFont val="Calibri"/>
        <family val="2"/>
        <scheme val="minor"/>
      </rPr>
      <t xml:space="preserve"> Ramanand Vishwakarma</t>
    </r>
  </si>
  <si>
    <r>
      <rPr>
        <b/>
        <sz val="9"/>
        <color rgb="FF000000"/>
        <rFont val="Calibri"/>
        <family val="2"/>
        <scheme val="minor"/>
      </rPr>
      <t>ADD:-</t>
    </r>
    <r>
      <rPr>
        <sz val="9"/>
        <color rgb="FF000000"/>
        <rFont val="Calibri"/>
        <family val="2"/>
        <scheme val="minor"/>
      </rPr>
      <t xml:space="preserve"> G-604, Pancham Pentagon mansarover
 road, IOC road, Chandkheda, Ahmedabad Gujarat-382424
</t>
    </r>
    <r>
      <rPr>
        <b/>
        <sz val="9"/>
        <color rgb="FF000000"/>
        <rFont val="Calibri"/>
        <family val="2"/>
        <scheme val="minor"/>
      </rPr>
      <t>Phone No</t>
    </r>
    <r>
      <rPr>
        <sz val="9"/>
        <color rgb="FF000000"/>
        <rFont val="Calibri"/>
        <family val="2"/>
        <scheme val="minor"/>
      </rPr>
      <t xml:space="preserve">:- +91-9925482498
</t>
    </r>
    <r>
      <rPr>
        <b/>
        <sz val="9"/>
        <color rgb="FF000000"/>
        <rFont val="Calibri"/>
        <family val="2"/>
        <scheme val="minor"/>
      </rPr>
      <t>Email:</t>
    </r>
    <r>
      <rPr>
        <sz val="9"/>
        <color rgb="FF000000"/>
        <rFont val="Calibri"/>
        <family val="2"/>
        <scheme val="minor"/>
      </rPr>
      <t xml:space="preserve">-vramanand15@gmail.com
</t>
    </r>
    <r>
      <rPr>
        <b/>
        <sz val="9"/>
        <color rgb="FF000000"/>
        <rFont val="Calibri"/>
        <family val="2"/>
        <scheme val="minor"/>
      </rPr>
      <t>GST No:-</t>
    </r>
    <r>
      <rPr>
        <sz val="9"/>
        <color rgb="FF000000"/>
        <rFont val="Calibri"/>
        <family val="2"/>
        <scheme val="minor"/>
      </rPr>
      <t>240ANNPV7097E1ZD</t>
    </r>
  </si>
  <si>
    <t>HSN / SAC CODE</t>
  </si>
  <si>
    <t>GST Charge extra @18%</t>
  </si>
  <si>
    <t>Note:-</t>
  </si>
  <si>
    <t xml:space="preserve">ESTIMATE :-01         </t>
  </si>
  <si>
    <r>
      <rPr>
        <b/>
        <sz val="12"/>
        <color theme="1"/>
        <rFont val="Calibri"/>
        <family val="2"/>
        <scheme val="minor"/>
      </rPr>
      <t>SIDE Location:- vadodara  gujarat</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</si>
</sst>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00"/>
    <numFmt numFmtId="166" formatCode="&quot; &quot;* #,##0.000&quot; &quot;;&quot; &quot;* \(#,##0.000\);&quot; &quot;* &quot;-&quot;??&quot; &quot;"/>
    <numFmt numFmtId="167" formatCode="0.000"/>
    <numFmt numFmtId="168" formatCode="_(* #,##0_);_(* \(#,##0\);_(* &quot;-&quot;??_);_(@_)"/>
  </numFmts>
  <fonts count="68">
    <font>
      <sz val="11"/>
      <color theme="1"/>
      <name val="Calibri"/>
      <scheme val="minor"/>
    </font>
    <font>
      <sz val="11"/>
      <color theme="1"/>
      <name val="Calibri"/>
      <family val="2"/>
      <scheme val="minor"/>
    </font>
    <font>
      <sz val="11"/>
      <color theme="1"/>
      <name val="Calibri"/>
      <family val="2"/>
      <scheme val="minor"/>
    </font>
    <font>
      <b/>
      <sz val="22"/>
      <color theme="1"/>
      <name val="Calibri"/>
      <family val="2"/>
    </font>
    <font>
      <sz val="11"/>
      <name val="Calibri"/>
      <family val="2"/>
    </font>
    <font>
      <sz val="11"/>
      <color theme="1"/>
      <name val="Calibri"/>
      <family val="2"/>
    </font>
    <font>
      <u/>
      <sz val="11"/>
      <color theme="10"/>
      <name val="Calibri"/>
      <family val="2"/>
    </font>
    <font>
      <b/>
      <sz val="11"/>
      <color theme="1"/>
      <name val="Calibri"/>
      <family val="2"/>
    </font>
    <font>
      <sz val="11"/>
      <color theme="1"/>
      <name val="Calibri"/>
      <family val="2"/>
      <scheme val="minor"/>
    </font>
    <font>
      <sz val="11"/>
      <color rgb="FFFF0000"/>
      <name val="Calibri"/>
      <family val="2"/>
    </font>
    <font>
      <sz val="11"/>
      <color rgb="FF000000"/>
      <name val="Times New Roman"/>
      <family val="1"/>
    </font>
    <font>
      <sz val="10"/>
      <color rgb="FF141413"/>
      <name val="Helvetica Neue"/>
    </font>
    <font>
      <sz val="11"/>
      <color theme="1"/>
      <name val="Times New Roman"/>
      <family val="1"/>
    </font>
    <font>
      <sz val="10"/>
      <color rgb="FF211E1E"/>
      <name val="Helvetica Neue"/>
    </font>
    <font>
      <sz val="10"/>
      <color theme="1"/>
      <name val="Helvetica Neue"/>
    </font>
    <font>
      <b/>
      <sz val="11"/>
      <color theme="1"/>
      <name val="Times New Roman"/>
      <family val="1"/>
    </font>
    <font>
      <b/>
      <sz val="16"/>
      <color theme="1"/>
      <name val="Calibri"/>
      <family val="2"/>
    </font>
    <font>
      <sz val="16"/>
      <color theme="1"/>
      <name val="Calibri"/>
      <family val="2"/>
    </font>
    <font>
      <b/>
      <sz val="10"/>
      <color rgb="FF000000"/>
      <name val="Arial"/>
      <family val="2"/>
    </font>
    <font>
      <b/>
      <u/>
      <sz val="11"/>
      <color theme="1"/>
      <name val="Calibri"/>
      <family val="2"/>
    </font>
    <font>
      <b/>
      <u/>
      <sz val="11"/>
      <color theme="1"/>
      <name val="Calibri"/>
      <family val="2"/>
    </font>
    <font>
      <b/>
      <sz val="11"/>
      <color rgb="FF000000"/>
      <name val="Calibri"/>
      <family val="2"/>
    </font>
    <font>
      <b/>
      <u/>
      <sz val="11"/>
      <color theme="1"/>
      <name val="Calibri"/>
      <family val="2"/>
    </font>
    <font>
      <b/>
      <u/>
      <sz val="11"/>
      <color theme="1"/>
      <name val="Calibri"/>
      <family val="2"/>
    </font>
    <font>
      <b/>
      <sz val="9"/>
      <color theme="1"/>
      <name val="Arial"/>
      <family val="2"/>
    </font>
    <font>
      <sz val="10"/>
      <color theme="1"/>
      <name val="Arial"/>
      <family val="2"/>
    </font>
    <font>
      <b/>
      <sz val="10"/>
      <color theme="1"/>
      <name val="Arial"/>
      <family val="2"/>
    </font>
    <font>
      <sz val="9"/>
      <color theme="1"/>
      <name val="Arial"/>
      <family val="2"/>
    </font>
    <font>
      <b/>
      <sz val="11"/>
      <color rgb="FFFF0000"/>
      <name val="Times New Roman"/>
      <family val="1"/>
    </font>
    <font>
      <sz val="11"/>
      <color rgb="FFFF0000"/>
      <name val="Times New Roman"/>
      <family val="1"/>
    </font>
    <font>
      <b/>
      <i/>
      <sz val="11"/>
      <color rgb="FF000000"/>
      <name val="Times New Roman"/>
      <family val="1"/>
    </font>
    <font>
      <b/>
      <i/>
      <sz val="11"/>
      <color rgb="FFFF0000"/>
      <name val="Times New Roman"/>
      <family val="1"/>
    </font>
    <font>
      <b/>
      <sz val="11"/>
      <color rgb="FFFF0000"/>
      <name val="Calibri"/>
      <family val="2"/>
    </font>
    <font>
      <b/>
      <sz val="11"/>
      <color rgb="FF000000"/>
      <name val="Times New Roman"/>
      <family val="1"/>
    </font>
    <font>
      <sz val="8"/>
      <name val="Calibri"/>
      <family val="2"/>
      <scheme val="minor"/>
    </font>
    <font>
      <b/>
      <sz val="16"/>
      <color theme="1"/>
      <name val="Calibri"/>
      <family val="2"/>
    </font>
    <font>
      <sz val="16"/>
      <name val="Calibri"/>
      <family val="2"/>
    </font>
    <font>
      <b/>
      <sz val="11"/>
      <color theme="1"/>
      <name val="Calibri"/>
      <family val="2"/>
      <scheme val="minor"/>
    </font>
    <font>
      <sz val="11"/>
      <color theme="1"/>
      <name val="Calibri"/>
      <family val="2"/>
    </font>
    <font>
      <b/>
      <sz val="11"/>
      <color theme="1"/>
      <name val="Calibri"/>
      <family val="2"/>
    </font>
    <font>
      <sz val="11"/>
      <name val="Calibri"/>
      <family val="2"/>
    </font>
    <font>
      <b/>
      <sz val="24"/>
      <name val="Calibri"/>
      <family val="2"/>
    </font>
    <font>
      <b/>
      <sz val="16"/>
      <name val="Calibri"/>
      <family val="2"/>
    </font>
    <font>
      <b/>
      <u/>
      <sz val="28"/>
      <name val="Calibri"/>
      <family val="2"/>
    </font>
    <font>
      <sz val="11"/>
      <name val="Calibri"/>
      <family val="2"/>
      <scheme val="minor"/>
    </font>
    <font>
      <b/>
      <sz val="11"/>
      <name val="Calibri"/>
      <family val="2"/>
    </font>
    <font>
      <b/>
      <sz val="10"/>
      <name val="Calibri"/>
      <family val="2"/>
    </font>
    <font>
      <b/>
      <sz val="18"/>
      <name val="Calibri"/>
      <family val="2"/>
    </font>
    <font>
      <sz val="14"/>
      <name val="Calibri"/>
      <family val="2"/>
    </font>
    <font>
      <b/>
      <sz val="14"/>
      <name val="Calibri"/>
      <family val="2"/>
    </font>
    <font>
      <b/>
      <sz val="20"/>
      <name val="Calibri"/>
      <family val="2"/>
    </font>
    <font>
      <sz val="16"/>
      <name val="Calibri"/>
      <family val="2"/>
      <scheme val="minor"/>
    </font>
    <font>
      <b/>
      <sz val="26"/>
      <name val="Calibri"/>
      <family val="2"/>
    </font>
    <font>
      <sz val="16"/>
      <color theme="1"/>
      <name val="Calibri"/>
      <family val="2"/>
    </font>
    <font>
      <sz val="16"/>
      <color rgb="FF000000"/>
      <name val="Calibri"/>
      <family val="2"/>
    </font>
    <font>
      <b/>
      <sz val="16"/>
      <color rgb="FF000000"/>
      <name val="Calibri"/>
      <family val="2"/>
    </font>
    <font>
      <b/>
      <sz val="16"/>
      <name val="Calibri"/>
      <family val="2"/>
      <scheme val="minor"/>
    </font>
    <font>
      <b/>
      <sz val="11"/>
      <name val="Calibri"/>
      <family val="2"/>
      <scheme val="minor"/>
    </font>
    <font>
      <b/>
      <sz val="28"/>
      <name val="Calibri"/>
      <family val="2"/>
    </font>
    <font>
      <sz val="11"/>
      <color theme="0"/>
      <name val="Calibri"/>
      <family val="2"/>
      <scheme val="minor"/>
    </font>
    <font>
      <b/>
      <sz val="14"/>
      <color theme="0"/>
      <name val="Calibri"/>
      <family val="2"/>
      <scheme val="minor"/>
    </font>
    <font>
      <b/>
      <sz val="16"/>
      <color theme="0"/>
      <name val="Calibri"/>
      <family val="2"/>
      <scheme val="minor"/>
    </font>
    <font>
      <sz val="12"/>
      <color theme="1"/>
      <name val="Calibri"/>
      <family val="2"/>
      <scheme val="minor"/>
    </font>
    <font>
      <b/>
      <sz val="12"/>
      <color theme="1"/>
      <name val="Calibri"/>
      <family val="2"/>
      <scheme val="minor"/>
    </font>
    <font>
      <b/>
      <sz val="18"/>
      <color rgb="FFFF0000"/>
      <name val="Calibri"/>
      <family val="2"/>
      <scheme val="minor"/>
    </font>
    <font>
      <sz val="9"/>
      <color rgb="FF000000"/>
      <name val="Calibri"/>
      <family val="2"/>
      <scheme val="minor"/>
    </font>
    <font>
      <b/>
      <sz val="9"/>
      <color rgb="FF000000"/>
      <name val="Calibri"/>
      <family val="2"/>
      <scheme val="minor"/>
    </font>
    <font>
      <sz val="9"/>
      <color theme="1"/>
      <name val="Calibri"/>
      <family val="2"/>
      <scheme val="minor"/>
    </font>
  </fonts>
  <fills count="17">
    <fill>
      <patternFill patternType="none"/>
    </fill>
    <fill>
      <patternFill patternType="gray125"/>
    </fill>
    <fill>
      <patternFill patternType="solid">
        <fgColor rgb="FF95B3D7"/>
        <bgColor rgb="FF95B3D7"/>
      </patternFill>
    </fill>
    <fill>
      <patternFill patternType="solid">
        <fgColor rgb="FF92D050"/>
        <bgColor rgb="FF92D050"/>
      </patternFill>
    </fill>
    <fill>
      <patternFill patternType="solid">
        <fgColor rgb="FFA5A5A5"/>
        <bgColor rgb="FFA5A5A5"/>
      </patternFill>
    </fill>
    <fill>
      <patternFill patternType="solid">
        <fgColor rgb="FFD8D8D8"/>
        <bgColor rgb="FFD8D8D8"/>
      </patternFill>
    </fill>
    <fill>
      <patternFill patternType="solid">
        <fgColor rgb="FFBFBFBF"/>
        <bgColor rgb="FFBFBFBF"/>
      </patternFill>
    </fill>
    <fill>
      <patternFill patternType="solid">
        <fgColor rgb="FFFFFF00"/>
        <bgColor rgb="FFFFFF00"/>
      </patternFill>
    </fill>
    <fill>
      <patternFill patternType="solid">
        <fgColor rgb="FFFF0000"/>
        <bgColor rgb="FFFF0000"/>
      </patternFill>
    </fill>
    <fill>
      <patternFill patternType="solid">
        <fgColor rgb="FFB2A1C7"/>
        <bgColor rgb="FFB2A1C7"/>
      </patternFill>
    </fill>
    <fill>
      <patternFill patternType="solid">
        <fgColor rgb="FFFFC000"/>
        <bgColor rgb="FFFFC000"/>
      </patternFill>
    </fill>
    <fill>
      <patternFill patternType="solid">
        <fgColor theme="0"/>
        <bgColor indexed="64"/>
      </patternFill>
    </fill>
    <fill>
      <patternFill patternType="solid">
        <fgColor theme="5" tint="0.79998168889431442"/>
        <bgColor indexed="64"/>
      </patternFill>
    </fill>
    <fill>
      <patternFill patternType="solid">
        <fgColor theme="2" tint="-0.14999847407452621"/>
        <bgColor indexed="64"/>
      </patternFill>
    </fill>
    <fill>
      <patternFill patternType="solid">
        <fgColor rgb="FF93F7D1"/>
        <bgColor indexed="64"/>
      </patternFill>
    </fill>
    <fill>
      <patternFill patternType="solid">
        <fgColor theme="0" tint="-0.14999847407452621"/>
        <bgColor indexed="64"/>
      </patternFill>
    </fill>
    <fill>
      <patternFill patternType="solid">
        <fgColor theme="4" tint="-0.249977111117893"/>
        <bgColor indexed="64"/>
      </patternFill>
    </fill>
  </fills>
  <borders count="8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medium">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8" fillId="0" borderId="9"/>
    <xf numFmtId="0" fontId="8" fillId="0" borderId="9"/>
    <xf numFmtId="0" fontId="2" fillId="0" borderId="9"/>
    <xf numFmtId="0" fontId="2" fillId="0" borderId="9"/>
    <xf numFmtId="0" fontId="2" fillId="0" borderId="9"/>
    <xf numFmtId="164" fontId="8" fillId="0" borderId="0" applyFont="0" applyFill="0" applyBorder="0" applyAlignment="0" applyProtection="0"/>
    <xf numFmtId="9" fontId="8" fillId="0" borderId="0" applyFont="0" applyFill="0" applyBorder="0" applyAlignment="0" applyProtection="0"/>
  </cellStyleXfs>
  <cellXfs count="726">
    <xf numFmtId="0" fontId="0" fillId="0" borderId="0" xfId="0"/>
    <xf numFmtId="0" fontId="5" fillId="0" borderId="0" xfId="0" applyFont="1" applyAlignment="1">
      <alignment horizontal="center"/>
    </xf>
    <xf numFmtId="0" fontId="5" fillId="2" borderId="9" xfId="0" applyFont="1" applyFill="1" applyBorder="1"/>
    <xf numFmtId="0" fontId="5" fillId="3" borderId="9" xfId="0" applyFont="1" applyFill="1" applyBorder="1"/>
    <xf numFmtId="0" fontId="5" fillId="0" borderId="0" xfId="0" applyFont="1" applyAlignment="1">
      <alignment horizontal="left"/>
    </xf>
    <xf numFmtId="0" fontId="5" fillId="0" borderId="21" xfId="0" applyFont="1" applyBorder="1" applyAlignment="1">
      <alignment horizontal="center" vertical="center"/>
    </xf>
    <xf numFmtId="0" fontId="5" fillId="0" borderId="21" xfId="0" applyFont="1" applyBorder="1" applyAlignment="1">
      <alignment horizontal="center" vertical="top"/>
    </xf>
    <xf numFmtId="14" fontId="5" fillId="0" borderId="21" xfId="0" applyNumberFormat="1" applyFont="1" applyBorder="1" applyAlignment="1">
      <alignment horizontal="center" vertical="center"/>
    </xf>
    <xf numFmtId="0" fontId="5" fillId="0" borderId="0" xfId="0" applyFont="1" applyAlignment="1">
      <alignment horizontal="left" vertical="center"/>
    </xf>
    <xf numFmtId="14" fontId="5" fillId="0" borderId="21" xfId="0" applyNumberFormat="1" applyFont="1" applyBorder="1" applyAlignment="1">
      <alignment horizontal="center" vertical="top"/>
    </xf>
    <xf numFmtId="14" fontId="5" fillId="0" borderId="25" xfId="0" applyNumberFormat="1" applyFont="1" applyBorder="1" applyAlignment="1">
      <alignment horizontal="center" vertical="center"/>
    </xf>
    <xf numFmtId="14" fontId="5" fillId="0" borderId="25" xfId="0" applyNumberFormat="1" applyFont="1" applyBorder="1" applyAlignment="1">
      <alignment horizontal="center" vertical="top"/>
    </xf>
    <xf numFmtId="0" fontId="7" fillId="6" borderId="26" xfId="0" applyFont="1" applyFill="1" applyBorder="1" applyAlignment="1">
      <alignment horizontal="center" vertical="center"/>
    </xf>
    <xf numFmtId="0" fontId="7" fillId="6" borderId="27" xfId="0" applyFont="1" applyFill="1" applyBorder="1" applyAlignment="1">
      <alignment horizontal="center" vertical="center" wrapText="1"/>
    </xf>
    <xf numFmtId="0" fontId="7" fillId="6" borderId="27" xfId="0" applyFont="1" applyFill="1" applyBorder="1" applyAlignment="1">
      <alignment horizontal="center" vertical="center"/>
    </xf>
    <xf numFmtId="0" fontId="7" fillId="6" borderId="28" xfId="0" applyFont="1" applyFill="1" applyBorder="1" applyAlignment="1">
      <alignment horizontal="center" vertical="center"/>
    </xf>
    <xf numFmtId="0" fontId="7" fillId="6" borderId="29" xfId="0" applyFont="1" applyFill="1" applyBorder="1" applyAlignment="1">
      <alignment horizontal="center" vertical="center"/>
    </xf>
    <xf numFmtId="0" fontId="7" fillId="0" borderId="29" xfId="0" applyFont="1" applyBorder="1" applyAlignment="1">
      <alignment horizontal="center" vertical="center"/>
    </xf>
    <xf numFmtId="0" fontId="7" fillId="6" borderId="29" xfId="0" applyFont="1" applyFill="1" applyBorder="1" applyAlignment="1">
      <alignment horizontal="center" vertical="top"/>
    </xf>
    <xf numFmtId="2" fontId="7" fillId="0" borderId="29" xfId="0" applyNumberFormat="1" applyFont="1" applyBorder="1" applyAlignment="1">
      <alignment horizontal="center" vertical="top"/>
    </xf>
    <xf numFmtId="2" fontId="7" fillId="6" borderId="29" xfId="0" applyNumberFormat="1" applyFont="1" applyFill="1" applyBorder="1" applyAlignment="1">
      <alignment horizontal="center" vertical="top"/>
    </xf>
    <xf numFmtId="164" fontId="7" fillId="6" borderId="29" xfId="0" applyNumberFormat="1" applyFont="1" applyFill="1" applyBorder="1" applyAlignment="1">
      <alignment horizontal="center" vertical="top"/>
    </xf>
    <xf numFmtId="0" fontId="8" fillId="0" borderId="0" xfId="0" applyFont="1"/>
    <xf numFmtId="0" fontId="5" fillId="0" borderId="30" xfId="0" applyFont="1" applyBorder="1" applyAlignment="1">
      <alignment horizontal="center" vertical="center"/>
    </xf>
    <xf numFmtId="0" fontId="5" fillId="0" borderId="29" xfId="0" applyFont="1" applyBorder="1" applyAlignment="1">
      <alignment horizontal="center" vertical="center" wrapText="1"/>
    </xf>
    <xf numFmtId="1" fontId="5" fillId="0" borderId="29" xfId="0" applyNumberFormat="1" applyFont="1" applyBorder="1" applyAlignment="1">
      <alignment vertical="center" wrapText="1"/>
    </xf>
    <xf numFmtId="0" fontId="5" fillId="0" borderId="31" xfId="0" applyFont="1" applyBorder="1" applyAlignment="1">
      <alignment horizontal="center" vertical="center"/>
    </xf>
    <xf numFmtId="164" fontId="9" fillId="7" borderId="32" xfId="0" applyNumberFormat="1" applyFont="1" applyFill="1" applyBorder="1" applyAlignment="1">
      <alignment horizontal="center" vertical="center"/>
    </xf>
    <xf numFmtId="164" fontId="5" fillId="0" borderId="33" xfId="0" applyNumberFormat="1" applyFont="1" applyBorder="1" applyAlignment="1">
      <alignment vertical="center"/>
    </xf>
    <xf numFmtId="0" fontId="5" fillId="0" borderId="0" xfId="0" applyFont="1" applyAlignment="1">
      <alignment vertical="center"/>
    </xf>
    <xf numFmtId="0" fontId="5" fillId="0" borderId="29" xfId="0" applyFont="1" applyBorder="1" applyAlignment="1">
      <alignment horizontal="center" vertical="center"/>
    </xf>
    <xf numFmtId="0" fontId="10" fillId="0" borderId="34" xfId="0" applyFont="1" applyBorder="1" applyAlignment="1">
      <alignment wrapText="1"/>
    </xf>
    <xf numFmtId="0" fontId="5" fillId="0" borderId="29" xfId="0" applyFont="1" applyBorder="1" applyAlignment="1">
      <alignment vertical="top"/>
    </xf>
    <xf numFmtId="164" fontId="5" fillId="0" borderId="29" xfId="0" applyNumberFormat="1" applyFont="1" applyBorder="1" applyAlignment="1">
      <alignment horizontal="center" vertical="top"/>
    </xf>
    <xf numFmtId="2" fontId="5" fillId="0" borderId="29" xfId="0" applyNumberFormat="1" applyFont="1" applyBorder="1" applyAlignment="1">
      <alignment vertical="top"/>
    </xf>
    <xf numFmtId="164" fontId="5" fillId="0" borderId="29" xfId="0" applyNumberFormat="1"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center"/>
    </xf>
    <xf numFmtId="0" fontId="5" fillId="0" borderId="34" xfId="0" applyFont="1" applyBorder="1" applyAlignment="1">
      <alignment horizontal="center" vertical="center"/>
    </xf>
    <xf numFmtId="0" fontId="11" fillId="3" borderId="29" xfId="0" applyFont="1" applyFill="1" applyBorder="1" applyAlignment="1">
      <alignment horizontal="center" vertical="top"/>
    </xf>
    <xf numFmtId="0" fontId="5" fillId="0" borderId="29" xfId="0" applyFont="1" applyBorder="1" applyAlignment="1">
      <alignment vertical="top" wrapText="1"/>
    </xf>
    <xf numFmtId="0" fontId="5" fillId="0" borderId="29" xfId="0" applyFont="1" applyBorder="1" applyAlignment="1">
      <alignment horizontal="center" vertical="top"/>
    </xf>
    <xf numFmtId="0" fontId="5" fillId="0" borderId="31" xfId="0" applyFont="1" applyBorder="1" applyAlignment="1">
      <alignment vertical="top" wrapText="1"/>
    </xf>
    <xf numFmtId="164" fontId="9" fillId="7" borderId="29" xfId="0" applyNumberFormat="1" applyFont="1" applyFill="1" applyBorder="1" applyAlignment="1">
      <alignment horizontal="center" vertical="center"/>
    </xf>
    <xf numFmtId="0" fontId="11" fillId="8" borderId="29" xfId="0" applyFont="1" applyFill="1" applyBorder="1" applyAlignment="1">
      <alignment horizontal="center" vertical="top"/>
    </xf>
    <xf numFmtId="1" fontId="5" fillId="0" borderId="29" xfId="0" applyNumberFormat="1" applyFont="1" applyBorder="1" applyAlignment="1">
      <alignment vertical="top" wrapText="1"/>
    </xf>
    <xf numFmtId="164" fontId="5" fillId="7" borderId="29" xfId="0" applyNumberFormat="1" applyFont="1" applyFill="1" applyBorder="1" applyAlignment="1">
      <alignment vertical="top"/>
    </xf>
    <xf numFmtId="0" fontId="5" fillId="0" borderId="0" xfId="0" applyFont="1" applyAlignment="1">
      <alignment horizontal="center" vertical="center"/>
    </xf>
    <xf numFmtId="0" fontId="5" fillId="0" borderId="34" xfId="0" applyFont="1" applyBorder="1" applyAlignment="1">
      <alignment wrapText="1"/>
    </xf>
    <xf numFmtId="0" fontId="10" fillId="0" borderId="34" xfId="0" applyFont="1" applyBorder="1"/>
    <xf numFmtId="0" fontId="12" fillId="0" borderId="34" xfId="0" applyFont="1" applyBorder="1" applyAlignment="1">
      <alignment wrapText="1"/>
    </xf>
    <xf numFmtId="0" fontId="12" fillId="0" borderId="34" xfId="0" applyFont="1" applyBorder="1"/>
    <xf numFmtId="164" fontId="13" fillId="3" borderId="29" xfId="0" applyNumberFormat="1" applyFont="1" applyFill="1" applyBorder="1" applyAlignment="1">
      <alignment horizontal="center" vertical="top"/>
    </xf>
    <xf numFmtId="164" fontId="13" fillId="0" borderId="29" xfId="0" applyNumberFormat="1" applyFont="1" applyBorder="1" applyAlignment="1">
      <alignment horizontal="center" vertical="top"/>
    </xf>
    <xf numFmtId="0" fontId="5" fillId="0" borderId="34" xfId="0" applyFont="1" applyBorder="1" applyAlignment="1">
      <alignment vertical="center" wrapText="1"/>
    </xf>
    <xf numFmtId="164" fontId="5" fillId="3" borderId="29" xfId="0" applyNumberFormat="1" applyFont="1" applyFill="1" applyBorder="1" applyAlignment="1">
      <alignment horizontal="center" vertical="top"/>
    </xf>
    <xf numFmtId="0" fontId="13" fillId="0" borderId="29" xfId="0" applyFont="1" applyBorder="1" applyAlignment="1">
      <alignment vertical="top"/>
    </xf>
    <xf numFmtId="0" fontId="11" fillId="0" borderId="29" xfId="0" applyFont="1" applyBorder="1" applyAlignment="1">
      <alignment horizontal="center" vertical="top"/>
    </xf>
    <xf numFmtId="0" fontId="9" fillId="0" borderId="29" xfId="0" applyFont="1" applyBorder="1" applyAlignment="1">
      <alignment vertical="top" wrapText="1"/>
    </xf>
    <xf numFmtId="0" fontId="9" fillId="0" borderId="31" xfId="0" applyFont="1" applyBorder="1" applyAlignment="1">
      <alignment vertical="top"/>
    </xf>
    <xf numFmtId="0" fontId="11" fillId="0" borderId="29" xfId="0" applyFont="1" applyBorder="1" applyAlignment="1">
      <alignment horizontal="center" vertical="center"/>
    </xf>
    <xf numFmtId="0" fontId="5" fillId="0" borderId="29" xfId="0" applyFont="1" applyBorder="1" applyAlignment="1">
      <alignment horizontal="center" vertical="top" wrapText="1"/>
    </xf>
    <xf numFmtId="0" fontId="11" fillId="0" borderId="29" xfId="0" applyFont="1" applyBorder="1"/>
    <xf numFmtId="0" fontId="5" fillId="0" borderId="30" xfId="0" applyFont="1" applyBorder="1" applyAlignment="1">
      <alignment horizontal="center" vertical="top"/>
    </xf>
    <xf numFmtId="0" fontId="5" fillId="0" borderId="29" xfId="0" applyFont="1" applyBorder="1" applyAlignment="1">
      <alignment horizontal="left" vertical="top"/>
    </xf>
    <xf numFmtId="164" fontId="5" fillId="0" borderId="33" xfId="0" applyNumberFormat="1" applyFont="1" applyBorder="1" applyAlignment="1">
      <alignment vertical="top"/>
    </xf>
    <xf numFmtId="0" fontId="5" fillId="0" borderId="0" xfId="0" applyFont="1" applyAlignment="1">
      <alignment vertical="top"/>
    </xf>
    <xf numFmtId="0" fontId="5" fillId="0" borderId="34" xfId="0" applyFont="1" applyBorder="1" applyAlignment="1">
      <alignment vertical="top"/>
    </xf>
    <xf numFmtId="0" fontId="5" fillId="0" borderId="34" xfId="0" applyFont="1" applyBorder="1" applyAlignment="1">
      <alignment horizontal="center" vertical="top"/>
    </xf>
    <xf numFmtId="0" fontId="5" fillId="0" borderId="30" xfId="0" applyFont="1" applyBorder="1" applyAlignment="1">
      <alignment horizontal="center"/>
    </xf>
    <xf numFmtId="0" fontId="5" fillId="0" borderId="29" xfId="0" applyFont="1" applyBorder="1" applyAlignment="1">
      <alignment horizontal="center" wrapText="1"/>
    </xf>
    <xf numFmtId="0" fontId="5" fillId="0" borderId="29" xfId="0" applyFont="1" applyBorder="1" applyAlignment="1">
      <alignment horizontal="left"/>
    </xf>
    <xf numFmtId="0" fontId="5" fillId="0" borderId="29" xfId="0" applyFont="1" applyBorder="1" applyAlignment="1">
      <alignment horizontal="center"/>
    </xf>
    <xf numFmtId="164" fontId="5" fillId="0" borderId="29" xfId="0" applyNumberFormat="1" applyFont="1" applyBorder="1" applyAlignment="1">
      <alignment horizontal="center" vertical="center"/>
    </xf>
    <xf numFmtId="0" fontId="5" fillId="0" borderId="34" xfId="0" applyFont="1" applyBorder="1" applyAlignment="1">
      <alignment horizontal="center"/>
    </xf>
    <xf numFmtId="0" fontId="5" fillId="0" borderId="34" xfId="0" applyFont="1" applyBorder="1"/>
    <xf numFmtId="164" fontId="5" fillId="0" borderId="0" xfId="0" applyNumberFormat="1" applyFont="1" applyAlignment="1">
      <alignment horizontal="center" vertical="top"/>
    </xf>
    <xf numFmtId="0" fontId="7" fillId="5" borderId="38" xfId="0" applyFont="1" applyFill="1" applyBorder="1"/>
    <xf numFmtId="0" fontId="7" fillId="5" borderId="39" xfId="0" applyFont="1" applyFill="1" applyBorder="1" applyAlignment="1">
      <alignment horizontal="center" wrapText="1"/>
    </xf>
    <xf numFmtId="0" fontId="7" fillId="5" borderId="39" xfId="0" applyFont="1" applyFill="1" applyBorder="1"/>
    <xf numFmtId="0" fontId="7" fillId="5" borderId="39" xfId="0" applyFont="1" applyFill="1" applyBorder="1" applyAlignment="1">
      <alignment vertical="center"/>
    </xf>
    <xf numFmtId="164" fontId="7" fillId="5" borderId="39" xfId="0" applyNumberFormat="1" applyFont="1" applyFill="1" applyBorder="1" applyAlignment="1">
      <alignment vertical="center"/>
    </xf>
    <xf numFmtId="164" fontId="5" fillId="5" borderId="40" xfId="0" applyNumberFormat="1" applyFont="1" applyFill="1" applyBorder="1" applyAlignment="1">
      <alignment vertical="center"/>
    </xf>
    <xf numFmtId="164" fontId="9" fillId="0" borderId="29" xfId="0" applyNumberFormat="1" applyFont="1" applyBorder="1" applyAlignment="1">
      <alignment horizontal="center" vertical="center"/>
    </xf>
    <xf numFmtId="0" fontId="5" fillId="8" borderId="29" xfId="0" applyFont="1" applyFill="1" applyBorder="1" applyAlignment="1">
      <alignment horizontal="center" vertical="top"/>
    </xf>
    <xf numFmtId="0" fontId="5" fillId="0" borderId="19" xfId="0" applyFont="1" applyBorder="1" applyAlignment="1">
      <alignment horizontal="center"/>
    </xf>
    <xf numFmtId="0" fontId="5" fillId="0" borderId="22" xfId="0" applyFont="1" applyBorder="1" applyAlignment="1">
      <alignment horizontal="center"/>
    </xf>
    <xf numFmtId="0" fontId="5" fillId="0" borderId="22" xfId="0" applyFont="1" applyBorder="1" applyAlignment="1">
      <alignment horizontal="left"/>
    </xf>
    <xf numFmtId="0" fontId="5" fillId="0" borderId="22" xfId="0" applyFont="1" applyBorder="1" applyAlignment="1">
      <alignment horizontal="center" vertical="center"/>
    </xf>
    <xf numFmtId="164" fontId="9" fillId="0" borderId="22" xfId="0" applyNumberFormat="1" applyFont="1" applyBorder="1" applyAlignment="1">
      <alignment horizontal="center" vertical="center"/>
    </xf>
    <xf numFmtId="164" fontId="5" fillId="0" borderId="18" xfId="0" applyNumberFormat="1" applyFont="1" applyBorder="1" applyAlignment="1">
      <alignment vertical="center"/>
    </xf>
    <xf numFmtId="0" fontId="9" fillId="0" borderId="31" xfId="0" applyFont="1" applyBorder="1" applyAlignment="1">
      <alignment vertical="top" wrapText="1"/>
    </xf>
    <xf numFmtId="0" fontId="5" fillId="0" borderId="29" xfId="0" applyFont="1" applyBorder="1" applyAlignment="1">
      <alignment vertical="center"/>
    </xf>
    <xf numFmtId="0" fontId="5" fillId="0" borderId="29" xfId="0" applyFont="1" applyBorder="1" applyAlignment="1">
      <alignment vertical="center" wrapText="1"/>
    </xf>
    <xf numFmtId="0" fontId="5" fillId="0" borderId="29" xfId="0" applyFont="1" applyBorder="1" applyAlignment="1">
      <alignment horizontal="left" vertical="center"/>
    </xf>
    <xf numFmtId="0" fontId="5" fillId="0" borderId="29" xfId="0" applyFont="1" applyBorder="1" applyAlignment="1">
      <alignment horizontal="left" wrapText="1"/>
    </xf>
    <xf numFmtId="164" fontId="5" fillId="5" borderId="41" xfId="0" applyNumberFormat="1" applyFont="1" applyFill="1" applyBorder="1" applyAlignment="1">
      <alignment vertical="center"/>
    </xf>
    <xf numFmtId="0" fontId="5" fillId="0" borderId="42" xfId="0" applyFont="1" applyBorder="1" applyAlignment="1">
      <alignment horizontal="center" vertical="center"/>
    </xf>
    <xf numFmtId="0" fontId="5" fillId="0" borderId="37" xfId="0" applyFont="1" applyBorder="1" applyAlignment="1">
      <alignment horizontal="center" vertical="center" wrapText="1"/>
    </xf>
    <xf numFmtId="0" fontId="5" fillId="0" borderId="37" xfId="0" applyFont="1" applyBorder="1" applyAlignment="1">
      <alignment horizontal="center" vertical="center"/>
    </xf>
    <xf numFmtId="164" fontId="9" fillId="0" borderId="37" xfId="0" applyNumberFormat="1" applyFont="1" applyBorder="1" applyAlignment="1">
      <alignment horizontal="center" vertical="center"/>
    </xf>
    <xf numFmtId="0" fontId="14" fillId="0" borderId="0" xfId="0" applyFont="1"/>
    <xf numFmtId="0" fontId="5" fillId="0" borderId="29" xfId="0" applyFont="1" applyBorder="1" applyAlignment="1">
      <alignment horizontal="left" vertical="center" wrapText="1"/>
    </xf>
    <xf numFmtId="0" fontId="5" fillId="0" borderId="0" xfId="0" applyFont="1" applyAlignment="1">
      <alignment horizontal="center" wrapText="1"/>
    </xf>
    <xf numFmtId="0" fontId="5" fillId="0" borderId="0" xfId="0" applyFont="1" applyAlignment="1">
      <alignment horizontal="left" vertical="center" wrapText="1"/>
    </xf>
    <xf numFmtId="0" fontId="5" fillId="0" borderId="29" xfId="0" applyFont="1" applyBorder="1" applyAlignment="1">
      <alignment wrapText="1"/>
    </xf>
    <xf numFmtId="0" fontId="5" fillId="0" borderId="29" xfId="0" applyFont="1" applyBorder="1"/>
    <xf numFmtId="2" fontId="5" fillId="0" borderId="29" xfId="0" applyNumberFormat="1" applyFont="1" applyBorder="1" applyAlignment="1">
      <alignment horizontal="center" vertical="top"/>
    </xf>
    <xf numFmtId="164" fontId="5" fillId="10" borderId="29" xfId="0" applyNumberFormat="1" applyFont="1" applyFill="1" applyBorder="1" applyAlignment="1">
      <alignment horizontal="center" vertical="top"/>
    </xf>
    <xf numFmtId="0" fontId="11" fillId="9" borderId="29" xfId="0" applyFont="1" applyFill="1" applyBorder="1" applyAlignment="1">
      <alignment horizontal="center" vertical="top"/>
    </xf>
    <xf numFmtId="164" fontId="5" fillId="9" borderId="29" xfId="0" applyNumberFormat="1" applyFont="1" applyFill="1" applyBorder="1" applyAlignment="1">
      <alignment horizontal="center" vertical="top"/>
    </xf>
    <xf numFmtId="0" fontId="11" fillId="10" borderId="29" xfId="0" applyFont="1" applyFill="1" applyBorder="1" applyAlignment="1">
      <alignment horizontal="center" vertical="top"/>
    </xf>
    <xf numFmtId="165" fontId="5" fillId="0" borderId="29" xfId="0" applyNumberFormat="1" applyFont="1" applyBorder="1" applyAlignment="1">
      <alignment horizontal="center" vertical="top"/>
    </xf>
    <xf numFmtId="164" fontId="7" fillId="0" borderId="21" xfId="0" applyNumberFormat="1" applyFont="1" applyBorder="1" applyAlignment="1">
      <alignment horizontal="center" vertical="center"/>
    </xf>
    <xf numFmtId="0" fontId="5" fillId="0" borderId="34" xfId="0" applyFont="1" applyBorder="1" applyAlignment="1">
      <alignment horizontal="left"/>
    </xf>
    <xf numFmtId="2" fontId="5" fillId="0" borderId="0" xfId="0" applyNumberFormat="1" applyFont="1" applyAlignment="1">
      <alignment vertical="top"/>
    </xf>
    <xf numFmtId="164" fontId="5" fillId="0" borderId="0" xfId="0" applyNumberFormat="1" applyFont="1" applyAlignment="1">
      <alignment vertical="top"/>
    </xf>
    <xf numFmtId="0" fontId="7" fillId="6" borderId="45" xfId="0" applyFont="1" applyFill="1" applyBorder="1" applyAlignment="1">
      <alignment horizontal="center" vertical="center"/>
    </xf>
    <xf numFmtId="0" fontId="7" fillId="6" borderId="46" xfId="0" applyFont="1" applyFill="1" applyBorder="1" applyAlignment="1">
      <alignment horizontal="center" vertical="center" wrapText="1"/>
    </xf>
    <xf numFmtId="0" fontId="7" fillId="6" borderId="46" xfId="0" applyFont="1" applyFill="1" applyBorder="1" applyAlignment="1">
      <alignment horizontal="center" vertical="center"/>
    </xf>
    <xf numFmtId="0" fontId="7" fillId="6" borderId="47" xfId="0" applyFont="1" applyFill="1" applyBorder="1" applyAlignment="1">
      <alignment horizontal="center" vertical="center"/>
    </xf>
    <xf numFmtId="0" fontId="7" fillId="6" borderId="48" xfId="0" applyFont="1" applyFill="1" applyBorder="1" applyAlignment="1">
      <alignment horizontal="center" vertical="center"/>
    </xf>
    <xf numFmtId="0" fontId="7" fillId="0" borderId="35" xfId="0" applyFont="1" applyBorder="1" applyAlignment="1">
      <alignment horizontal="center" vertical="center"/>
    </xf>
    <xf numFmtId="0" fontId="7" fillId="6" borderId="48" xfId="0" applyFont="1" applyFill="1" applyBorder="1" applyAlignment="1">
      <alignment horizontal="center" vertical="top"/>
    </xf>
    <xf numFmtId="2" fontId="7" fillId="0" borderId="35" xfId="0" applyNumberFormat="1" applyFont="1" applyBorder="1" applyAlignment="1">
      <alignment horizontal="center" vertical="top"/>
    </xf>
    <xf numFmtId="2" fontId="7" fillId="6" borderId="48" xfId="0" applyNumberFormat="1" applyFont="1" applyFill="1" applyBorder="1" applyAlignment="1">
      <alignment horizontal="center" vertical="top"/>
    </xf>
    <xf numFmtId="164" fontId="7" fillId="6" borderId="48" xfId="0" applyNumberFormat="1" applyFont="1" applyFill="1" applyBorder="1" applyAlignment="1">
      <alignment horizontal="center" vertical="top"/>
    </xf>
    <xf numFmtId="0" fontId="7" fillId="6" borderId="49" xfId="0" applyFont="1" applyFill="1" applyBorder="1" applyAlignment="1">
      <alignment horizontal="center" vertical="top"/>
    </xf>
    <xf numFmtId="0" fontId="5" fillId="8" borderId="29" xfId="0" applyFont="1" applyFill="1" applyBorder="1" applyAlignment="1">
      <alignment horizontal="center" wrapText="1"/>
    </xf>
    <xf numFmtId="0" fontId="12" fillId="0" borderId="0" xfId="0" applyFont="1" applyAlignment="1">
      <alignment wrapText="1"/>
    </xf>
    <xf numFmtId="0" fontId="12" fillId="0" borderId="0" xfId="0" applyFont="1"/>
    <xf numFmtId="0" fontId="5" fillId="0" borderId="0" xfId="0" applyFont="1" applyAlignment="1">
      <alignment vertical="center" wrapText="1"/>
    </xf>
    <xf numFmtId="0" fontId="10" fillId="0" borderId="0" xfId="0" applyFont="1" applyAlignment="1">
      <alignment wrapText="1"/>
    </xf>
    <xf numFmtId="0" fontId="7" fillId="4" borderId="50" xfId="0" applyFont="1" applyFill="1" applyBorder="1" applyAlignment="1">
      <alignment vertical="center"/>
    </xf>
    <xf numFmtId="0" fontId="7" fillId="4" borderId="51" xfId="0" applyFont="1" applyFill="1" applyBorder="1" applyAlignment="1">
      <alignment horizontal="center" vertical="center" wrapText="1"/>
    </xf>
    <xf numFmtId="0" fontId="7" fillId="4" borderId="51" xfId="0" applyFont="1" applyFill="1" applyBorder="1" applyAlignment="1">
      <alignment vertical="center"/>
    </xf>
    <xf numFmtId="0" fontId="7" fillId="4" borderId="52" xfId="0" applyFont="1" applyFill="1" applyBorder="1" applyAlignment="1">
      <alignment vertical="center"/>
    </xf>
    <xf numFmtId="164" fontId="19" fillId="4" borderId="28" xfId="0" applyNumberFormat="1" applyFont="1" applyFill="1" applyBorder="1" applyAlignment="1">
      <alignment horizontal="center" vertical="center"/>
    </xf>
    <xf numFmtId="164" fontId="20" fillId="4" borderId="29" xfId="0" applyNumberFormat="1" applyFont="1" applyFill="1" applyBorder="1" applyAlignment="1">
      <alignment horizontal="center" vertical="center"/>
    </xf>
    <xf numFmtId="0" fontId="5" fillId="0" borderId="0" xfId="0" applyFont="1" applyAlignment="1">
      <alignment wrapText="1"/>
    </xf>
    <xf numFmtId="164" fontId="5" fillId="0" borderId="33" xfId="0" applyNumberFormat="1" applyFont="1" applyBorder="1" applyAlignment="1">
      <alignment horizontal="center" vertical="center"/>
    </xf>
    <xf numFmtId="0" fontId="5" fillId="0" borderId="61" xfId="0" applyFont="1" applyBorder="1" applyAlignment="1">
      <alignment horizontal="center"/>
    </xf>
    <xf numFmtId="0" fontId="5" fillId="0" borderId="35" xfId="0" applyFont="1" applyBorder="1" applyAlignment="1">
      <alignment horizontal="center" wrapText="1"/>
    </xf>
    <xf numFmtId="0" fontId="5" fillId="0" borderId="35" xfId="0" applyFont="1" applyBorder="1" applyAlignment="1">
      <alignment horizontal="left"/>
    </xf>
    <xf numFmtId="0" fontId="5" fillId="0" borderId="35" xfId="0" applyFont="1" applyBorder="1" applyAlignment="1">
      <alignment horizontal="center"/>
    </xf>
    <xf numFmtId="0" fontId="5" fillId="0" borderId="35" xfId="0" applyFont="1" applyBorder="1" applyAlignment="1">
      <alignment horizontal="center" vertical="center"/>
    </xf>
    <xf numFmtId="0" fontId="5" fillId="0" borderId="33" xfId="0" applyFont="1" applyBorder="1" applyAlignment="1">
      <alignment horizontal="center"/>
    </xf>
    <xf numFmtId="164" fontId="5" fillId="2" borderId="29" xfId="0" applyNumberFormat="1" applyFont="1" applyFill="1" applyBorder="1" applyAlignment="1">
      <alignment horizontal="center" vertical="top"/>
    </xf>
    <xf numFmtId="4" fontId="10" fillId="0" borderId="34" xfId="0" applyNumberFormat="1" applyFont="1" applyBorder="1"/>
    <xf numFmtId="4" fontId="12" fillId="0" borderId="34" xfId="0" applyNumberFormat="1" applyFont="1" applyBorder="1"/>
    <xf numFmtId="0" fontId="5" fillId="0" borderId="31" xfId="0" applyFont="1" applyBorder="1" applyAlignment="1">
      <alignment horizontal="center" vertical="top"/>
    </xf>
    <xf numFmtId="0" fontId="7" fillId="0" borderId="0" xfId="0" applyFont="1" applyAlignment="1">
      <alignment vertical="center"/>
    </xf>
    <xf numFmtId="0" fontId="7" fillId="0" borderId="0" xfId="0" applyFont="1" applyAlignment="1">
      <alignment horizontal="center" vertical="center" wrapText="1"/>
    </xf>
    <xf numFmtId="164" fontId="22" fillId="0" borderId="0" xfId="0" applyNumberFormat="1" applyFont="1" applyAlignment="1">
      <alignment horizontal="center" vertical="center"/>
    </xf>
    <xf numFmtId="0" fontId="7" fillId="0" borderId="29" xfId="0" applyFont="1" applyBorder="1" applyAlignment="1">
      <alignment horizontal="right" vertical="center"/>
    </xf>
    <xf numFmtId="164" fontId="23" fillId="0" borderId="29" xfId="0" applyNumberFormat="1" applyFont="1" applyBorder="1" applyAlignment="1">
      <alignment horizontal="center" vertical="center"/>
    </xf>
    <xf numFmtId="0" fontId="7" fillId="6" borderId="32" xfId="0" applyFont="1" applyFill="1" applyBorder="1" applyAlignment="1">
      <alignment horizontal="center" vertical="top"/>
    </xf>
    <xf numFmtId="165" fontId="5" fillId="10" borderId="29" xfId="0" applyNumberFormat="1" applyFont="1" applyFill="1" applyBorder="1" applyAlignment="1">
      <alignment horizontal="center" vertical="top"/>
    </xf>
    <xf numFmtId="0" fontId="5" fillId="7" borderId="29" xfId="0" applyFont="1" applyFill="1" applyBorder="1"/>
    <xf numFmtId="0" fontId="10" fillId="0" borderId="0" xfId="0" applyFont="1"/>
    <xf numFmtId="2" fontId="5" fillId="0" borderId="0" xfId="0" applyNumberFormat="1" applyFont="1" applyAlignment="1">
      <alignment vertical="center"/>
    </xf>
    <xf numFmtId="4" fontId="10" fillId="0" borderId="0" xfId="0" applyNumberFormat="1" applyFont="1"/>
    <xf numFmtId="0" fontId="5" fillId="0" borderId="0" xfId="0" applyFont="1" applyAlignment="1">
      <alignment horizontal="center" vertical="top"/>
    </xf>
    <xf numFmtId="4" fontId="12" fillId="0" borderId="0" xfId="0" applyNumberFormat="1" applyFont="1"/>
    <xf numFmtId="0" fontId="15" fillId="0" borderId="0" xfId="0" applyFont="1" applyAlignment="1">
      <alignment horizontal="center" vertical="center" wrapText="1"/>
    </xf>
    <xf numFmtId="0" fontId="24" fillId="0" borderId="0" xfId="0" applyFont="1" applyAlignment="1">
      <alignment horizontal="center" vertical="center" wrapText="1"/>
    </xf>
    <xf numFmtId="0" fontId="15" fillId="0" borderId="0" xfId="0" applyFont="1" applyAlignment="1">
      <alignment horizontal="left"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0" fontId="12" fillId="0" borderId="0" xfId="0" applyFont="1" applyAlignment="1">
      <alignment horizontal="left" vertical="center" wrapText="1"/>
    </xf>
    <xf numFmtId="0" fontId="25" fillId="0" borderId="0" xfId="0" applyFont="1" applyAlignment="1">
      <alignment vertical="center" wrapText="1"/>
    </xf>
    <xf numFmtId="0" fontId="12" fillId="0" borderId="0" xfId="0" applyFont="1" applyAlignment="1">
      <alignment horizontal="center" vertical="center" wrapText="1"/>
    </xf>
    <xf numFmtId="4" fontId="12" fillId="0" borderId="0" xfId="0" applyNumberFormat="1" applyFont="1" applyAlignment="1">
      <alignment horizontal="center" vertical="center" wrapText="1"/>
    </xf>
    <xf numFmtId="4" fontId="5" fillId="0" borderId="0" xfId="0" applyNumberFormat="1" applyFont="1" applyAlignment="1">
      <alignment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left" vertical="center" wrapText="1"/>
    </xf>
    <xf numFmtId="0" fontId="9" fillId="0" borderId="0" xfId="0" applyFont="1" applyAlignment="1">
      <alignment vertical="center" wrapText="1"/>
    </xf>
    <xf numFmtId="0" fontId="28" fillId="7" borderId="9" xfId="0" applyFont="1" applyFill="1" applyBorder="1" applyAlignment="1">
      <alignment horizontal="center" vertical="center" wrapText="1"/>
    </xf>
    <xf numFmtId="0" fontId="29" fillId="7" borderId="9" xfId="0" applyFont="1" applyFill="1" applyBorder="1" applyAlignment="1">
      <alignment horizontal="center" vertical="center" wrapText="1"/>
    </xf>
    <xf numFmtId="0" fontId="30" fillId="7" borderId="9" xfId="0" applyFont="1" applyFill="1" applyBorder="1" applyAlignment="1">
      <alignment horizontal="left" vertical="center" wrapText="1"/>
    </xf>
    <xf numFmtId="0" fontId="10" fillId="7" borderId="9" xfId="0" applyFont="1" applyFill="1" applyBorder="1" applyAlignment="1">
      <alignment horizontal="center" vertical="center" wrapText="1"/>
    </xf>
    <xf numFmtId="4" fontId="21" fillId="7" borderId="9" xfId="0" applyNumberFormat="1" applyFont="1" applyFill="1" applyBorder="1" applyAlignment="1">
      <alignment vertical="center" wrapText="1"/>
    </xf>
    <xf numFmtId="0" fontId="31" fillId="0" borderId="0" xfId="0" applyFont="1" applyAlignment="1">
      <alignment horizontal="left" vertical="center" wrapText="1"/>
    </xf>
    <xf numFmtId="0" fontId="32"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vertical="center" wrapText="1"/>
    </xf>
    <xf numFmtId="4" fontId="12" fillId="0" borderId="0" xfId="0" applyNumberFormat="1" applyFont="1" applyAlignment="1">
      <alignment vertical="center" wrapText="1"/>
    </xf>
    <xf numFmtId="0" fontId="33" fillId="7" borderId="9" xfId="0" applyFont="1" applyFill="1" applyBorder="1" applyAlignment="1">
      <alignment horizontal="center" vertical="center" wrapText="1"/>
    </xf>
    <xf numFmtId="4" fontId="33" fillId="7" borderId="9" xfId="0" applyNumberFormat="1" applyFont="1" applyFill="1" applyBorder="1" applyAlignment="1">
      <alignment vertical="center" wrapText="1"/>
    </xf>
    <xf numFmtId="0" fontId="0" fillId="0" borderId="0" xfId="0" applyAlignment="1">
      <alignment horizontal="center" vertical="center"/>
    </xf>
    <xf numFmtId="0" fontId="36" fillId="0" borderId="29" xfId="0" applyFont="1" applyBorder="1" applyAlignment="1">
      <alignment vertical="center" wrapText="1"/>
    </xf>
    <xf numFmtId="0" fontId="42" fillId="0" borderId="29" xfId="0" applyFont="1" applyBorder="1" applyAlignment="1">
      <alignment vertical="center" wrapText="1"/>
    </xf>
    <xf numFmtId="0" fontId="42" fillId="0" borderId="62" xfId="0" applyFont="1" applyBorder="1" applyAlignment="1">
      <alignment vertical="center" wrapText="1"/>
    </xf>
    <xf numFmtId="0" fontId="42" fillId="0" borderId="36" xfId="0" applyFont="1" applyBorder="1" applyAlignment="1">
      <alignment vertical="center" wrapText="1"/>
    </xf>
    <xf numFmtId="0" fontId="41" fillId="0" borderId="29" xfId="0" applyFont="1" applyBorder="1" applyAlignment="1">
      <alignment vertical="center" wrapText="1"/>
    </xf>
    <xf numFmtId="0" fontId="41" fillId="13" borderId="29" xfId="0" applyFont="1" applyFill="1" applyBorder="1" applyAlignment="1">
      <alignment vertical="center" wrapText="1"/>
    </xf>
    <xf numFmtId="0" fontId="40" fillId="0" borderId="0" xfId="0" applyFont="1"/>
    <xf numFmtId="0" fontId="44" fillId="0" borderId="0" xfId="0" applyFont="1"/>
    <xf numFmtId="0" fontId="45" fillId="0" borderId="37" xfId="0" applyFont="1" applyBorder="1" applyAlignment="1">
      <alignment horizontal="center" vertical="center"/>
    </xf>
    <xf numFmtId="0" fontId="45" fillId="0" borderId="37" xfId="0" applyFont="1" applyBorder="1" applyAlignment="1">
      <alignment horizontal="left" vertical="center"/>
    </xf>
    <xf numFmtId="0" fontId="46" fillId="0" borderId="29" xfId="0" applyFont="1" applyBorder="1" applyAlignment="1">
      <alignment horizontal="center" vertical="center"/>
    </xf>
    <xf numFmtId="0" fontId="40" fillId="0" borderId="29" xfId="0" applyFont="1" applyBorder="1" applyAlignment="1">
      <alignment horizontal="left" vertical="center"/>
    </xf>
    <xf numFmtId="49" fontId="47" fillId="0" borderId="29" xfId="0" applyNumberFormat="1" applyFont="1" applyBorder="1" applyAlignment="1">
      <alignment horizontal="center" vertical="center" wrapText="1"/>
    </xf>
    <xf numFmtId="49" fontId="47" fillId="0" borderId="29" xfId="0" applyNumberFormat="1" applyFont="1" applyBorder="1" applyAlignment="1">
      <alignment horizontal="right" vertical="center" wrapText="1"/>
    </xf>
    <xf numFmtId="2" fontId="47" fillId="0" borderId="29" xfId="0" applyNumberFormat="1" applyFont="1" applyBorder="1" applyAlignment="1">
      <alignment horizontal="center" vertical="center" wrapText="1"/>
    </xf>
    <xf numFmtId="0" fontId="48" fillId="0" borderId="29" xfId="0" applyFont="1" applyBorder="1" applyAlignment="1">
      <alignment vertical="center"/>
    </xf>
    <xf numFmtId="2" fontId="48" fillId="0" borderId="29" xfId="0" applyNumberFormat="1" applyFont="1" applyBorder="1" applyAlignment="1">
      <alignment vertical="center"/>
    </xf>
    <xf numFmtId="167" fontId="48" fillId="0" borderId="29" xfId="0" applyNumberFormat="1" applyFont="1" applyBorder="1" applyAlignment="1">
      <alignment vertical="center"/>
    </xf>
    <xf numFmtId="2" fontId="49" fillId="0" borderId="60" xfId="0" applyNumberFormat="1" applyFont="1" applyBorder="1" applyAlignment="1">
      <alignment horizontal="right" vertical="center"/>
    </xf>
    <xf numFmtId="2" fontId="36" fillId="0" borderId="29" xfId="0" applyNumberFormat="1" applyFont="1" applyBorder="1" applyAlignment="1">
      <alignment vertical="center"/>
    </xf>
    <xf numFmtId="2" fontId="49" fillId="0" borderId="29" xfId="0" applyNumberFormat="1" applyFont="1" applyBorder="1" applyAlignment="1">
      <alignment vertical="center"/>
    </xf>
    <xf numFmtId="49" fontId="50" fillId="0" borderId="29" xfId="0" applyNumberFormat="1" applyFont="1" applyBorder="1" applyAlignment="1">
      <alignment horizontal="center" vertical="top"/>
    </xf>
    <xf numFmtId="49" fontId="50" fillId="0" borderId="29" xfId="0" applyNumberFormat="1" applyFont="1" applyBorder="1" applyAlignment="1">
      <alignment horizontal="left" vertical="top" wrapText="1"/>
    </xf>
    <xf numFmtId="0" fontId="36" fillId="0" borderId="29" xfId="0" applyFont="1" applyBorder="1" applyAlignment="1">
      <alignment horizontal="center" vertical="top"/>
    </xf>
    <xf numFmtId="49" fontId="42" fillId="0" borderId="29" xfId="0" applyNumberFormat="1" applyFont="1" applyBorder="1" applyAlignment="1">
      <alignment horizontal="right" vertical="center"/>
    </xf>
    <xf numFmtId="2" fontId="42" fillId="0" borderId="29" xfId="0" applyNumberFormat="1" applyFont="1" applyBorder="1" applyAlignment="1">
      <alignment vertical="center"/>
    </xf>
    <xf numFmtId="49" fontId="42" fillId="0" borderId="29" xfId="0" applyNumberFormat="1" applyFont="1" applyBorder="1" applyAlignment="1">
      <alignment horizontal="center" vertical="center"/>
    </xf>
    <xf numFmtId="0" fontId="36" fillId="0" borderId="29" xfId="0" applyFont="1" applyBorder="1" applyAlignment="1">
      <alignment vertical="center"/>
    </xf>
    <xf numFmtId="0" fontId="36" fillId="0" borderId="29" xfId="0" applyFont="1" applyBorder="1" applyAlignment="1">
      <alignment horizontal="right" vertical="center"/>
    </xf>
    <xf numFmtId="167" fontId="40" fillId="0" borderId="0" xfId="0" applyNumberFormat="1" applyFont="1"/>
    <xf numFmtId="49" fontId="42" fillId="0" borderId="29" xfId="0" applyNumberFormat="1" applyFont="1" applyBorder="1" applyAlignment="1">
      <alignment vertical="center"/>
    </xf>
    <xf numFmtId="49" fontId="36" fillId="0" borderId="29" xfId="0" applyNumberFormat="1" applyFont="1" applyBorder="1" applyAlignment="1">
      <alignment vertical="center"/>
    </xf>
    <xf numFmtId="0" fontId="42" fillId="0" borderId="29" xfId="0" applyFont="1" applyBorder="1" applyAlignment="1">
      <alignment horizontal="center" vertical="center"/>
    </xf>
    <xf numFmtId="0" fontId="36" fillId="0" borderId="29" xfId="0" applyFont="1" applyBorder="1"/>
    <xf numFmtId="0" fontId="36" fillId="0" borderId="29" xfId="0" applyFont="1" applyBorder="1" applyAlignment="1">
      <alignment horizontal="right"/>
    </xf>
    <xf numFmtId="2" fontId="36" fillId="0" borderId="29" xfId="0" applyNumberFormat="1" applyFont="1" applyBorder="1"/>
    <xf numFmtId="0" fontId="42" fillId="0" borderId="29" xfId="0" applyFont="1" applyBorder="1"/>
    <xf numFmtId="2" fontId="42" fillId="0" borderId="29" xfId="0" applyNumberFormat="1" applyFont="1" applyBorder="1" applyAlignment="1">
      <alignment horizontal="center" vertical="center"/>
    </xf>
    <xf numFmtId="49" fontId="36" fillId="0" borderId="48" xfId="0" applyNumberFormat="1" applyFont="1" applyBorder="1" applyAlignment="1">
      <alignment vertical="center"/>
    </xf>
    <xf numFmtId="0" fontId="36" fillId="0" borderId="48" xfId="0" applyFont="1" applyBorder="1" applyAlignment="1">
      <alignment vertical="center"/>
    </xf>
    <xf numFmtId="0" fontId="36" fillId="0" borderId="48" xfId="0" applyFont="1" applyBorder="1" applyAlignment="1">
      <alignment horizontal="right" vertical="center"/>
    </xf>
    <xf numFmtId="49" fontId="42" fillId="0" borderId="48" xfId="0" applyNumberFormat="1" applyFont="1" applyBorder="1" applyAlignment="1">
      <alignment horizontal="right" vertical="center"/>
    </xf>
    <xf numFmtId="2" fontId="36" fillId="0" borderId="48" xfId="0" applyNumberFormat="1" applyFont="1" applyBorder="1" applyAlignment="1">
      <alignment vertical="center"/>
    </xf>
    <xf numFmtId="49" fontId="42" fillId="0" borderId="48" xfId="0" applyNumberFormat="1" applyFont="1" applyBorder="1" applyAlignment="1">
      <alignment horizontal="center" vertical="center"/>
    </xf>
    <xf numFmtId="49" fontId="36" fillId="0" borderId="63" xfId="0" applyNumberFormat="1" applyFont="1" applyBorder="1" applyAlignment="1">
      <alignment vertical="center"/>
    </xf>
    <xf numFmtId="0" fontId="36" fillId="0" borderId="63" xfId="0" applyFont="1" applyBorder="1" applyAlignment="1">
      <alignment vertical="center"/>
    </xf>
    <xf numFmtId="0" fontId="36" fillId="0" borderId="63" xfId="0" applyFont="1" applyBorder="1" applyAlignment="1">
      <alignment horizontal="right" vertical="center"/>
    </xf>
    <xf numFmtId="49" fontId="42" fillId="0" borderId="63" xfId="0" applyNumberFormat="1" applyFont="1" applyBorder="1" applyAlignment="1">
      <alignment horizontal="right" vertical="center"/>
    </xf>
    <xf numFmtId="2" fontId="36" fillId="0" borderId="63" xfId="0" applyNumberFormat="1" applyFont="1" applyBorder="1" applyAlignment="1">
      <alignment vertical="center"/>
    </xf>
    <xf numFmtId="49" fontId="42" fillId="0" borderId="63" xfId="0" applyNumberFormat="1" applyFont="1" applyBorder="1" applyAlignment="1">
      <alignment horizontal="center" vertical="center"/>
    </xf>
    <xf numFmtId="0" fontId="42" fillId="0" borderId="63" xfId="0" applyFont="1" applyBorder="1" applyAlignment="1">
      <alignment horizontal="center" vertical="center"/>
    </xf>
    <xf numFmtId="0" fontId="44" fillId="0" borderId="63" xfId="0" applyFont="1" applyBorder="1"/>
    <xf numFmtId="0" fontId="51" fillId="0" borderId="63" xfId="0" applyFont="1" applyBorder="1"/>
    <xf numFmtId="0" fontId="36" fillId="0" borderId="63" xfId="0" applyFont="1" applyBorder="1"/>
    <xf numFmtId="0" fontId="36" fillId="0" borderId="63" xfId="0" applyFont="1" applyBorder="1" applyAlignment="1">
      <alignment horizontal="right"/>
    </xf>
    <xf numFmtId="2" fontId="36" fillId="0" borderId="63" xfId="0" applyNumberFormat="1" applyFont="1" applyBorder="1"/>
    <xf numFmtId="0" fontId="44" fillId="0" borderId="9" xfId="0" applyFont="1" applyBorder="1"/>
    <xf numFmtId="49" fontId="42" fillId="0" borderId="65" xfId="0" applyNumberFormat="1" applyFont="1" applyBorder="1" applyAlignment="1">
      <alignment horizontal="center" vertical="center"/>
    </xf>
    <xf numFmtId="49" fontId="42" fillId="0" borderId="70" xfId="0" applyNumberFormat="1" applyFont="1" applyBorder="1" applyAlignment="1">
      <alignment horizontal="center" vertical="center"/>
    </xf>
    <xf numFmtId="0" fontId="51" fillId="0" borderId="64" xfId="0" applyFont="1" applyBorder="1"/>
    <xf numFmtId="0" fontId="36" fillId="0" borderId="64" xfId="0" applyFont="1" applyBorder="1"/>
    <xf numFmtId="0" fontId="36" fillId="0" borderId="36" xfId="0" applyFont="1" applyBorder="1"/>
    <xf numFmtId="49" fontId="42" fillId="0" borderId="36" xfId="0" applyNumberFormat="1" applyFont="1" applyBorder="1" applyAlignment="1">
      <alignment vertical="center"/>
    </xf>
    <xf numFmtId="0" fontId="36" fillId="0" borderId="36" xfId="0" applyFont="1" applyBorder="1" applyAlignment="1">
      <alignment horizontal="right"/>
    </xf>
    <xf numFmtId="2" fontId="36" fillId="0" borderId="36" xfId="0" applyNumberFormat="1" applyFont="1" applyBorder="1"/>
    <xf numFmtId="0" fontId="36" fillId="0" borderId="62" xfId="0" applyFont="1" applyBorder="1"/>
    <xf numFmtId="0" fontId="36" fillId="0" borderId="62" xfId="0" applyFont="1" applyBorder="1" applyAlignment="1">
      <alignment horizontal="right"/>
    </xf>
    <xf numFmtId="0" fontId="36" fillId="0" borderId="62" xfId="0" applyFont="1" applyBorder="1" applyAlignment="1">
      <alignment vertical="center"/>
    </xf>
    <xf numFmtId="2" fontId="36" fillId="0" borderId="62" xfId="0" applyNumberFormat="1" applyFont="1" applyBorder="1" applyAlignment="1">
      <alignment vertical="center"/>
    </xf>
    <xf numFmtId="0" fontId="36" fillId="0" borderId="29" xfId="2" applyFont="1" applyBorder="1" applyAlignment="1">
      <alignment vertical="center"/>
    </xf>
    <xf numFmtId="0" fontId="36" fillId="0" borderId="29" xfId="2" applyFont="1" applyBorder="1" applyAlignment="1">
      <alignment horizontal="right" vertical="center"/>
    </xf>
    <xf numFmtId="49" fontId="42" fillId="0" borderId="29" xfId="2" applyNumberFormat="1" applyFont="1" applyBorder="1" applyAlignment="1">
      <alignment horizontal="right" vertical="center"/>
    </xf>
    <xf numFmtId="2" fontId="42" fillId="0" borderId="29" xfId="2" applyNumberFormat="1" applyFont="1" applyBorder="1" applyAlignment="1">
      <alignment vertical="center"/>
    </xf>
    <xf numFmtId="49" fontId="42" fillId="0" borderId="29" xfId="2" applyNumberFormat="1" applyFont="1" applyBorder="1" applyAlignment="1">
      <alignment horizontal="center" vertical="center"/>
    </xf>
    <xf numFmtId="0" fontId="36" fillId="0" borderId="29" xfId="2" applyFont="1" applyBorder="1" applyAlignment="1">
      <alignment vertical="center" wrapText="1"/>
    </xf>
    <xf numFmtId="2" fontId="36" fillId="0" borderId="29" xfId="2" applyNumberFormat="1" applyFont="1" applyBorder="1"/>
    <xf numFmtId="0" fontId="36" fillId="0" borderId="48" xfId="2" applyFont="1" applyBorder="1" applyAlignment="1">
      <alignment vertical="center" wrapText="1"/>
    </xf>
    <xf numFmtId="0" fontId="36" fillId="0" borderId="48" xfId="2" applyFont="1" applyBorder="1" applyAlignment="1">
      <alignment vertical="center"/>
    </xf>
    <xf numFmtId="0" fontId="36" fillId="0" borderId="48" xfId="2" applyFont="1" applyBorder="1" applyAlignment="1">
      <alignment horizontal="right" vertical="center"/>
    </xf>
    <xf numFmtId="49" fontId="42" fillId="0" borderId="48" xfId="2" applyNumberFormat="1" applyFont="1" applyBorder="1" applyAlignment="1">
      <alignment horizontal="right" vertical="center"/>
    </xf>
    <xf numFmtId="2" fontId="36" fillId="0" borderId="48" xfId="2" applyNumberFormat="1" applyFont="1" applyBorder="1"/>
    <xf numFmtId="0" fontId="36" fillId="0" borderId="63" xfId="2" applyFont="1" applyBorder="1" applyAlignment="1">
      <alignment vertical="center"/>
    </xf>
    <xf numFmtId="0" fontId="36" fillId="0" borderId="63" xfId="2" applyFont="1" applyBorder="1" applyAlignment="1">
      <alignment horizontal="right" vertical="center"/>
    </xf>
    <xf numFmtId="49" fontId="42" fillId="0" borderId="63" xfId="2" applyNumberFormat="1" applyFont="1" applyBorder="1" applyAlignment="1">
      <alignment horizontal="right" vertical="center"/>
    </xf>
    <xf numFmtId="49" fontId="42" fillId="0" borderId="60" xfId="2" applyNumberFormat="1" applyFont="1" applyBorder="1" applyAlignment="1">
      <alignment horizontal="center" vertical="center"/>
    </xf>
    <xf numFmtId="0" fontId="36" fillId="0" borderId="64" xfId="2" applyFont="1" applyBorder="1" applyAlignment="1">
      <alignment vertical="center"/>
    </xf>
    <xf numFmtId="0" fontId="36" fillId="0" borderId="64" xfId="2" applyFont="1" applyBorder="1" applyAlignment="1">
      <alignment horizontal="right" vertical="center"/>
    </xf>
    <xf numFmtId="49" fontId="42" fillId="0" borderId="64" xfId="2" applyNumberFormat="1" applyFont="1" applyBorder="1" applyAlignment="1">
      <alignment horizontal="right" vertical="center"/>
    </xf>
    <xf numFmtId="49" fontId="42" fillId="0" borderId="59" xfId="2" applyNumberFormat="1" applyFont="1" applyBorder="1" applyAlignment="1">
      <alignment horizontal="center" vertical="center"/>
    </xf>
    <xf numFmtId="0" fontId="36" fillId="0" borderId="63" xfId="2" applyFont="1" applyBorder="1" applyAlignment="1">
      <alignment vertical="center" wrapText="1"/>
    </xf>
    <xf numFmtId="2" fontId="36" fillId="0" borderId="63" xfId="2" applyNumberFormat="1" applyFont="1" applyBorder="1"/>
    <xf numFmtId="49" fontId="42" fillId="0" borderId="63" xfId="2" applyNumberFormat="1" applyFont="1" applyBorder="1" applyAlignment="1">
      <alignment horizontal="center" vertical="center"/>
    </xf>
    <xf numFmtId="49" fontId="42" fillId="0" borderId="64" xfId="2" applyNumberFormat="1" applyFont="1" applyBorder="1" applyAlignment="1">
      <alignment horizontal="center" vertical="center"/>
    </xf>
    <xf numFmtId="2" fontId="36" fillId="0" borderId="64" xfId="2" applyNumberFormat="1" applyFont="1" applyBorder="1"/>
    <xf numFmtId="2" fontId="36" fillId="0" borderId="48" xfId="0" applyNumberFormat="1" applyFont="1" applyBorder="1"/>
    <xf numFmtId="0" fontId="36" fillId="0" borderId="48" xfId="0" applyFont="1" applyBorder="1" applyAlignment="1">
      <alignment vertical="center" wrapText="1"/>
    </xf>
    <xf numFmtId="49" fontId="42" fillId="0" borderId="60" xfId="0" applyNumberFormat="1" applyFont="1" applyBorder="1" applyAlignment="1">
      <alignment horizontal="center" vertical="center"/>
    </xf>
    <xf numFmtId="0" fontId="36" fillId="0" borderId="64" xfId="0" applyFont="1" applyBorder="1" applyAlignment="1">
      <alignment vertical="center"/>
    </xf>
    <xf numFmtId="0" fontId="36" fillId="0" borderId="64" xfId="0" applyFont="1" applyBorder="1" applyAlignment="1">
      <alignment horizontal="right" vertical="center"/>
    </xf>
    <xf numFmtId="49" fontId="42" fillId="0" borderId="64" xfId="0" applyNumberFormat="1" applyFont="1" applyBorder="1" applyAlignment="1">
      <alignment horizontal="right" vertical="center"/>
    </xf>
    <xf numFmtId="49" fontId="42" fillId="0" borderId="59" xfId="0" applyNumberFormat="1" applyFont="1" applyBorder="1" applyAlignment="1">
      <alignment horizontal="center" vertical="center"/>
    </xf>
    <xf numFmtId="0" fontId="36" fillId="0" borderId="63" xfId="0" applyFont="1" applyBorder="1" applyAlignment="1">
      <alignment vertical="center" wrapText="1"/>
    </xf>
    <xf numFmtId="49" fontId="42" fillId="0" borderId="64" xfId="0" applyNumberFormat="1" applyFont="1" applyBorder="1" applyAlignment="1">
      <alignment horizontal="center" vertical="center"/>
    </xf>
    <xf numFmtId="2" fontId="36" fillId="0" borderId="64" xfId="0" applyNumberFormat="1" applyFont="1" applyBorder="1"/>
    <xf numFmtId="0" fontId="36" fillId="0" borderId="62" xfId="0" applyFont="1" applyBorder="1" applyAlignment="1">
      <alignment horizontal="right" vertical="center"/>
    </xf>
    <xf numFmtId="49" fontId="42" fillId="0" borderId="62" xfId="0" applyNumberFormat="1" applyFont="1" applyBorder="1" applyAlignment="1">
      <alignment horizontal="right" vertical="center"/>
    </xf>
    <xf numFmtId="2" fontId="42" fillId="0" borderId="62" xfId="0" applyNumberFormat="1" applyFont="1" applyBorder="1" applyAlignment="1">
      <alignment vertical="center"/>
    </xf>
    <xf numFmtId="49" fontId="42" fillId="0" borderId="62" xfId="0" applyNumberFormat="1" applyFont="1" applyBorder="1" applyAlignment="1">
      <alignment horizontal="center" vertical="center"/>
    </xf>
    <xf numFmtId="49" fontId="42" fillId="0" borderId="60" xfId="0" applyNumberFormat="1" applyFont="1" applyBorder="1" applyAlignment="1">
      <alignment horizontal="right" vertical="center"/>
    </xf>
    <xf numFmtId="49" fontId="36" fillId="0" borderId="62" xfId="0" applyNumberFormat="1" applyFont="1" applyBorder="1" applyAlignment="1">
      <alignment vertical="center"/>
    </xf>
    <xf numFmtId="0" fontId="36" fillId="0" borderId="53" xfId="0" applyFont="1" applyBorder="1" applyAlignment="1">
      <alignment vertical="center"/>
    </xf>
    <xf numFmtId="0" fontId="36" fillId="0" borderId="56" xfId="0" applyFont="1" applyBorder="1" applyAlignment="1">
      <alignment vertical="center"/>
    </xf>
    <xf numFmtId="0" fontId="36" fillId="0" borderId="36" xfId="0" applyFont="1" applyBorder="1" applyAlignment="1">
      <alignment horizontal="right" vertical="center"/>
    </xf>
    <xf numFmtId="0" fontId="36" fillId="0" borderId="36" xfId="0" applyFont="1" applyBorder="1" applyAlignment="1">
      <alignment vertical="center"/>
    </xf>
    <xf numFmtId="0" fontId="36" fillId="0" borderId="68" xfId="0" applyFont="1" applyBorder="1" applyAlignment="1">
      <alignment vertical="center"/>
    </xf>
    <xf numFmtId="49" fontId="36" fillId="0" borderId="64" xfId="0" applyNumberFormat="1" applyFont="1" applyBorder="1" applyAlignment="1">
      <alignment vertical="center"/>
    </xf>
    <xf numFmtId="0" fontId="36" fillId="0" borderId="70" xfId="0" applyFont="1" applyBorder="1" applyAlignment="1">
      <alignment vertical="center"/>
    </xf>
    <xf numFmtId="49" fontId="42" fillId="0" borderId="53" xfId="0" applyNumberFormat="1" applyFont="1" applyBorder="1" applyAlignment="1">
      <alignment horizontal="center" vertical="center"/>
    </xf>
    <xf numFmtId="2" fontId="36" fillId="0" borderId="64" xfId="0" applyNumberFormat="1" applyFont="1" applyBorder="1" applyAlignment="1">
      <alignment vertical="center"/>
    </xf>
    <xf numFmtId="0" fontId="36" fillId="0" borderId="72" xfId="0" applyFont="1" applyBorder="1" applyAlignment="1">
      <alignment vertical="center"/>
    </xf>
    <xf numFmtId="0" fontId="36" fillId="0" borderId="66" xfId="0" applyFont="1" applyBorder="1" applyAlignment="1">
      <alignment horizontal="right" vertical="center"/>
    </xf>
    <xf numFmtId="49" fontId="42" fillId="0" borderId="62" xfId="0" applyNumberFormat="1" applyFont="1" applyBorder="1" applyAlignment="1">
      <alignment vertical="center"/>
    </xf>
    <xf numFmtId="0" fontId="36" fillId="0" borderId="48" xfId="0" applyFont="1" applyBorder="1"/>
    <xf numFmtId="0" fontId="36" fillId="0" borderId="60" xfId="0" applyFont="1" applyBorder="1"/>
    <xf numFmtId="0" fontId="36" fillId="0" borderId="59" xfId="0" applyFont="1" applyBorder="1"/>
    <xf numFmtId="0" fontId="36" fillId="0" borderId="48" xfId="0" applyFont="1" applyBorder="1" applyAlignment="1">
      <alignment horizontal="right"/>
    </xf>
    <xf numFmtId="2" fontId="36" fillId="0" borderId="62" xfId="0" applyNumberFormat="1" applyFont="1" applyBorder="1"/>
    <xf numFmtId="49" fontId="36" fillId="0" borderId="36" xfId="0" applyNumberFormat="1" applyFont="1" applyBorder="1" applyAlignment="1">
      <alignment vertical="center"/>
    </xf>
    <xf numFmtId="0" fontId="42" fillId="0" borderId="48" xfId="0" applyFont="1" applyBorder="1" applyAlignment="1">
      <alignment vertical="center" wrapText="1"/>
    </xf>
    <xf numFmtId="2" fontId="42" fillId="0" borderId="48" xfId="0" applyNumberFormat="1" applyFont="1" applyBorder="1" applyAlignment="1">
      <alignment vertical="center"/>
    </xf>
    <xf numFmtId="0" fontId="36" fillId="13" borderId="63" xfId="0" applyFont="1" applyFill="1" applyBorder="1" applyAlignment="1">
      <alignment vertical="center"/>
    </xf>
    <xf numFmtId="0" fontId="36" fillId="13" borderId="63" xfId="0" applyFont="1" applyFill="1" applyBorder="1" applyAlignment="1">
      <alignment horizontal="right" vertical="center"/>
    </xf>
    <xf numFmtId="49" fontId="42" fillId="13" borderId="63" xfId="0" applyNumberFormat="1" applyFont="1" applyFill="1" applyBorder="1" applyAlignment="1">
      <alignment horizontal="right" vertical="center"/>
    </xf>
    <xf numFmtId="2" fontId="42" fillId="13" borderId="63" xfId="0" applyNumberFormat="1" applyFont="1" applyFill="1" applyBorder="1" applyAlignment="1">
      <alignment vertical="center"/>
    </xf>
    <xf numFmtId="49" fontId="42" fillId="13" borderId="63" xfId="0" applyNumberFormat="1" applyFont="1" applyFill="1" applyBorder="1" applyAlignment="1">
      <alignment horizontal="center" vertical="center"/>
    </xf>
    <xf numFmtId="0" fontId="42" fillId="0" borderId="65" xfId="0" applyFont="1" applyBorder="1" applyAlignment="1">
      <alignment vertical="top" wrapText="1"/>
    </xf>
    <xf numFmtId="2" fontId="42" fillId="0" borderId="63" xfId="0" applyNumberFormat="1" applyFont="1" applyBorder="1" applyAlignment="1">
      <alignment vertical="center"/>
    </xf>
    <xf numFmtId="0" fontId="36" fillId="0" borderId="9" xfId="0" applyFont="1" applyBorder="1" applyAlignment="1">
      <alignment horizontal="center" vertical="center"/>
    </xf>
    <xf numFmtId="49" fontId="36" fillId="0" borderId="9" xfId="0" applyNumberFormat="1" applyFont="1" applyBorder="1" applyAlignment="1">
      <alignment vertical="center"/>
    </xf>
    <xf numFmtId="0" fontId="36" fillId="0" borderId="9" xfId="0" applyFont="1" applyBorder="1" applyAlignment="1">
      <alignment vertical="center"/>
    </xf>
    <xf numFmtId="0" fontId="36" fillId="0" borderId="9" xfId="0" applyFont="1" applyBorder="1" applyAlignment="1">
      <alignment horizontal="right" vertical="center"/>
    </xf>
    <xf numFmtId="49" fontId="42" fillId="0" borderId="9" xfId="0" applyNumberFormat="1" applyFont="1" applyBorder="1" applyAlignment="1">
      <alignment horizontal="right" vertical="center"/>
    </xf>
    <xf numFmtId="2" fontId="36" fillId="0" borderId="9" xfId="0" applyNumberFormat="1" applyFont="1" applyBorder="1" applyAlignment="1">
      <alignment vertical="center"/>
    </xf>
    <xf numFmtId="49" fontId="42" fillId="0" borderId="9" xfId="0" applyNumberFormat="1" applyFont="1" applyBorder="1" applyAlignment="1">
      <alignment horizontal="center" vertical="center"/>
    </xf>
    <xf numFmtId="49" fontId="50" fillId="13" borderId="48" xfId="0" applyNumberFormat="1" applyFont="1" applyFill="1" applyBorder="1" applyAlignment="1">
      <alignment horizontal="center" vertical="top"/>
    </xf>
    <xf numFmtId="49" fontId="50" fillId="13" borderId="48" xfId="0" applyNumberFormat="1" applyFont="1" applyFill="1" applyBorder="1" applyAlignment="1">
      <alignment horizontal="left" vertical="top" wrapText="1"/>
    </xf>
    <xf numFmtId="0" fontId="36" fillId="13" borderId="48" xfId="0" applyFont="1" applyFill="1" applyBorder="1" applyAlignment="1">
      <alignment horizontal="center" vertical="top"/>
    </xf>
    <xf numFmtId="49" fontId="42" fillId="13" borderId="48" xfId="0" applyNumberFormat="1" applyFont="1" applyFill="1" applyBorder="1" applyAlignment="1">
      <alignment horizontal="center" vertical="center"/>
    </xf>
    <xf numFmtId="2" fontId="42" fillId="13" borderId="48" xfId="0" applyNumberFormat="1" applyFont="1" applyFill="1" applyBorder="1" applyAlignment="1">
      <alignment horizontal="right" vertical="center"/>
    </xf>
    <xf numFmtId="49" fontId="50" fillId="0" borderId="48" xfId="0" applyNumberFormat="1" applyFont="1" applyBorder="1" applyAlignment="1">
      <alignment horizontal="center" vertical="top"/>
    </xf>
    <xf numFmtId="49" fontId="50" fillId="0" borderId="48" xfId="0" applyNumberFormat="1" applyFont="1" applyBorder="1" applyAlignment="1">
      <alignment horizontal="left" vertical="top" wrapText="1"/>
    </xf>
    <xf numFmtId="0" fontId="36" fillId="0" borderId="48" xfId="0" applyFont="1" applyBorder="1" applyAlignment="1">
      <alignment horizontal="center" vertical="top"/>
    </xf>
    <xf numFmtId="49" fontId="50" fillId="13" borderId="29" xfId="0" applyNumberFormat="1" applyFont="1" applyFill="1" applyBorder="1" applyAlignment="1">
      <alignment horizontal="center" vertical="top"/>
    </xf>
    <xf numFmtId="49" fontId="50" fillId="13" borderId="29" xfId="0" applyNumberFormat="1" applyFont="1" applyFill="1" applyBorder="1" applyAlignment="1">
      <alignment horizontal="left" vertical="center" wrapText="1"/>
    </xf>
    <xf numFmtId="0" fontId="36" fillId="13" borderId="29" xfId="0" applyFont="1" applyFill="1" applyBorder="1" applyAlignment="1">
      <alignment horizontal="center" vertical="center"/>
    </xf>
    <xf numFmtId="49" fontId="42" fillId="13" borderId="29" xfId="0" applyNumberFormat="1" applyFont="1" applyFill="1" applyBorder="1" applyAlignment="1">
      <alignment horizontal="right" vertical="center"/>
    </xf>
    <xf numFmtId="2" fontId="42" fillId="13" borderId="29" xfId="0" applyNumberFormat="1" applyFont="1" applyFill="1" applyBorder="1" applyAlignment="1">
      <alignment vertical="center"/>
    </xf>
    <xf numFmtId="49" fontId="36" fillId="13" borderId="29" xfId="0" applyNumberFormat="1" applyFont="1" applyFill="1" applyBorder="1" applyAlignment="1">
      <alignment horizontal="right" vertical="center"/>
    </xf>
    <xf numFmtId="0" fontId="40" fillId="0" borderId="0" xfId="0" applyFont="1" applyAlignment="1">
      <alignment horizontal="center" vertical="center"/>
    </xf>
    <xf numFmtId="0" fontId="44" fillId="0" borderId="0" xfId="0" applyFont="1" applyAlignment="1">
      <alignment horizontal="center" vertical="center"/>
    </xf>
    <xf numFmtId="49" fontId="42" fillId="13" borderId="29" xfId="0" applyNumberFormat="1" applyFont="1" applyFill="1" applyBorder="1" applyAlignment="1">
      <alignment horizontal="left" vertical="top" wrapText="1"/>
    </xf>
    <xf numFmtId="0" fontId="36" fillId="13" borderId="29" xfId="0" applyFont="1" applyFill="1" applyBorder="1" applyAlignment="1">
      <alignment horizontal="center" vertical="top"/>
    </xf>
    <xf numFmtId="49" fontId="42" fillId="13" borderId="29" xfId="0" applyNumberFormat="1" applyFont="1" applyFill="1" applyBorder="1" applyAlignment="1">
      <alignment horizontal="center" vertical="center"/>
    </xf>
    <xf numFmtId="49" fontId="50" fillId="13" borderId="29" xfId="0" applyNumberFormat="1" applyFont="1" applyFill="1" applyBorder="1" applyAlignment="1">
      <alignment horizontal="left" vertical="top" wrapText="1"/>
    </xf>
    <xf numFmtId="2" fontId="36" fillId="0" borderId="32" xfId="0" applyNumberFormat="1" applyFont="1" applyBorder="1" applyAlignment="1">
      <alignment vertical="center"/>
    </xf>
    <xf numFmtId="2" fontId="36" fillId="0" borderId="32" xfId="0" applyNumberFormat="1" applyFont="1" applyBorder="1"/>
    <xf numFmtId="167" fontId="40" fillId="0" borderId="9" xfId="0" applyNumberFormat="1" applyFont="1" applyBorder="1"/>
    <xf numFmtId="0" fontId="40" fillId="0" borderId="9" xfId="0" applyFont="1" applyBorder="1"/>
    <xf numFmtId="2" fontId="36" fillId="0" borderId="57" xfId="0" applyNumberFormat="1" applyFont="1" applyBorder="1"/>
    <xf numFmtId="2" fontId="36" fillId="0" borderId="67" xfId="0" applyNumberFormat="1" applyFont="1" applyBorder="1"/>
    <xf numFmtId="0" fontId="52" fillId="0" borderId="29" xfId="0" applyFont="1" applyBorder="1" applyAlignment="1">
      <alignment vertical="center" wrapText="1"/>
    </xf>
    <xf numFmtId="0" fontId="36" fillId="0" borderId="60" xfId="0" applyFont="1" applyBorder="1" applyAlignment="1">
      <alignment vertical="center"/>
    </xf>
    <xf numFmtId="0" fontId="36" fillId="13" borderId="63" xfId="0" applyFont="1" applyFill="1" applyBorder="1"/>
    <xf numFmtId="0" fontId="36" fillId="13" borderId="63" xfId="0" applyFont="1" applyFill="1" applyBorder="1" applyAlignment="1">
      <alignment horizontal="right"/>
    </xf>
    <xf numFmtId="0" fontId="42" fillId="0" borderId="63" xfId="0" applyFont="1" applyBorder="1" applyAlignment="1">
      <alignment vertical="center" wrapText="1"/>
    </xf>
    <xf numFmtId="0" fontId="41" fillId="13" borderId="29" xfId="0" applyFont="1" applyFill="1" applyBorder="1" applyAlignment="1">
      <alignment horizontal="center" vertical="center"/>
    </xf>
    <xf numFmtId="0" fontId="36" fillId="13" borderId="29" xfId="0" applyFont="1" applyFill="1" applyBorder="1" applyAlignment="1">
      <alignment vertical="center"/>
    </xf>
    <xf numFmtId="0" fontId="36" fillId="13" borderId="29" xfId="0" applyFont="1" applyFill="1" applyBorder="1" applyAlignment="1">
      <alignment horizontal="right" vertical="center"/>
    </xf>
    <xf numFmtId="167" fontId="40" fillId="12" borderId="0" xfId="0" applyNumberFormat="1" applyFont="1" applyFill="1"/>
    <xf numFmtId="0" fontId="40" fillId="12" borderId="0" xfId="0" applyFont="1" applyFill="1"/>
    <xf numFmtId="0" fontId="44" fillId="12" borderId="0" xfId="0" applyFont="1" applyFill="1"/>
    <xf numFmtId="0" fontId="42" fillId="13" borderId="29" xfId="0" applyFont="1" applyFill="1" applyBorder="1" applyAlignment="1">
      <alignment horizontal="center" vertical="center"/>
    </xf>
    <xf numFmtId="0" fontId="42" fillId="13" borderId="29" xfId="0" applyFont="1" applyFill="1" applyBorder="1" applyAlignment="1">
      <alignment vertical="center" wrapText="1"/>
    </xf>
    <xf numFmtId="0" fontId="42" fillId="13" borderId="29" xfId="2" applyFont="1" applyFill="1" applyBorder="1" applyAlignment="1">
      <alignment horizontal="center" vertical="center"/>
    </xf>
    <xf numFmtId="0" fontId="42" fillId="13" borderId="29" xfId="2" applyFont="1" applyFill="1" applyBorder="1" applyAlignment="1">
      <alignment vertical="center" wrapText="1"/>
    </xf>
    <xf numFmtId="0" fontId="36" fillId="13" borderId="29" xfId="2" applyFont="1" applyFill="1" applyBorder="1" applyAlignment="1">
      <alignment vertical="center"/>
    </xf>
    <xf numFmtId="0" fontId="36" fillId="13" borderId="29" xfId="2" applyFont="1" applyFill="1" applyBorder="1" applyAlignment="1">
      <alignment horizontal="right" vertical="center"/>
    </xf>
    <xf numFmtId="49" fontId="42" fillId="13" borderId="29" xfId="2" applyNumberFormat="1" applyFont="1" applyFill="1" applyBorder="1" applyAlignment="1">
      <alignment horizontal="right" vertical="center"/>
    </xf>
    <xf numFmtId="2" fontId="42" fillId="13" borderId="29" xfId="2" applyNumberFormat="1" applyFont="1" applyFill="1" applyBorder="1" applyAlignment="1">
      <alignment vertical="center"/>
    </xf>
    <xf numFmtId="49" fontId="42" fillId="13" borderId="29" xfId="2" applyNumberFormat="1" applyFont="1" applyFill="1" applyBorder="1" applyAlignment="1">
      <alignment horizontal="center" vertical="center"/>
    </xf>
    <xf numFmtId="49" fontId="50" fillId="13" borderId="29" xfId="2" applyNumberFormat="1" applyFont="1" applyFill="1" applyBorder="1" applyAlignment="1">
      <alignment horizontal="center" vertical="top"/>
    </xf>
    <xf numFmtId="49" fontId="50" fillId="13" borderId="29" xfId="2" applyNumberFormat="1" applyFont="1" applyFill="1" applyBorder="1" applyAlignment="1">
      <alignment horizontal="left" vertical="top" wrapText="1"/>
    </xf>
    <xf numFmtId="0" fontId="36" fillId="13" borderId="29" xfId="2" applyFont="1" applyFill="1" applyBorder="1" applyAlignment="1">
      <alignment horizontal="center" vertical="top"/>
    </xf>
    <xf numFmtId="168" fontId="5" fillId="0" borderId="0" xfId="0" applyNumberFormat="1" applyFont="1" applyAlignment="1">
      <alignment horizontal="right" vertical="center"/>
    </xf>
    <xf numFmtId="168" fontId="0" fillId="0" borderId="0" xfId="0" applyNumberFormat="1" applyAlignment="1">
      <alignment horizontal="right" vertical="center"/>
    </xf>
    <xf numFmtId="0" fontId="54" fillId="0" borderId="29" xfId="4" applyFont="1" applyBorder="1" applyAlignment="1">
      <alignment vertical="center"/>
    </xf>
    <xf numFmtId="49" fontId="55" fillId="0" borderId="29" xfId="4" applyNumberFormat="1" applyFont="1" applyBorder="1" applyAlignment="1">
      <alignment horizontal="right" vertical="center"/>
    </xf>
    <xf numFmtId="49" fontId="55" fillId="0" borderId="29" xfId="4" applyNumberFormat="1" applyFont="1" applyBorder="1" applyAlignment="1">
      <alignment horizontal="center" vertical="center"/>
    </xf>
    <xf numFmtId="0" fontId="54" fillId="0" borderId="29" xfId="4" applyFont="1" applyBorder="1" applyAlignment="1">
      <alignment horizontal="right" vertical="center"/>
    </xf>
    <xf numFmtId="2" fontId="55" fillId="0" borderId="29" xfId="4" applyNumberFormat="1" applyFont="1" applyBorder="1" applyAlignment="1">
      <alignment horizontal="center" vertical="center"/>
    </xf>
    <xf numFmtId="49" fontId="53" fillId="0" borderId="29" xfId="4" applyNumberFormat="1" applyFont="1" applyBorder="1" applyAlignment="1">
      <alignment vertical="center"/>
    </xf>
    <xf numFmtId="2" fontId="54" fillId="0" borderId="29" xfId="4" applyNumberFormat="1" applyFont="1" applyBorder="1" applyAlignment="1">
      <alignment horizontal="center" vertical="center"/>
    </xf>
    <xf numFmtId="49" fontId="55" fillId="0" borderId="48" xfId="4" applyNumberFormat="1" applyFont="1" applyBorder="1" applyAlignment="1">
      <alignment horizontal="right" vertical="center"/>
    </xf>
    <xf numFmtId="2" fontId="55" fillId="0" borderId="48" xfId="4" applyNumberFormat="1" applyFont="1" applyBorder="1" applyAlignment="1">
      <alignment horizontal="center" vertical="center"/>
    </xf>
    <xf numFmtId="49" fontId="55" fillId="0" borderId="48" xfId="4" applyNumberFormat="1" applyFont="1" applyBorder="1" applyAlignment="1">
      <alignment horizontal="center" vertical="center"/>
    </xf>
    <xf numFmtId="49" fontId="53" fillId="0" borderId="53" xfId="4" applyNumberFormat="1" applyFont="1" applyBorder="1" applyAlignment="1">
      <alignment vertical="center"/>
    </xf>
    <xf numFmtId="0" fontId="54" fillId="0" borderId="60" xfId="4" applyFont="1" applyBorder="1" applyAlignment="1">
      <alignment vertical="center"/>
    </xf>
    <xf numFmtId="0" fontId="2" fillId="0" borderId="63" xfId="4" applyBorder="1"/>
    <xf numFmtId="49" fontId="55" fillId="0" borderId="62" xfId="4" applyNumberFormat="1" applyFont="1" applyBorder="1" applyAlignment="1">
      <alignment horizontal="right" vertical="center"/>
    </xf>
    <xf numFmtId="49" fontId="55" fillId="0" borderId="62" xfId="4" applyNumberFormat="1" applyFont="1" applyBorder="1" applyAlignment="1">
      <alignment horizontal="center" vertical="center"/>
    </xf>
    <xf numFmtId="49" fontId="35" fillId="0" borderId="29" xfId="4" applyNumberFormat="1" applyFont="1" applyBorder="1" applyAlignment="1">
      <alignment vertical="center"/>
    </xf>
    <xf numFmtId="49" fontId="53" fillId="0" borderId="32" xfId="4" applyNumberFormat="1" applyFont="1" applyBorder="1" applyAlignment="1">
      <alignment vertical="center"/>
    </xf>
    <xf numFmtId="0" fontId="54" fillId="0" borderId="60" xfId="4" applyFont="1" applyBorder="1" applyAlignment="1">
      <alignment horizontal="right" vertical="center"/>
    </xf>
    <xf numFmtId="2" fontId="54" fillId="14" borderId="29" xfId="4" applyNumberFormat="1" applyFont="1" applyFill="1" applyBorder="1" applyAlignment="1">
      <alignment horizontal="center" vertical="center"/>
    </xf>
    <xf numFmtId="0" fontId="39" fillId="0" borderId="0" xfId="0" applyFont="1" applyAlignment="1">
      <alignment horizontal="center" vertical="center"/>
    </xf>
    <xf numFmtId="0" fontId="37" fillId="0" borderId="0" xfId="0" applyFont="1" applyAlignment="1">
      <alignment horizontal="center" vertical="center"/>
    </xf>
    <xf numFmtId="0" fontId="36" fillId="0" borderId="56" xfId="0" applyFont="1" applyBorder="1"/>
    <xf numFmtId="0" fontId="40" fillId="0" borderId="63" xfId="0" applyFont="1" applyBorder="1"/>
    <xf numFmtId="0" fontId="56" fillId="0" borderId="63" xfId="2" applyFont="1" applyBorder="1"/>
    <xf numFmtId="49" fontId="42" fillId="0" borderId="62" xfId="0" applyNumberFormat="1" applyFont="1" applyBorder="1" applyAlignment="1">
      <alignment vertical="center" wrapText="1"/>
    </xf>
    <xf numFmtId="0" fontId="55" fillId="0" borderId="29" xfId="4" applyFont="1" applyBorder="1" applyAlignment="1">
      <alignment horizontal="center" vertical="center"/>
    </xf>
    <xf numFmtId="0" fontId="49" fillId="0" borderId="29" xfId="0" applyFont="1" applyBorder="1" applyAlignment="1">
      <alignment horizontal="center" vertical="center"/>
    </xf>
    <xf numFmtId="0" fontId="42" fillId="0" borderId="48" xfId="0" applyFont="1" applyBorder="1" applyAlignment="1">
      <alignment horizontal="center" vertical="center"/>
    </xf>
    <xf numFmtId="0" fontId="42" fillId="0" borderId="58" xfId="0" applyFont="1" applyBorder="1" applyAlignment="1">
      <alignment horizontal="center" vertical="center"/>
    </xf>
    <xf numFmtId="0" fontId="42" fillId="0" borderId="32" xfId="0" applyFont="1" applyBorder="1" applyAlignment="1">
      <alignment horizontal="center" vertical="center"/>
    </xf>
    <xf numFmtId="0" fontId="42" fillId="0" borderId="29" xfId="2" applyFont="1" applyBorder="1" applyAlignment="1">
      <alignment horizontal="center" vertical="center"/>
    </xf>
    <xf numFmtId="0" fontId="42" fillId="0" borderId="32" xfId="2" applyFont="1" applyBorder="1" applyAlignment="1">
      <alignment horizontal="center" vertical="center"/>
    </xf>
    <xf numFmtId="0" fontId="42" fillId="0" borderId="57" xfId="2" applyFont="1" applyBorder="1" applyAlignment="1">
      <alignment horizontal="center" vertical="center"/>
    </xf>
    <xf numFmtId="0" fontId="42" fillId="0" borderId="63" xfId="2" applyFont="1" applyBorder="1" applyAlignment="1">
      <alignment horizontal="center" vertical="center"/>
    </xf>
    <xf numFmtId="0" fontId="42" fillId="0" borderId="57" xfId="0" applyFont="1" applyBorder="1" applyAlignment="1">
      <alignment horizontal="center" vertical="center"/>
    </xf>
    <xf numFmtId="0" fontId="42" fillId="0" borderId="62" xfId="0" applyFont="1" applyBorder="1" applyAlignment="1">
      <alignment horizontal="center" vertical="center"/>
    </xf>
    <xf numFmtId="0" fontId="42" fillId="0" borderId="67" xfId="0" applyFont="1" applyBorder="1" applyAlignment="1">
      <alignment horizontal="center" vertical="center"/>
    </xf>
    <xf numFmtId="0" fontId="42" fillId="0" borderId="69" xfId="0" applyFont="1" applyBorder="1" applyAlignment="1">
      <alignment horizontal="center" vertical="center"/>
    </xf>
    <xf numFmtId="0" fontId="42" fillId="0" borderId="71" xfId="0" applyFont="1" applyBorder="1" applyAlignment="1">
      <alignment horizontal="center" vertical="center"/>
    </xf>
    <xf numFmtId="0" fontId="42" fillId="0" borderId="66" xfId="0" applyFont="1" applyBorder="1" applyAlignment="1">
      <alignment horizontal="center" vertical="center"/>
    </xf>
    <xf numFmtId="0" fontId="42" fillId="0" borderId="62" xfId="0" applyFont="1" applyBorder="1" applyAlignment="1">
      <alignment horizontal="center"/>
    </xf>
    <xf numFmtId="0" fontId="42" fillId="0" borderId="9" xfId="0" applyFont="1" applyBorder="1" applyAlignment="1">
      <alignment horizontal="center" vertical="center"/>
    </xf>
    <xf numFmtId="0" fontId="55" fillId="0" borderId="48" xfId="4" applyFont="1" applyBorder="1" applyAlignment="1">
      <alignment horizontal="center" vertical="center"/>
    </xf>
    <xf numFmtId="0" fontId="55" fillId="0" borderId="63" xfId="4" applyFont="1" applyBorder="1" applyAlignment="1">
      <alignment horizontal="center" vertical="center"/>
    </xf>
    <xf numFmtId="0" fontId="55" fillId="0" borderId="62" xfId="4" applyFont="1" applyBorder="1" applyAlignment="1">
      <alignment horizontal="center" vertical="center"/>
    </xf>
    <xf numFmtId="0" fontId="42" fillId="0" borderId="29" xfId="0" applyFont="1" applyBorder="1" applyAlignment="1">
      <alignment horizontal="center"/>
    </xf>
    <xf numFmtId="0" fontId="57" fillId="0" borderId="63" xfId="0" applyFont="1" applyBorder="1" applyAlignment="1">
      <alignment horizontal="center"/>
    </xf>
    <xf numFmtId="0" fontId="42" fillId="0" borderId="63" xfId="0" applyFont="1" applyBorder="1" applyAlignment="1">
      <alignment horizontal="center"/>
    </xf>
    <xf numFmtId="0" fontId="57" fillId="0" borderId="65" xfId="0" applyFont="1" applyBorder="1" applyAlignment="1">
      <alignment horizontal="center"/>
    </xf>
    <xf numFmtId="0" fontId="57" fillId="0" borderId="67" xfId="0" applyFont="1" applyBorder="1" applyAlignment="1">
      <alignment horizontal="center"/>
    </xf>
    <xf numFmtId="0" fontId="57" fillId="0" borderId="9" xfId="0" applyFont="1" applyBorder="1" applyAlignment="1">
      <alignment horizontal="center"/>
    </xf>
    <xf numFmtId="0" fontId="42" fillId="0" borderId="32" xfId="0" applyFont="1" applyBorder="1" applyAlignment="1">
      <alignment horizontal="center"/>
    </xf>
    <xf numFmtId="0" fontId="42" fillId="0" borderId="57" xfId="0" applyFont="1" applyBorder="1" applyAlignment="1">
      <alignment horizontal="center"/>
    </xf>
    <xf numFmtId="0" fontId="42" fillId="0" borderId="36" xfId="0" applyFont="1" applyBorder="1" applyAlignment="1">
      <alignment horizontal="center"/>
    </xf>
    <xf numFmtId="0" fontId="42" fillId="13" borderId="63" xfId="0" applyFont="1" applyFill="1" applyBorder="1" applyAlignment="1">
      <alignment horizontal="center" vertical="top"/>
    </xf>
    <xf numFmtId="0" fontId="57" fillId="0" borderId="0" xfId="0" applyFont="1" applyAlignment="1">
      <alignment horizontal="center"/>
    </xf>
    <xf numFmtId="0" fontId="42" fillId="0" borderId="48" xfId="0" applyFont="1" applyBorder="1" applyAlignment="1">
      <alignment horizontal="center"/>
    </xf>
    <xf numFmtId="0" fontId="45" fillId="0" borderId="0" xfId="0" applyFont="1" applyAlignment="1">
      <alignment horizontal="center"/>
    </xf>
    <xf numFmtId="0" fontId="42" fillId="0" borderId="36" xfId="0" applyFont="1" applyBorder="1" applyAlignment="1">
      <alignment horizontal="center" vertical="center"/>
    </xf>
    <xf numFmtId="49" fontId="36" fillId="0" borderId="60" xfId="0" applyNumberFormat="1" applyFont="1" applyBorder="1" applyAlignment="1">
      <alignment vertical="center"/>
    </xf>
    <xf numFmtId="49" fontId="36" fillId="0" borderId="56" xfId="0" applyNumberFormat="1" applyFont="1" applyBorder="1" applyAlignment="1">
      <alignment vertical="center"/>
    </xf>
    <xf numFmtId="0" fontId="42" fillId="0" borderId="63" xfId="0" applyFont="1" applyBorder="1"/>
    <xf numFmtId="0" fontId="42" fillId="0" borderId="65" xfId="0" applyFont="1" applyBorder="1"/>
    <xf numFmtId="49" fontId="50" fillId="0" borderId="36" xfId="0" applyNumberFormat="1" applyFont="1" applyBorder="1" applyAlignment="1">
      <alignment horizontal="left" vertical="top" wrapText="1"/>
    </xf>
    <xf numFmtId="49" fontId="42" fillId="0" borderId="73" xfId="0" applyNumberFormat="1" applyFont="1" applyBorder="1" applyAlignment="1">
      <alignment horizontal="center" vertical="center"/>
    </xf>
    <xf numFmtId="49" fontId="42" fillId="0" borderId="57" xfId="0" applyNumberFormat="1" applyFont="1" applyBorder="1" applyAlignment="1">
      <alignment vertical="center"/>
    </xf>
    <xf numFmtId="49" fontId="42" fillId="0" borderId="64" xfId="0" applyNumberFormat="1" applyFont="1" applyBorder="1" applyAlignment="1">
      <alignment vertical="center"/>
    </xf>
    <xf numFmtId="49" fontId="36" fillId="0" borderId="65" xfId="0" applyNumberFormat="1" applyFont="1" applyBorder="1" applyAlignment="1">
      <alignment vertical="center"/>
    </xf>
    <xf numFmtId="0" fontId="36" fillId="0" borderId="9" xfId="0" applyFont="1" applyBorder="1"/>
    <xf numFmtId="0" fontId="55" fillId="0" borderId="9" xfId="4" applyFont="1" applyAlignment="1">
      <alignment horizontal="center" vertical="center"/>
    </xf>
    <xf numFmtId="0" fontId="2" fillId="0" borderId="9" xfId="4"/>
    <xf numFmtId="0" fontId="54" fillId="0" borderId="62" xfId="4" applyFont="1" applyBorder="1" applyAlignment="1">
      <alignment vertical="center"/>
    </xf>
    <xf numFmtId="0" fontId="54" fillId="0" borderId="63" xfId="4" applyFont="1" applyBorder="1" applyAlignment="1">
      <alignment vertical="center"/>
    </xf>
    <xf numFmtId="49" fontId="55" fillId="0" borderId="63" xfId="4" applyNumberFormat="1" applyFont="1" applyBorder="1" applyAlignment="1">
      <alignment horizontal="right" vertical="center"/>
    </xf>
    <xf numFmtId="49" fontId="55" fillId="0" borderId="63" xfId="4" applyNumberFormat="1" applyFont="1" applyBorder="1" applyAlignment="1">
      <alignment horizontal="center" vertical="center"/>
    </xf>
    <xf numFmtId="49" fontId="53" fillId="0" borderId="62" xfId="4" applyNumberFormat="1" applyFont="1" applyBorder="1" applyAlignment="1">
      <alignment vertical="center"/>
    </xf>
    <xf numFmtId="0" fontId="54" fillId="0" borderId="62" xfId="4" applyFont="1" applyBorder="1" applyAlignment="1">
      <alignment horizontal="right" vertical="center"/>
    </xf>
    <xf numFmtId="49" fontId="35" fillId="0" borderId="63" xfId="4" applyNumberFormat="1" applyFont="1" applyBorder="1" applyAlignment="1">
      <alignment vertical="center" wrapText="1"/>
    </xf>
    <xf numFmtId="0" fontId="54" fillId="0" borderId="63" xfId="4" applyFont="1" applyBorder="1" applyAlignment="1">
      <alignment horizontal="right" vertical="center"/>
    </xf>
    <xf numFmtId="2" fontId="55" fillId="0" borderId="63" xfId="4" applyNumberFormat="1" applyFont="1" applyBorder="1" applyAlignment="1">
      <alignment horizontal="center" vertical="center"/>
    </xf>
    <xf numFmtId="49" fontId="53" fillId="0" borderId="63" xfId="4" applyNumberFormat="1" applyFont="1" applyBorder="1" applyAlignment="1">
      <alignment vertical="center"/>
    </xf>
    <xf numFmtId="167" fontId="40" fillId="0" borderId="63" xfId="0" applyNumberFormat="1" applyFont="1" applyBorder="1"/>
    <xf numFmtId="49" fontId="53" fillId="0" borderId="59" xfId="4" applyNumberFormat="1" applyFont="1" applyBorder="1" applyAlignment="1">
      <alignment vertical="center"/>
    </xf>
    <xf numFmtId="0" fontId="55" fillId="0" borderId="29" xfId="4" applyFont="1" applyBorder="1" applyAlignment="1">
      <alignment horizontal="right" vertical="center"/>
    </xf>
    <xf numFmtId="0" fontId="7" fillId="0" borderId="26" xfId="0" applyFont="1" applyBorder="1" applyAlignment="1">
      <alignment horizontal="center" vertical="center"/>
    </xf>
    <xf numFmtId="0" fontId="7" fillId="0" borderId="27" xfId="0" applyFont="1" applyBorder="1" applyAlignment="1">
      <alignment horizontal="center" vertical="center" wrapText="1"/>
    </xf>
    <xf numFmtId="0" fontId="7" fillId="0" borderId="27" xfId="0" applyFont="1" applyBorder="1" applyAlignment="1">
      <alignment horizontal="center" vertical="center"/>
    </xf>
    <xf numFmtId="0" fontId="7" fillId="0" borderId="28" xfId="0" applyFont="1" applyBorder="1" applyAlignment="1">
      <alignment horizontal="center" vertical="center"/>
    </xf>
    <xf numFmtId="164" fontId="9" fillId="0" borderId="32" xfId="0" applyNumberFormat="1" applyFont="1" applyBorder="1" applyAlignment="1">
      <alignment horizontal="center" vertical="center"/>
    </xf>
    <xf numFmtId="0" fontId="38" fillId="0" borderId="63" xfId="0" applyFont="1" applyBorder="1" applyAlignment="1">
      <alignment horizontal="center" vertical="center"/>
    </xf>
    <xf numFmtId="0" fontId="5" fillId="0" borderId="32" xfId="0" applyFont="1" applyBorder="1" applyAlignment="1">
      <alignment horizontal="center" vertical="center"/>
    </xf>
    <xf numFmtId="164" fontId="5" fillId="0" borderId="55" xfId="0" applyNumberFormat="1" applyFont="1" applyBorder="1" applyAlignment="1">
      <alignment vertical="center"/>
    </xf>
    <xf numFmtId="0" fontId="38" fillId="0" borderId="63" xfId="0" applyFont="1" applyBorder="1" applyAlignment="1">
      <alignment horizontal="left" vertical="top" wrapText="1"/>
    </xf>
    <xf numFmtId="0" fontId="0" fillId="0" borderId="9" xfId="0" applyBorder="1"/>
    <xf numFmtId="0" fontId="5" fillId="0" borderId="9" xfId="0" applyFont="1" applyBorder="1" applyAlignment="1">
      <alignment vertical="center"/>
    </xf>
    <xf numFmtId="0" fontId="5" fillId="0" borderId="9" xfId="0" applyFont="1" applyBorder="1" applyAlignment="1">
      <alignment horizontal="center" vertical="center"/>
    </xf>
    <xf numFmtId="0" fontId="37" fillId="0" borderId="0" xfId="0" applyFont="1"/>
    <xf numFmtId="0" fontId="39" fillId="0" borderId="9" xfId="0" applyFont="1" applyBorder="1" applyAlignment="1">
      <alignment horizontal="center"/>
    </xf>
    <xf numFmtId="0" fontId="39" fillId="0" borderId="9" xfId="0" applyFont="1" applyBorder="1" applyAlignment="1">
      <alignment horizontal="center" wrapText="1"/>
    </xf>
    <xf numFmtId="0" fontId="39" fillId="0" borderId="9" xfId="0" applyFont="1" applyBorder="1" applyAlignment="1">
      <alignment horizontal="left"/>
    </xf>
    <xf numFmtId="0" fontId="39" fillId="0" borderId="9" xfId="0" applyFont="1" applyBorder="1" applyAlignment="1">
      <alignment horizontal="center" vertical="center"/>
    </xf>
    <xf numFmtId="164" fontId="39" fillId="0" borderId="9" xfId="0" applyNumberFormat="1" applyFont="1" applyBorder="1" applyAlignment="1">
      <alignment horizontal="center" vertical="center"/>
    </xf>
    <xf numFmtId="164" fontId="39" fillId="0" borderId="9" xfId="0" applyNumberFormat="1" applyFont="1" applyBorder="1" applyAlignment="1">
      <alignment vertical="center"/>
    </xf>
    <xf numFmtId="168" fontId="38" fillId="0" borderId="63" xfId="6" applyNumberFormat="1" applyFont="1" applyFill="1" applyBorder="1" applyAlignment="1">
      <alignment vertical="center"/>
    </xf>
    <xf numFmtId="0" fontId="39" fillId="0" borderId="63" xfId="0" applyFont="1" applyBorder="1" applyAlignment="1">
      <alignment horizontal="left" vertical="top" wrapText="1"/>
    </xf>
    <xf numFmtId="0" fontId="38" fillId="0" borderId="0" xfId="0" applyFont="1" applyAlignment="1">
      <alignment horizontal="left" vertical="top"/>
    </xf>
    <xf numFmtId="168" fontId="38" fillId="0" borderId="0" xfId="0" applyNumberFormat="1" applyFont="1" applyAlignment="1">
      <alignment horizontal="right" vertical="center"/>
    </xf>
    <xf numFmtId="0" fontId="1" fillId="0" borderId="0" xfId="0" applyFont="1" applyAlignment="1">
      <alignment horizontal="left" vertical="top"/>
    </xf>
    <xf numFmtId="168" fontId="1" fillId="0" borderId="0" xfId="0" applyNumberFormat="1" applyFont="1" applyAlignment="1">
      <alignment horizontal="right" vertical="center"/>
    </xf>
    <xf numFmtId="168" fontId="38" fillId="0" borderId="0" xfId="0" applyNumberFormat="1" applyFont="1" applyAlignment="1">
      <alignment vertical="center"/>
    </xf>
    <xf numFmtId="168" fontId="1" fillId="0" borderId="0" xfId="0" applyNumberFormat="1" applyFont="1" applyAlignment="1">
      <alignment vertical="center"/>
    </xf>
    <xf numFmtId="49" fontId="58" fillId="13" borderId="29" xfId="0" applyNumberFormat="1" applyFont="1" applyFill="1" applyBorder="1" applyAlignment="1">
      <alignment horizontal="center" vertical="center"/>
    </xf>
    <xf numFmtId="0" fontId="42" fillId="15" borderId="29" xfId="0" applyFont="1" applyFill="1" applyBorder="1" applyAlignment="1">
      <alignment horizontal="center" vertical="center"/>
    </xf>
    <xf numFmtId="0" fontId="42" fillId="15" borderId="29" xfId="0" applyFont="1" applyFill="1" applyBorder="1" applyAlignment="1">
      <alignment vertical="center" wrapText="1"/>
    </xf>
    <xf numFmtId="0" fontId="36" fillId="15" borderId="29" xfId="0" applyFont="1" applyFill="1" applyBorder="1" applyAlignment="1">
      <alignment vertical="center"/>
    </xf>
    <xf numFmtId="0" fontId="36" fillId="15" borderId="29" xfId="0" applyFont="1" applyFill="1" applyBorder="1" applyAlignment="1">
      <alignment horizontal="right" vertical="center"/>
    </xf>
    <xf numFmtId="49" fontId="42" fillId="15" borderId="29" xfId="0" applyNumberFormat="1" applyFont="1" applyFill="1" applyBorder="1" applyAlignment="1">
      <alignment horizontal="right" vertical="center"/>
    </xf>
    <xf numFmtId="2" fontId="42" fillId="15" borderId="29" xfId="0" applyNumberFormat="1" applyFont="1" applyFill="1" applyBorder="1" applyAlignment="1">
      <alignment vertical="center"/>
    </xf>
    <xf numFmtId="49" fontId="42" fillId="15" borderId="29" xfId="0" applyNumberFormat="1" applyFont="1" applyFill="1" applyBorder="1" applyAlignment="1">
      <alignment horizontal="center" vertical="center"/>
    </xf>
    <xf numFmtId="49" fontId="50" fillId="15" borderId="29" xfId="0" applyNumberFormat="1" applyFont="1" applyFill="1" applyBorder="1" applyAlignment="1">
      <alignment horizontal="left" vertical="top" wrapText="1"/>
    </xf>
    <xf numFmtId="0" fontId="42" fillId="13" borderId="63" xfId="0" applyFont="1" applyFill="1" applyBorder="1" applyAlignment="1">
      <alignment vertical="top" wrapText="1"/>
    </xf>
    <xf numFmtId="0" fontId="55" fillId="15" borderId="29" xfId="4" applyFont="1" applyFill="1" applyBorder="1" applyAlignment="1">
      <alignment horizontal="center" vertical="center"/>
    </xf>
    <xf numFmtId="49" fontId="35" fillId="15" borderId="29" xfId="4" applyNumberFormat="1" applyFont="1" applyFill="1" applyBorder="1" applyAlignment="1">
      <alignment vertical="center" wrapText="1"/>
    </xf>
    <xf numFmtId="0" fontId="54" fillId="15" borderId="29" xfId="4" applyFont="1" applyFill="1" applyBorder="1" applyAlignment="1">
      <alignment vertical="center"/>
    </xf>
    <xf numFmtId="0" fontId="54" fillId="15" borderId="29" xfId="4" applyFont="1" applyFill="1" applyBorder="1" applyAlignment="1">
      <alignment horizontal="right" vertical="center"/>
    </xf>
    <xf numFmtId="49" fontId="55" fillId="15" borderId="29" xfId="4" applyNumberFormat="1" applyFont="1" applyFill="1" applyBorder="1" applyAlignment="1">
      <alignment horizontal="right" vertical="center"/>
    </xf>
    <xf numFmtId="2" fontId="55" fillId="15" borderId="29" xfId="4" applyNumberFormat="1" applyFont="1" applyFill="1" applyBorder="1" applyAlignment="1">
      <alignment horizontal="center" vertical="center"/>
    </xf>
    <xf numFmtId="49" fontId="55" fillId="15" borderId="29" xfId="4" applyNumberFormat="1" applyFont="1" applyFill="1" applyBorder="1" applyAlignment="1">
      <alignment horizontal="center" vertical="center"/>
    </xf>
    <xf numFmtId="49" fontId="53" fillId="15" borderId="29" xfId="4" applyNumberFormat="1" applyFont="1" applyFill="1" applyBorder="1" applyAlignment="1">
      <alignment vertical="center" wrapText="1"/>
    </xf>
    <xf numFmtId="0" fontId="55" fillId="15" borderId="63" xfId="4" applyFont="1" applyFill="1" applyBorder="1" applyAlignment="1">
      <alignment horizontal="center" vertical="center"/>
    </xf>
    <xf numFmtId="49" fontId="53" fillId="15" borderId="59" xfId="4" applyNumberFormat="1" applyFont="1" applyFill="1" applyBorder="1" applyAlignment="1">
      <alignment vertical="center" wrapText="1"/>
    </xf>
    <xf numFmtId="2" fontId="54" fillId="15" borderId="29" xfId="4" applyNumberFormat="1" applyFont="1" applyFill="1" applyBorder="1" applyAlignment="1">
      <alignment horizontal="center" vertical="center"/>
    </xf>
    <xf numFmtId="0" fontId="55" fillId="15" borderId="65" xfId="4" applyFont="1" applyFill="1" applyBorder="1" applyAlignment="1">
      <alignment horizontal="center" vertical="center"/>
    </xf>
    <xf numFmtId="49" fontId="35" fillId="15" borderId="65" xfId="4" applyNumberFormat="1" applyFont="1" applyFill="1" applyBorder="1" applyAlignment="1">
      <alignment vertical="center" wrapText="1"/>
    </xf>
    <xf numFmtId="0" fontId="54" fillId="15" borderId="65" xfId="4" applyFont="1" applyFill="1" applyBorder="1" applyAlignment="1">
      <alignment vertical="center"/>
    </xf>
    <xf numFmtId="0" fontId="54" fillId="15" borderId="65" xfId="4" applyFont="1" applyFill="1" applyBorder="1" applyAlignment="1">
      <alignment horizontal="right" vertical="center"/>
    </xf>
    <xf numFmtId="49" fontId="55" fillId="15" borderId="65" xfId="4" applyNumberFormat="1" applyFont="1" applyFill="1" applyBorder="1" applyAlignment="1">
      <alignment horizontal="right" vertical="center"/>
    </xf>
    <xf numFmtId="2" fontId="55" fillId="15" borderId="65" xfId="4" applyNumberFormat="1" applyFont="1" applyFill="1" applyBorder="1" applyAlignment="1">
      <alignment horizontal="center" vertical="center"/>
    </xf>
    <xf numFmtId="49" fontId="55" fillId="15" borderId="65" xfId="4" applyNumberFormat="1" applyFont="1" applyFill="1" applyBorder="1" applyAlignment="1">
      <alignment horizontal="center" vertical="center"/>
    </xf>
    <xf numFmtId="49" fontId="35" fillId="15" borderId="63" xfId="4" applyNumberFormat="1" applyFont="1" applyFill="1" applyBorder="1" applyAlignment="1">
      <alignment vertical="center" wrapText="1"/>
    </xf>
    <xf numFmtId="0" fontId="54" fillId="15" borderId="63" xfId="4" applyFont="1" applyFill="1" applyBorder="1" applyAlignment="1">
      <alignment vertical="center"/>
    </xf>
    <xf numFmtId="0" fontId="54" fillId="15" borderId="63" xfId="4" applyFont="1" applyFill="1" applyBorder="1" applyAlignment="1">
      <alignment horizontal="right" vertical="center"/>
    </xf>
    <xf numFmtId="0" fontId="2" fillId="15" borderId="63" xfId="4" applyFill="1" applyBorder="1"/>
    <xf numFmtId="2" fontId="54" fillId="15" borderId="63" xfId="4" applyNumberFormat="1" applyFont="1" applyFill="1" applyBorder="1" applyAlignment="1">
      <alignment horizontal="center" vertical="center"/>
    </xf>
    <xf numFmtId="49" fontId="35" fillId="15" borderId="29" xfId="4" applyNumberFormat="1" applyFont="1" applyFill="1" applyBorder="1" applyAlignment="1">
      <alignment vertical="center"/>
    </xf>
    <xf numFmtId="0" fontId="54" fillId="15" borderId="48" xfId="4" applyFont="1" applyFill="1" applyBorder="1" applyAlignment="1">
      <alignment vertical="center"/>
    </xf>
    <xf numFmtId="49" fontId="42" fillId="15" borderId="62" xfId="0" applyNumberFormat="1" applyFont="1" applyFill="1" applyBorder="1" applyAlignment="1">
      <alignment vertical="center" wrapText="1"/>
    </xf>
    <xf numFmtId="0" fontId="36" fillId="15" borderId="62" xfId="0" applyFont="1" applyFill="1" applyBorder="1" applyAlignment="1">
      <alignment vertical="center"/>
    </xf>
    <xf numFmtId="0" fontId="36" fillId="15" borderId="62" xfId="0" applyFont="1" applyFill="1" applyBorder="1" applyAlignment="1">
      <alignment horizontal="right" vertical="center"/>
    </xf>
    <xf numFmtId="49" fontId="42" fillId="11" borderId="62" xfId="0" applyNumberFormat="1" applyFont="1" applyFill="1" applyBorder="1" applyAlignment="1">
      <alignment horizontal="center" vertical="center" wrapText="1"/>
    </xf>
    <xf numFmtId="0" fontId="36" fillId="11" borderId="29" xfId="0" applyFont="1" applyFill="1" applyBorder="1" applyAlignment="1">
      <alignment vertical="center"/>
    </xf>
    <xf numFmtId="0" fontId="36" fillId="11" borderId="29" xfId="0" applyFont="1" applyFill="1" applyBorder="1" applyAlignment="1">
      <alignment horizontal="right" vertical="center"/>
    </xf>
    <xf numFmtId="49" fontId="42" fillId="11" borderId="29" xfId="0" applyNumberFormat="1" applyFont="1" applyFill="1" applyBorder="1" applyAlignment="1">
      <alignment horizontal="center" vertical="center"/>
    </xf>
    <xf numFmtId="49" fontId="42" fillId="11" borderId="29" xfId="0" applyNumberFormat="1" applyFont="1" applyFill="1" applyBorder="1" applyAlignment="1">
      <alignment horizontal="right" vertical="center"/>
    </xf>
    <xf numFmtId="2" fontId="36" fillId="11" borderId="29" xfId="0" applyNumberFormat="1" applyFont="1" applyFill="1" applyBorder="1" applyAlignment="1">
      <alignment vertical="center"/>
    </xf>
    <xf numFmtId="49" fontId="36" fillId="11" borderId="62" xfId="0" applyNumberFormat="1" applyFont="1" applyFill="1" applyBorder="1" applyAlignment="1">
      <alignment vertical="center" wrapText="1"/>
    </xf>
    <xf numFmtId="49" fontId="42" fillId="11" borderId="36" xfId="0" applyNumberFormat="1" applyFont="1" applyFill="1" applyBorder="1" applyAlignment="1">
      <alignment vertical="center" wrapText="1"/>
    </xf>
    <xf numFmtId="49" fontId="42" fillId="11" borderId="58" xfId="0" applyNumberFormat="1" applyFont="1" applyFill="1" applyBorder="1" applyAlignment="1">
      <alignment horizontal="center" vertical="center" wrapText="1"/>
    </xf>
    <xf numFmtId="49" fontId="42" fillId="11" borderId="64" xfId="0" applyNumberFormat="1" applyFont="1" applyFill="1" applyBorder="1" applyAlignment="1">
      <alignment vertical="center" wrapText="1"/>
    </xf>
    <xf numFmtId="0" fontId="36" fillId="11" borderId="60" xfId="0" applyFont="1" applyFill="1" applyBorder="1" applyAlignment="1">
      <alignment vertical="center"/>
    </xf>
    <xf numFmtId="49" fontId="42" fillId="11" borderId="66" xfId="0" applyNumberFormat="1" applyFont="1" applyFill="1" applyBorder="1" applyAlignment="1">
      <alignment vertical="center" wrapText="1"/>
    </xf>
    <xf numFmtId="49" fontId="42" fillId="11" borderId="62" xfId="0" applyNumberFormat="1" applyFont="1" applyFill="1" applyBorder="1" applyAlignment="1">
      <alignment vertical="center" wrapText="1"/>
    </xf>
    <xf numFmtId="49" fontId="42" fillId="11" borderId="63" xfId="0" applyNumberFormat="1" applyFont="1" applyFill="1" applyBorder="1" applyAlignment="1">
      <alignment vertical="center" wrapText="1"/>
    </xf>
    <xf numFmtId="0" fontId="42" fillId="11" borderId="63" xfId="0" applyFont="1" applyFill="1" applyBorder="1" applyAlignment="1">
      <alignment horizontal="center" vertical="center"/>
    </xf>
    <xf numFmtId="2" fontId="42" fillId="11" borderId="63" xfId="0" applyNumberFormat="1" applyFont="1" applyFill="1" applyBorder="1" applyAlignment="1">
      <alignment horizontal="center" vertical="center"/>
    </xf>
    <xf numFmtId="49" fontId="42" fillId="11" borderId="63" xfId="0" applyNumberFormat="1" applyFont="1" applyFill="1" applyBorder="1" applyAlignment="1">
      <alignment horizontal="center" vertical="center"/>
    </xf>
    <xf numFmtId="0" fontId="36" fillId="11" borderId="63" xfId="0" applyFont="1" applyFill="1" applyBorder="1" applyAlignment="1">
      <alignment horizontal="right"/>
    </xf>
    <xf numFmtId="0" fontId="36" fillId="11" borderId="63" xfId="0" applyFont="1" applyFill="1" applyBorder="1"/>
    <xf numFmtId="49" fontId="42" fillId="15" borderId="62" xfId="0" applyNumberFormat="1" applyFont="1" applyFill="1" applyBorder="1" applyAlignment="1">
      <alignment horizontal="center" vertical="center" wrapText="1"/>
    </xf>
    <xf numFmtId="49" fontId="42" fillId="15" borderId="29" xfId="0" applyNumberFormat="1" applyFont="1" applyFill="1" applyBorder="1" applyAlignment="1">
      <alignment vertical="center"/>
    </xf>
    <xf numFmtId="49" fontId="36" fillId="15" borderId="62" xfId="0" applyNumberFormat="1" applyFont="1" applyFill="1" applyBorder="1" applyAlignment="1">
      <alignment vertical="center" wrapText="1"/>
    </xf>
    <xf numFmtId="2" fontId="36" fillId="15" borderId="29" xfId="0" applyNumberFormat="1" applyFont="1" applyFill="1" applyBorder="1" applyAlignment="1">
      <alignment vertical="center"/>
    </xf>
    <xf numFmtId="0" fontId="36" fillId="15" borderId="63" xfId="0" applyFont="1" applyFill="1" applyBorder="1" applyAlignment="1">
      <alignment horizontal="right"/>
    </xf>
    <xf numFmtId="0" fontId="36" fillId="15" borderId="63" xfId="0" applyFont="1" applyFill="1" applyBorder="1"/>
    <xf numFmtId="49" fontId="42" fillId="15" borderId="63" xfId="0" applyNumberFormat="1" applyFont="1" applyFill="1" applyBorder="1" applyAlignment="1">
      <alignment horizontal="center" vertical="center"/>
    </xf>
    <xf numFmtId="49" fontId="42" fillId="15" borderId="36" xfId="0" applyNumberFormat="1" applyFont="1" applyFill="1" applyBorder="1" applyAlignment="1">
      <alignment horizontal="center" vertical="center" wrapText="1"/>
    </xf>
    <xf numFmtId="49" fontId="36" fillId="15" borderId="36" xfId="0" applyNumberFormat="1" applyFont="1" applyFill="1" applyBorder="1" applyAlignment="1">
      <alignment vertical="center" wrapText="1"/>
    </xf>
    <xf numFmtId="0" fontId="36" fillId="15" borderId="48" xfId="0" applyFont="1" applyFill="1" applyBorder="1" applyAlignment="1">
      <alignment vertical="center"/>
    </xf>
    <xf numFmtId="2" fontId="36" fillId="15" borderId="48" xfId="0" applyNumberFormat="1" applyFont="1" applyFill="1" applyBorder="1" applyAlignment="1">
      <alignment vertical="center"/>
    </xf>
    <xf numFmtId="0" fontId="36" fillId="0" borderId="65" xfId="0" applyFont="1" applyBorder="1"/>
    <xf numFmtId="0" fontId="57" fillId="11" borderId="63" xfId="0" applyFont="1" applyFill="1" applyBorder="1" applyAlignment="1">
      <alignment horizontal="center"/>
    </xf>
    <xf numFmtId="0" fontId="44" fillId="11" borderId="63" xfId="0" applyFont="1" applyFill="1" applyBorder="1"/>
    <xf numFmtId="0" fontId="42" fillId="11" borderId="48" xfId="0" applyFont="1" applyFill="1" applyBorder="1" applyAlignment="1">
      <alignment horizontal="center" vertical="center"/>
    </xf>
    <xf numFmtId="49" fontId="36" fillId="11" borderId="48" xfId="0" applyNumberFormat="1" applyFont="1" applyFill="1" applyBorder="1" applyAlignment="1">
      <alignment vertical="center"/>
    </xf>
    <xf numFmtId="0" fontId="36" fillId="11" borderId="48" xfId="0" applyFont="1" applyFill="1" applyBorder="1" applyAlignment="1">
      <alignment vertical="center"/>
    </xf>
    <xf numFmtId="0" fontId="36" fillId="11" borderId="48" xfId="0" applyFont="1" applyFill="1" applyBorder="1" applyAlignment="1">
      <alignment horizontal="right" vertical="center"/>
    </xf>
    <xf numFmtId="49" fontId="42" fillId="11" borderId="48" xfId="0" applyNumberFormat="1" applyFont="1" applyFill="1" applyBorder="1" applyAlignment="1">
      <alignment horizontal="right" vertical="center"/>
    </xf>
    <xf numFmtId="2" fontId="36" fillId="11" borderId="48" xfId="0" applyNumberFormat="1" applyFont="1" applyFill="1" applyBorder="1" applyAlignment="1">
      <alignment vertical="center"/>
    </xf>
    <xf numFmtId="49" fontId="42" fillId="11" borderId="48" xfId="0" applyNumberFormat="1" applyFont="1" applyFill="1" applyBorder="1" applyAlignment="1">
      <alignment horizontal="center" vertical="center"/>
    </xf>
    <xf numFmtId="0" fontId="36" fillId="11" borderId="62" xfId="0" applyFont="1" applyFill="1" applyBorder="1" applyAlignment="1">
      <alignment vertical="center"/>
    </xf>
    <xf numFmtId="0" fontId="36" fillId="11" borderId="62" xfId="0" applyFont="1" applyFill="1" applyBorder="1" applyAlignment="1">
      <alignment horizontal="right" vertical="center"/>
    </xf>
    <xf numFmtId="49" fontId="42" fillId="11" borderId="62" xfId="0" applyNumberFormat="1" applyFont="1" applyFill="1" applyBorder="1" applyAlignment="1">
      <alignment horizontal="right" vertical="center"/>
    </xf>
    <xf numFmtId="2" fontId="36" fillId="11" borderId="62" xfId="0" applyNumberFormat="1" applyFont="1" applyFill="1" applyBorder="1" applyAlignment="1">
      <alignment vertical="center"/>
    </xf>
    <xf numFmtId="49" fontId="42" fillId="11" borderId="62" xfId="0" applyNumberFormat="1" applyFont="1" applyFill="1" applyBorder="1" applyAlignment="1">
      <alignment horizontal="center" vertical="center"/>
    </xf>
    <xf numFmtId="49" fontId="36" fillId="11" borderId="63" xfId="0" applyNumberFormat="1" applyFont="1" applyFill="1" applyBorder="1" applyAlignment="1">
      <alignment vertical="center" wrapText="1"/>
    </xf>
    <xf numFmtId="0" fontId="36" fillId="11" borderId="63" xfId="0" applyFont="1" applyFill="1" applyBorder="1" applyAlignment="1">
      <alignment vertical="center"/>
    </xf>
    <xf numFmtId="0" fontId="36" fillId="11" borderId="63" xfId="0" applyFont="1" applyFill="1" applyBorder="1" applyAlignment="1">
      <alignment horizontal="right" vertical="center"/>
    </xf>
    <xf numFmtId="49" fontId="42" fillId="11" borderId="63" xfId="0" applyNumberFormat="1" applyFont="1" applyFill="1" applyBorder="1" applyAlignment="1">
      <alignment horizontal="right" vertical="center"/>
    </xf>
    <xf numFmtId="2" fontId="36" fillId="11" borderId="63" xfId="0" applyNumberFormat="1" applyFont="1" applyFill="1" applyBorder="1" applyAlignment="1">
      <alignment vertical="center"/>
    </xf>
    <xf numFmtId="49" fontId="42" fillId="11" borderId="63" xfId="0" applyNumberFormat="1" applyFont="1" applyFill="1" applyBorder="1" applyAlignment="1">
      <alignment horizontal="center" vertical="center" wrapText="1"/>
    </xf>
    <xf numFmtId="49" fontId="47" fillId="11" borderId="63" xfId="0" applyNumberFormat="1" applyFont="1" applyFill="1" applyBorder="1" applyAlignment="1">
      <alignment vertical="center" wrapText="1"/>
    </xf>
    <xf numFmtId="0" fontId="42" fillId="11" borderId="63" xfId="0" applyFont="1" applyFill="1" applyBorder="1" applyAlignment="1">
      <alignment vertical="center"/>
    </xf>
    <xf numFmtId="0" fontId="36" fillId="15" borderId="48" xfId="0" applyFont="1" applyFill="1" applyBorder="1" applyAlignment="1">
      <alignment horizontal="right" vertical="center"/>
    </xf>
    <xf numFmtId="49" fontId="42" fillId="15" borderId="48" xfId="0" applyNumberFormat="1" applyFont="1" applyFill="1" applyBorder="1" applyAlignment="1">
      <alignment horizontal="center" vertical="center"/>
    </xf>
    <xf numFmtId="49" fontId="42" fillId="0" borderId="9" xfId="2" applyNumberFormat="1" applyFont="1" applyAlignment="1">
      <alignment horizontal="right" vertical="center"/>
    </xf>
    <xf numFmtId="0" fontId="51" fillId="0" borderId="9" xfId="0" applyFont="1" applyBorder="1"/>
    <xf numFmtId="0" fontId="36" fillId="0" borderId="32" xfId="0" applyFont="1" applyBorder="1"/>
    <xf numFmtId="0" fontId="36" fillId="0" borderId="57" xfId="0" applyFont="1" applyBorder="1"/>
    <xf numFmtId="0" fontId="51" fillId="0" borderId="67" xfId="0" applyFont="1" applyBorder="1"/>
    <xf numFmtId="0" fontId="36" fillId="0" borderId="9" xfId="0" applyFont="1" applyBorder="1" applyAlignment="1">
      <alignment horizontal="right"/>
    </xf>
    <xf numFmtId="49" fontId="55" fillId="0" borderId="9" xfId="4" applyNumberFormat="1" applyFont="1" applyAlignment="1">
      <alignment horizontal="right" vertical="center"/>
    </xf>
    <xf numFmtId="49" fontId="42" fillId="15" borderId="48" xfId="0" applyNumberFormat="1" applyFont="1" applyFill="1" applyBorder="1" applyAlignment="1">
      <alignment horizontal="right" vertical="center"/>
    </xf>
    <xf numFmtId="49" fontId="42" fillId="15" borderId="63" xfId="0" applyNumberFormat="1" applyFont="1" applyFill="1" applyBorder="1" applyAlignment="1">
      <alignment horizontal="center" vertical="center" wrapText="1"/>
    </xf>
    <xf numFmtId="49" fontId="36" fillId="15" borderId="63" xfId="0" applyNumberFormat="1" applyFont="1" applyFill="1" applyBorder="1" applyAlignment="1">
      <alignment vertical="center" wrapText="1"/>
    </xf>
    <xf numFmtId="0" fontId="36" fillId="15" borderId="63" xfId="0" applyFont="1" applyFill="1" applyBorder="1" applyAlignment="1">
      <alignment vertical="center"/>
    </xf>
    <xf numFmtId="2" fontId="36" fillId="15" borderId="63" xfId="0" applyNumberFormat="1" applyFont="1" applyFill="1" applyBorder="1" applyAlignment="1">
      <alignment vertical="center"/>
    </xf>
    <xf numFmtId="49" fontId="42" fillId="0" borderId="63" xfId="0" applyNumberFormat="1" applyFont="1" applyBorder="1" applyAlignment="1">
      <alignment horizontal="center" vertical="center" wrapText="1"/>
    </xf>
    <xf numFmtId="49" fontId="36" fillId="0" borderId="63" xfId="0" applyNumberFormat="1" applyFont="1" applyBorder="1" applyAlignment="1">
      <alignment vertical="center" wrapText="1"/>
    </xf>
    <xf numFmtId="2" fontId="36" fillId="0" borderId="63" xfId="0" applyNumberFormat="1" applyFont="1" applyBorder="1" applyAlignment="1">
      <alignment horizontal="right" vertical="center"/>
    </xf>
    <xf numFmtId="0" fontId="37" fillId="0" borderId="9" xfId="0" applyFont="1" applyBorder="1"/>
    <xf numFmtId="0" fontId="7" fillId="0" borderId="63" xfId="0" applyFont="1" applyBorder="1" applyAlignment="1">
      <alignment horizontal="center" vertical="center"/>
    </xf>
    <xf numFmtId="0" fontId="37" fillId="0" borderId="9" xfId="0" applyFont="1" applyBorder="1" applyAlignment="1">
      <alignment horizontal="center" vertical="center"/>
    </xf>
    <xf numFmtId="168" fontId="7" fillId="0" borderId="63" xfId="0" applyNumberFormat="1" applyFont="1" applyBorder="1" applyAlignment="1">
      <alignment horizontal="center" vertical="center" wrapText="1"/>
    </xf>
    <xf numFmtId="168" fontId="7" fillId="0" borderId="63" xfId="0" applyNumberFormat="1" applyFont="1" applyBorder="1" applyAlignment="1">
      <alignment vertical="center"/>
    </xf>
    <xf numFmtId="0" fontId="5" fillId="0" borderId="63" xfId="0" applyFont="1" applyBorder="1" applyAlignment="1">
      <alignment horizontal="left" vertical="top" wrapText="1"/>
    </xf>
    <xf numFmtId="0" fontId="5" fillId="0" borderId="63" xfId="0" applyFont="1" applyBorder="1" applyAlignment="1">
      <alignment horizontal="center" vertical="center"/>
    </xf>
    <xf numFmtId="0" fontId="5" fillId="0" borderId="9" xfId="0" applyFont="1" applyBorder="1" applyAlignment="1">
      <alignment horizontal="left" vertical="center"/>
    </xf>
    <xf numFmtId="0" fontId="4" fillId="0" borderId="9" xfId="0" applyFont="1" applyBorder="1"/>
    <xf numFmtId="0" fontId="7" fillId="0" borderId="9" xfId="0" applyFont="1" applyBorder="1" applyAlignment="1">
      <alignment horizontal="left" vertical="center"/>
    </xf>
    <xf numFmtId="14" fontId="5" fillId="0" borderId="9" xfId="0" applyNumberFormat="1" applyFont="1" applyBorder="1" applyAlignment="1">
      <alignment horizontal="center" vertical="center"/>
    </xf>
    <xf numFmtId="0" fontId="38" fillId="0" borderId="9" xfId="0" applyFont="1" applyBorder="1" applyAlignment="1">
      <alignment horizontal="left" vertical="top"/>
    </xf>
    <xf numFmtId="0" fontId="39" fillId="0" borderId="9" xfId="0" applyFont="1" applyBorder="1" applyAlignment="1">
      <alignment horizontal="center" vertical="center"/>
    </xf>
    <xf numFmtId="0" fontId="38" fillId="0" borderId="69" xfId="0" applyFont="1" applyBorder="1" applyAlignment="1">
      <alignment vertical="top"/>
    </xf>
    <xf numFmtId="0" fontId="38" fillId="0" borderId="74" xfId="0" applyFont="1" applyBorder="1" applyAlignment="1">
      <alignment vertical="top"/>
    </xf>
    <xf numFmtId="0" fontId="59" fillId="0" borderId="9" xfId="0" applyFont="1" applyFill="1" applyBorder="1"/>
    <xf numFmtId="0" fontId="61" fillId="0" borderId="9" xfId="0" applyFont="1" applyFill="1" applyBorder="1" applyAlignment="1"/>
    <xf numFmtId="0" fontId="60" fillId="0" borderId="9" xfId="0" applyFont="1" applyFill="1" applyBorder="1" applyAlignment="1"/>
    <xf numFmtId="0" fontId="59" fillId="0" borderId="9" xfId="0" applyFont="1" applyFill="1" applyBorder="1" applyAlignment="1"/>
    <xf numFmtId="10" fontId="5" fillId="0" borderId="0" xfId="7" applyNumberFormat="1" applyFont="1" applyFill="1" applyAlignment="1">
      <alignment horizontal="right" vertical="center"/>
    </xf>
    <xf numFmtId="0" fontId="5" fillId="0" borderId="63" xfId="0" applyFont="1" applyBorder="1" applyAlignment="1">
      <alignment horizontal="center" vertical="center" wrapText="1"/>
    </xf>
    <xf numFmtId="0" fontId="7" fillId="0" borderId="77" xfId="0" applyFont="1" applyBorder="1" applyAlignment="1">
      <alignment horizontal="left" vertical="top"/>
    </xf>
    <xf numFmtId="168" fontId="0" fillId="0" borderId="0" xfId="0" applyNumberFormat="1"/>
    <xf numFmtId="0" fontId="7" fillId="0" borderId="78" xfId="0" applyFont="1" applyBorder="1" applyAlignment="1">
      <alignment horizontal="left" vertical="top"/>
    </xf>
    <xf numFmtId="168" fontId="5" fillId="0" borderId="9" xfId="0" applyNumberFormat="1" applyFont="1" applyBorder="1" applyAlignment="1">
      <alignment horizontal="right" vertical="center"/>
    </xf>
    <xf numFmtId="168" fontId="38" fillId="0" borderId="9" xfId="0" applyNumberFormat="1" applyFont="1" applyBorder="1" applyAlignment="1">
      <alignment vertical="center"/>
    </xf>
    <xf numFmtId="168" fontId="38" fillId="0" borderId="9" xfId="0" applyNumberFormat="1" applyFont="1" applyBorder="1" applyAlignment="1">
      <alignment horizontal="right" vertical="center"/>
    </xf>
    <xf numFmtId="0" fontId="0" fillId="0" borderId="63" xfId="0" applyBorder="1"/>
    <xf numFmtId="0" fontId="62" fillId="15" borderId="63" xfId="0" applyFont="1" applyFill="1" applyBorder="1" applyAlignment="1">
      <alignment vertical="top"/>
    </xf>
    <xf numFmtId="0" fontId="62" fillId="15" borderId="63" xfId="0" applyFont="1" applyFill="1" applyBorder="1"/>
    <xf numFmtId="0" fontId="62" fillId="15" borderId="63" xfId="0" applyFont="1" applyFill="1" applyBorder="1" applyAlignment="1">
      <alignment horizontal="left" vertical="top" wrapText="1"/>
    </xf>
    <xf numFmtId="168" fontId="38" fillId="0" borderId="63" xfId="6" applyNumberFormat="1" applyFont="1" applyFill="1" applyBorder="1" applyAlignment="1">
      <alignment horizontal="center" vertical="center"/>
    </xf>
    <xf numFmtId="0" fontId="0" fillId="0" borderId="81" xfId="0" applyBorder="1"/>
    <xf numFmtId="0" fontId="62" fillId="15" borderId="80" xfId="0" applyFont="1" applyFill="1" applyBorder="1" applyAlignment="1">
      <alignment vertical="top"/>
    </xf>
    <xf numFmtId="0" fontId="7" fillId="0" borderId="80" xfId="0" applyFont="1" applyBorder="1" applyAlignment="1">
      <alignment horizontal="center" vertical="center"/>
    </xf>
    <xf numFmtId="168" fontId="7" fillId="0" borderId="81" xfId="0" applyNumberFormat="1" applyFont="1" applyBorder="1" applyAlignment="1">
      <alignment horizontal="center" vertical="center"/>
    </xf>
    <xf numFmtId="0" fontId="39" fillId="0" borderId="80" xfId="0" applyFont="1" applyBorder="1" applyAlignment="1">
      <alignment horizontal="center" vertical="center"/>
    </xf>
    <xf numFmtId="168" fontId="38" fillId="0" borderId="81" xfId="6" applyNumberFormat="1" applyFont="1" applyFill="1" applyBorder="1" applyAlignment="1">
      <alignment horizontal="right" vertical="center"/>
    </xf>
    <xf numFmtId="0" fontId="39" fillId="0" borderId="82" xfId="0" applyFont="1" applyBorder="1" applyAlignment="1">
      <alignment horizontal="center" vertical="center"/>
    </xf>
    <xf numFmtId="0" fontId="5" fillId="0" borderId="64" xfId="0" applyFont="1" applyBorder="1" applyAlignment="1">
      <alignment horizontal="left" vertical="top" wrapText="1"/>
    </xf>
    <xf numFmtId="0" fontId="5" fillId="0" borderId="64" xfId="0" applyFont="1" applyBorder="1" applyAlignment="1">
      <alignment horizontal="center" vertical="center" wrapText="1"/>
    </xf>
    <xf numFmtId="0" fontId="38" fillId="0" borderId="64" xfId="0" applyFont="1" applyBorder="1" applyAlignment="1">
      <alignment horizontal="center" vertical="center"/>
    </xf>
    <xf numFmtId="168" fontId="38" fillId="0" borderId="64" xfId="6" applyNumberFormat="1" applyFont="1" applyFill="1" applyBorder="1" applyAlignment="1">
      <alignment horizontal="center" vertical="center"/>
    </xf>
    <xf numFmtId="168" fontId="38" fillId="0" borderId="64" xfId="6" applyNumberFormat="1" applyFont="1" applyFill="1" applyBorder="1" applyAlignment="1">
      <alignment vertical="center"/>
    </xf>
    <xf numFmtId="168" fontId="38" fillId="0" borderId="83" xfId="6" applyNumberFormat="1" applyFont="1" applyFill="1" applyBorder="1" applyAlignment="1">
      <alignment horizontal="right" vertical="center"/>
    </xf>
    <xf numFmtId="168" fontId="7" fillId="0" borderId="86" xfId="0" applyNumberFormat="1" applyFont="1" applyBorder="1" applyAlignment="1">
      <alignment horizontal="right" vertical="center"/>
    </xf>
    <xf numFmtId="0" fontId="62" fillId="15" borderId="63" xfId="0" applyFont="1" applyFill="1" applyBorder="1" applyAlignment="1">
      <alignment horizontal="left"/>
    </xf>
    <xf numFmtId="0" fontId="62" fillId="15" borderId="81" xfId="0" applyFont="1" applyFill="1" applyBorder="1" applyAlignment="1">
      <alignment horizontal="left"/>
    </xf>
    <xf numFmtId="0" fontId="39" fillId="0" borderId="84" xfId="0" applyFont="1" applyBorder="1" applyAlignment="1">
      <alignment horizontal="center" vertical="center"/>
    </xf>
    <xf numFmtId="0" fontId="39" fillId="0" borderId="85" xfId="0" applyFont="1" applyBorder="1" applyAlignment="1">
      <alignment horizontal="center" vertical="center"/>
    </xf>
    <xf numFmtId="0" fontId="65" fillId="0" borderId="80" xfId="0" applyFont="1" applyBorder="1" applyAlignment="1">
      <alignment horizontal="left" vertical="top" wrapText="1"/>
    </xf>
    <xf numFmtId="0" fontId="67" fillId="0" borderId="63" xfId="0" applyFont="1" applyBorder="1" applyAlignment="1">
      <alignment horizontal="left" vertical="top"/>
    </xf>
    <xf numFmtId="0" fontId="39" fillId="0" borderId="80" xfId="0" applyFont="1" applyBorder="1" applyAlignment="1">
      <alignment horizontal="center" vertical="center"/>
    </xf>
    <xf numFmtId="0" fontId="62" fillId="15" borderId="80" xfId="0" applyFont="1" applyFill="1" applyBorder="1" applyAlignment="1">
      <alignment horizontal="left" vertical="top" wrapText="1"/>
    </xf>
    <xf numFmtId="0" fontId="62" fillId="15" borderId="63" xfId="0" applyFont="1" applyFill="1" applyBorder="1" applyAlignment="1">
      <alignment horizontal="left" vertical="top" wrapText="1"/>
    </xf>
    <xf numFmtId="0" fontId="64" fillId="0" borderId="75" xfId="0" applyFont="1" applyBorder="1" applyAlignment="1">
      <alignment horizontal="center"/>
    </xf>
    <xf numFmtId="0" fontId="64" fillId="0" borderId="79" xfId="0" applyFont="1" applyBorder="1" applyAlignment="1">
      <alignment horizontal="center"/>
    </xf>
    <xf numFmtId="0" fontId="64" fillId="0" borderId="76" xfId="0" applyFont="1" applyBorder="1" applyAlignment="1">
      <alignment horizontal="center"/>
    </xf>
    <xf numFmtId="0" fontId="61" fillId="16" borderId="80" xfId="0" applyFont="1" applyFill="1" applyBorder="1" applyAlignment="1">
      <alignment horizontal="center" wrapText="1"/>
    </xf>
    <xf numFmtId="0" fontId="61" fillId="16" borderId="63" xfId="0" applyFont="1" applyFill="1" applyBorder="1" applyAlignment="1">
      <alignment horizontal="center" wrapText="1"/>
    </xf>
    <xf numFmtId="0" fontId="61" fillId="16" borderId="81" xfId="0" applyFont="1" applyFill="1" applyBorder="1" applyAlignment="1">
      <alignment horizontal="center" wrapText="1"/>
    </xf>
    <xf numFmtId="49" fontId="43" fillId="0" borderId="31" xfId="0" applyNumberFormat="1" applyFont="1" applyBorder="1" applyAlignment="1">
      <alignment horizontal="center" vertical="center"/>
    </xf>
    <xf numFmtId="0" fontId="40" fillId="0" borderId="22" xfId="0" applyFont="1" applyBorder="1"/>
    <xf numFmtId="0" fontId="40" fillId="0" borderId="43" xfId="0" applyFont="1" applyBorder="1"/>
    <xf numFmtId="0" fontId="40" fillId="0" borderId="20" xfId="0" applyFont="1" applyBorder="1"/>
    <xf numFmtId="166" fontId="45" fillId="0" borderId="58" xfId="0" applyNumberFormat="1" applyFont="1" applyBorder="1" applyAlignment="1">
      <alignment horizontal="center" vertical="center"/>
    </xf>
    <xf numFmtId="0" fontId="40" fillId="0" borderId="54" xfId="0" applyFont="1" applyBorder="1"/>
    <xf numFmtId="0" fontId="40" fillId="0" borderId="53" xfId="0" applyFont="1" applyBorder="1"/>
    <xf numFmtId="49" fontId="47" fillId="0" borderId="31" xfId="0" applyNumberFormat="1" applyFont="1" applyBorder="1" applyAlignment="1">
      <alignment horizontal="right" vertical="center" wrapText="1"/>
    </xf>
    <xf numFmtId="0" fontId="42" fillId="0" borderId="48" xfId="2" applyFont="1" applyBorder="1" applyAlignment="1">
      <alignment horizontal="center" vertical="center"/>
    </xf>
    <xf numFmtId="0" fontId="42" fillId="0" borderId="36" xfId="2" applyFont="1" applyBorder="1" applyAlignment="1">
      <alignment horizontal="center" vertical="center"/>
    </xf>
    <xf numFmtId="0" fontId="42" fillId="0" borderId="62" xfId="2" applyFont="1" applyBorder="1" applyAlignment="1">
      <alignment horizontal="center" vertical="center"/>
    </xf>
    <xf numFmtId="49" fontId="41" fillId="0" borderId="57" xfId="0" applyNumberFormat="1" applyFont="1" applyBorder="1" applyAlignment="1">
      <alignment horizontal="center" vertical="top"/>
    </xf>
    <xf numFmtId="49" fontId="50" fillId="0" borderId="44" xfId="0" applyNumberFormat="1" applyFont="1" applyBorder="1" applyAlignment="1">
      <alignment horizontal="center" vertical="top"/>
    </xf>
    <xf numFmtId="49" fontId="50" fillId="0" borderId="59" xfId="0" applyNumberFormat="1" applyFont="1" applyBorder="1" applyAlignment="1">
      <alignment horizontal="center" vertical="top"/>
    </xf>
    <xf numFmtId="49" fontId="50" fillId="0" borderId="58" xfId="0" applyNumberFormat="1" applyFont="1" applyBorder="1" applyAlignment="1">
      <alignment horizontal="center" vertical="top"/>
    </xf>
    <xf numFmtId="49" fontId="50" fillId="0" borderId="54" xfId="0" applyNumberFormat="1" applyFont="1" applyBorder="1" applyAlignment="1">
      <alignment horizontal="center" vertical="top"/>
    </xf>
    <xf numFmtId="49" fontId="50" fillId="0" borderId="53" xfId="0" applyNumberFormat="1" applyFont="1" applyBorder="1" applyAlignment="1">
      <alignment horizontal="center" vertical="top"/>
    </xf>
    <xf numFmtId="0" fontId="42" fillId="0" borderId="48" xfId="0" applyFont="1" applyBorder="1" applyAlignment="1">
      <alignment horizontal="center" vertical="center"/>
    </xf>
    <xf numFmtId="0" fontId="42" fillId="0" borderId="36" xfId="0" applyFont="1" applyBorder="1" applyAlignment="1">
      <alignment horizontal="center" vertical="center"/>
    </xf>
    <xf numFmtId="0" fontId="42" fillId="0" borderId="62" xfId="0" applyFont="1" applyBorder="1" applyAlignment="1">
      <alignment horizontal="center" vertical="center"/>
    </xf>
    <xf numFmtId="0" fontId="7" fillId="5" borderId="31" xfId="0" applyFont="1" applyFill="1" applyBorder="1" applyAlignment="1">
      <alignment horizontal="center" vertical="top"/>
    </xf>
    <xf numFmtId="0" fontId="4" fillId="0" borderId="22" xfId="0" applyFont="1" applyBorder="1"/>
    <xf numFmtId="0" fontId="4" fillId="0" borderId="43" xfId="0" applyFont="1" applyBorder="1"/>
    <xf numFmtId="0" fontId="18" fillId="0" borderId="31" xfId="0" applyFont="1" applyBorder="1" applyAlignment="1">
      <alignment horizontal="left" vertical="center"/>
    </xf>
    <xf numFmtId="0" fontId="4" fillId="0" borderId="20" xfId="0" applyFont="1" applyBorder="1"/>
    <xf numFmtId="0" fontId="5" fillId="0" borderId="10" xfId="0" applyFont="1" applyBorder="1" applyAlignment="1">
      <alignment horizontal="left" vertical="center"/>
    </xf>
    <xf numFmtId="0" fontId="4" fillId="0" borderId="11" xfId="0" applyFont="1" applyBorder="1"/>
    <xf numFmtId="0" fontId="4" fillId="0" borderId="12" xfId="0" applyFont="1" applyBorder="1"/>
    <xf numFmtId="0" fontId="7" fillId="0" borderId="23" xfId="0" applyFont="1" applyBorder="1" applyAlignment="1">
      <alignment horizontal="left" vertical="center"/>
    </xf>
    <xf numFmtId="0" fontId="4" fillId="0" borderId="24" xfId="0" applyFont="1" applyBorder="1"/>
    <xf numFmtId="0" fontId="7" fillId="5" borderId="1" xfId="0" applyFont="1" applyFill="1" applyBorder="1" applyAlignment="1">
      <alignment horizontal="left" vertical="center"/>
    </xf>
    <xf numFmtId="0" fontId="4" fillId="0" borderId="2" xfId="0" applyFont="1" applyBorder="1"/>
    <xf numFmtId="0" fontId="4" fillId="0" borderId="3" xfId="0" applyFont="1" applyBorder="1"/>
    <xf numFmtId="0" fontId="7" fillId="4" borderId="31" xfId="0" applyFont="1" applyFill="1" applyBorder="1" applyAlignment="1">
      <alignment horizontal="right" vertical="center"/>
    </xf>
    <xf numFmtId="0" fontId="7" fillId="5" borderId="13" xfId="0" applyFont="1" applyFill="1" applyBorder="1" applyAlignment="1">
      <alignment horizontal="center"/>
    </xf>
    <xf numFmtId="0" fontId="4" fillId="0" borderId="14" xfId="0" applyFont="1" applyBorder="1"/>
    <xf numFmtId="0" fontId="4" fillId="0" borderId="15" xfId="0" applyFont="1" applyBorder="1"/>
    <xf numFmtId="0" fontId="5" fillId="0" borderId="4" xfId="0" applyFont="1" applyBorder="1" applyAlignment="1">
      <alignment horizontal="left" wrapText="1"/>
    </xf>
    <xf numFmtId="0" fontId="4" fillId="0" borderId="5" xfId="0" applyFont="1" applyBorder="1"/>
    <xf numFmtId="0" fontId="4" fillId="0" borderId="6" xfId="0" applyFont="1" applyBorder="1"/>
    <xf numFmtId="0" fontId="6" fillId="0" borderId="10" xfId="0" applyFont="1" applyBorder="1" applyAlignment="1">
      <alignment horizontal="left"/>
    </xf>
    <xf numFmtId="0" fontId="7" fillId="4" borderId="13" xfId="0" applyFont="1" applyFill="1" applyBorder="1" applyAlignment="1">
      <alignment horizontal="center" vertical="center"/>
    </xf>
    <xf numFmtId="0" fontId="5" fillId="4" borderId="13" xfId="0" applyFont="1" applyFill="1" applyBorder="1" applyAlignment="1">
      <alignment horizontal="center"/>
    </xf>
    <xf numFmtId="0" fontId="5" fillId="0" borderId="16" xfId="0" applyFont="1" applyBorder="1" applyAlignment="1">
      <alignment horizontal="left" vertical="center"/>
    </xf>
    <xf numFmtId="0" fontId="4" fillId="0" borderId="17" xfId="0" applyFont="1" applyBorder="1"/>
    <xf numFmtId="0" fontId="4" fillId="0" borderId="18" xfId="0" applyFont="1" applyBorder="1"/>
    <xf numFmtId="0" fontId="7" fillId="0" borderId="19" xfId="0" applyFont="1" applyBorder="1" applyAlignment="1">
      <alignment horizontal="left" vertical="center"/>
    </xf>
    <xf numFmtId="0" fontId="5" fillId="0" borderId="7" xfId="0" applyFont="1" applyBorder="1" applyAlignment="1">
      <alignment horizontal="left" wrapText="1"/>
    </xf>
    <xf numFmtId="0" fontId="0" fillId="0" borderId="0" xfId="0"/>
    <xf numFmtId="0" fontId="4" fillId="0" borderId="8" xfId="0" applyFont="1" applyBorder="1"/>
    <xf numFmtId="0" fontId="5" fillId="0" borderId="7" xfId="0" applyFont="1" applyBorder="1" applyAlignment="1">
      <alignment horizontal="left"/>
    </xf>
    <xf numFmtId="0" fontId="3" fillId="0" borderId="1" xfId="0" applyFont="1" applyBorder="1" applyAlignment="1">
      <alignment horizontal="left" vertical="center"/>
    </xf>
    <xf numFmtId="0" fontId="3" fillId="0" borderId="4" xfId="0" applyFont="1" applyBorder="1" applyAlignment="1">
      <alignment horizontal="center" vertical="center"/>
    </xf>
    <xf numFmtId="0" fontId="4" fillId="0" borderId="7" xfId="0" applyFont="1" applyBorder="1"/>
    <xf numFmtId="0" fontId="4" fillId="0" borderId="10" xfId="0" applyFont="1" applyBorder="1"/>
    <xf numFmtId="0" fontId="5" fillId="0" borderId="7" xfId="0" applyFont="1" applyBorder="1" applyAlignment="1">
      <alignment horizontal="left" vertical="center"/>
    </xf>
    <xf numFmtId="0" fontId="12" fillId="0" borderId="0" xfId="0" applyFont="1" applyAlignment="1">
      <alignment horizontal="center" vertical="center" wrapText="1"/>
    </xf>
    <xf numFmtId="0" fontId="5" fillId="0" borderId="0" xfId="0" applyFont="1" applyAlignment="1">
      <alignment vertical="center" wrapText="1"/>
    </xf>
  </cellXfs>
  <cellStyles count="8">
    <cellStyle name="Comma" xfId="6" builtinId="3"/>
    <cellStyle name="Normal" xfId="0" builtinId="0"/>
    <cellStyle name="Normal 2" xfId="1"/>
    <cellStyle name="Normal 2 2" xfId="4"/>
    <cellStyle name="Normal 3" xfId="2"/>
    <cellStyle name="Normal 3 2" xfId="5"/>
    <cellStyle name="Normal 4" xfId="3"/>
    <cellStyle name="Percent" xfId="7" builtinId="5"/>
  </cellStyles>
  <dxfs count="0"/>
  <tableStyles count="0" defaultTableStyle="TableStyleMedium2" defaultPivotStyle="PivotStyleLight16"/>
  <colors>
    <mruColors>
      <color rgb="FF93F7D1"/>
      <color rgb="FFA7CC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2" Type="http://schemas.openxmlformats.org/officeDocument/2006/relationships/hyperlink" Target="https://en.wikipedia.org/wiki/Vishvakarman" TargetMode="External"/><Relationship Id="rId1" Type="http://schemas.openxmlformats.org/officeDocument/2006/relationships/image" Target="../media/image1.xlsrvcdf"/></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15</xdr:col>
      <xdr:colOff>346604</xdr:colOff>
      <xdr:row>2</xdr:row>
      <xdr:rowOff>43790</xdr:rowOff>
    </xdr:from>
    <xdr:ext cx="611283" cy="697706"/>
    <xdr:pic>
      <xdr:nvPicPr>
        <xdr:cNvPr id="2" name="Picture 1">
          <a:extLst>
            <a:ext uri="{FF2B5EF4-FFF2-40B4-BE49-F238E27FC236}">
              <a16:creationId xmlns="" xmlns:a16="http://schemas.microsoft.com/office/drawing/2014/main" id="{E3369C1E-7402-3D20-A21F-3143F3FAFC21}"/>
            </a:ext>
          </a:extLst>
        </xdr:cNvPr>
        <xdr:cNvPicPr>
          <a:picLocks noChangeAspect="1"/>
        </xdr:cNvPicPr>
      </xdr:nvPicPr>
      <xdr:blipFill>
        <a:blip xmlns:r="http://schemas.openxmlformats.org/officeDocument/2006/relationships" r:embed="rId1">
          <a:extLst>
            <a:ext uri="{837473B0-CC2E-450A-ABE3-18F120FF3D39}">
              <a1611:picAttrSrcUrl xmlns="" xmlns:a1611="http://schemas.microsoft.com/office/drawing/2016/11/main" r:id="rId2"/>
            </a:ext>
          </a:extLst>
        </a:blip>
        <a:stretch>
          <a:fillRect/>
        </a:stretch>
      </xdr:blipFill>
      <xdr:spPr>
        <a:xfrm>
          <a:off x="10538354" y="2414457"/>
          <a:ext cx="611283" cy="697706"/>
        </a:xfrm>
        <a:prstGeom prst="rect">
          <a:avLst/>
        </a:prstGeom>
      </xdr:spPr>
    </xdr:pic>
    <xdr:clientData/>
  </xdr:oneCellAnchor>
  <xdr:twoCellAnchor>
    <xdr:from>
      <xdr:col>14</xdr:col>
      <xdr:colOff>748241</xdr:colOff>
      <xdr:row>3</xdr:row>
      <xdr:rowOff>135466</xdr:rowOff>
    </xdr:from>
    <xdr:to>
      <xdr:col>15</xdr:col>
      <xdr:colOff>1121833</xdr:colOff>
      <xdr:row>3</xdr:row>
      <xdr:rowOff>181185</xdr:rowOff>
    </xdr:to>
    <xdr:sp macro="" textlink="">
      <xdr:nvSpPr>
        <xdr:cNvPr id="3" name="TextBox 2">
          <a:extLst>
            <a:ext uri="{FF2B5EF4-FFF2-40B4-BE49-F238E27FC236}">
              <a16:creationId xmlns="" xmlns:a16="http://schemas.microsoft.com/office/drawing/2014/main" id="{02EB34B3-3825-BBD0-9C9B-605FA283F0FD}"/>
            </a:ext>
            <a:ext uri="{147F2762-F138-4A5C-976F-8EAC2B608ADB}">
              <a16:predDERef xmlns="" xmlns:a16="http://schemas.microsoft.com/office/drawing/2014/main" pred="{E3369C1E-7402-3D20-A21F-3143F3FAFC21}"/>
            </a:ext>
          </a:extLst>
        </xdr:cNvPr>
        <xdr:cNvSpPr txBox="1"/>
      </xdr:nvSpPr>
      <xdr:spPr>
        <a:xfrm flipV="1">
          <a:off x="10135658" y="3289299"/>
          <a:ext cx="1177925" cy="45719"/>
        </a:xfrm>
        <a:prstGeom prst="rect">
          <a:avLst/>
        </a:prstGeom>
        <a:noFill/>
        <a:ln>
          <a:noFill/>
        </a:ln>
      </xdr:spPr>
      <xdr:txBody>
        <a:bodyPr vertOverflow="clip" horzOverflow="clip" rtlCol="0" anchor="t">
          <a:noAutofit/>
        </a:bodyPr>
        <a:lstStyle/>
        <a:p>
          <a:pPr algn="l"/>
          <a:r>
            <a:rPr lang="en-US" sz="900">
              <a:hlinkClick xmlns:r="http://schemas.openxmlformats.org/officeDocument/2006/relationships" r:id="rId2" tooltip="https://en.wikipedia.org/wiki/Vishvakarman"/>
            </a:rPr>
            <a:t>This Photo</a:t>
          </a:r>
          <a:r>
            <a:rPr lang="en-US" sz="900"/>
            <a:t> b Unknown Author is licensed under </a:t>
          </a:r>
          <a:r>
            <a:rPr lang="en-US" sz="900">
              <a:hlinkClick xmlns:r="http://schemas.openxmlformats.org/officeDocument/2006/relationships" r:id="rId3" tooltip="https://creativecommons.org/licenses/by-sa/3.0/"/>
            </a:rPr>
            <a:t>CC BY-SA</a:t>
          </a:r>
          <a:endParaRPr lang="en-US"/>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66675</xdr:colOff>
      <xdr:row>0</xdr:row>
      <xdr:rowOff>9525</xdr:rowOff>
    </xdr:from>
    <xdr:ext cx="2200275" cy="1457325"/>
    <xdr:pic>
      <xdr:nvPicPr>
        <xdr:cNvPr id="2" name="image1.jpg" descr="Y:\PROJECT\ID-112 The Building Company office\09.References\ADDA_LOGO_FINAL with A4 page.jpg">
          <a:extLst>
            <a:ext uri="{FF2B5EF4-FFF2-40B4-BE49-F238E27FC236}">
              <a16:creationId xmlns=""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66675</xdr:colOff>
      <xdr:row>0</xdr:row>
      <xdr:rowOff>9525</xdr:rowOff>
    </xdr:from>
    <xdr:ext cx="600075" cy="1076325"/>
    <xdr:pic>
      <xdr:nvPicPr>
        <xdr:cNvPr id="3" name="image1.jpg" descr="Y:\PROJECT\ID-112 The Building Company office\09.References\ADDA_LOGO_FINAL with A4 page.jpg">
          <a:extLst>
            <a:ext uri="{FF2B5EF4-FFF2-40B4-BE49-F238E27FC236}">
              <a16:creationId xmlns=""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studio@addaarchitects.in" TargetMode="External"/><Relationship Id="rId1" Type="http://schemas.openxmlformats.org/officeDocument/2006/relationships/hyperlink" Target="mailto:studio@addaarchitects.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B419"/>
  <sheetViews>
    <sheetView tabSelected="1" topLeftCell="J13" zoomScaleNormal="100" workbookViewId="0">
      <selection activeCell="M14" sqref="M14"/>
    </sheetView>
  </sheetViews>
  <sheetFormatPr defaultColWidth="14.42578125" defaultRowHeight="15" customHeight="1"/>
  <cols>
    <col min="1" max="1" width="28.42578125" hidden="1" customWidth="1"/>
    <col min="2" max="2" width="36" hidden="1" customWidth="1"/>
    <col min="3" max="3" width="255.85546875" hidden="1" customWidth="1"/>
    <col min="4" max="4" width="18.42578125" hidden="1" customWidth="1"/>
    <col min="5" max="5" width="5.140625" hidden="1" customWidth="1"/>
    <col min="6" max="7" width="5" hidden="1" customWidth="1"/>
    <col min="8" max="8" width="8.42578125" hidden="1" customWidth="1"/>
    <col min="9" max="9" width="8.85546875" hidden="1" customWidth="1"/>
    <col min="10" max="10" width="16.28515625" style="408" bestFit="1" customWidth="1"/>
    <col min="11" max="11" width="98.42578125" style="495" bestFit="1" customWidth="1"/>
    <col min="12" max="12" width="14.85546875" style="495" customWidth="1"/>
    <col min="13" max="13" width="11.7109375" style="192" bestFit="1" customWidth="1"/>
    <col min="14" max="14" width="14.28515625" style="387" customWidth="1"/>
    <col min="15" max="15" width="12" style="498" customWidth="1"/>
    <col min="16" max="16" width="17.28515625" style="496" bestFit="1" customWidth="1"/>
    <col min="17" max="17" width="25.28515625" customWidth="1"/>
  </cols>
  <sheetData>
    <row r="1" spans="1:28" ht="15" customHeight="1" thickBot="1">
      <c r="A1" s="614"/>
      <c r="B1" s="615"/>
      <c r="C1" s="615"/>
      <c r="D1" s="615"/>
      <c r="E1" s="615"/>
      <c r="F1" s="616"/>
      <c r="G1" s="615"/>
      <c r="H1" s="617"/>
      <c r="J1" s="620"/>
      <c r="K1" s="621"/>
      <c r="L1" s="621"/>
      <c r="M1" s="621"/>
      <c r="N1" s="621"/>
      <c r="O1" s="621"/>
      <c r="P1" s="621"/>
      <c r="Q1" s="622"/>
      <c r="R1" s="622"/>
      <c r="S1" s="622"/>
      <c r="T1" s="622"/>
      <c r="U1" s="622"/>
      <c r="V1" s="622"/>
      <c r="W1" s="622"/>
      <c r="X1" s="622"/>
      <c r="Y1" s="622"/>
      <c r="Z1" s="622"/>
      <c r="AA1" s="622"/>
      <c r="AB1" s="622"/>
    </row>
    <row r="2" spans="1:28" ht="23.25">
      <c r="A2" s="614"/>
      <c r="B2" s="615"/>
      <c r="C2" s="615"/>
      <c r="D2" s="615"/>
      <c r="E2" s="615"/>
      <c r="F2" s="616"/>
      <c r="G2" s="615"/>
      <c r="H2" s="617"/>
      <c r="J2" s="662" t="s">
        <v>1154</v>
      </c>
      <c r="K2" s="663"/>
      <c r="L2" s="663"/>
      <c r="M2" s="663"/>
      <c r="N2" s="663"/>
      <c r="O2" s="663"/>
      <c r="P2" s="664"/>
      <c r="Q2" s="623"/>
      <c r="R2" s="623"/>
      <c r="S2" s="622"/>
      <c r="T2" s="622"/>
      <c r="U2" s="622"/>
      <c r="V2" s="622"/>
      <c r="W2" s="622"/>
      <c r="X2" s="622"/>
      <c r="Y2" s="622"/>
      <c r="Z2" s="622"/>
      <c r="AA2" s="622"/>
      <c r="AB2" s="622"/>
    </row>
    <row r="3" spans="1:28" ht="61.5" customHeight="1">
      <c r="A3" s="614"/>
      <c r="B3" s="615"/>
      <c r="C3" s="615"/>
      <c r="D3" s="615"/>
      <c r="E3" s="615"/>
      <c r="F3" s="616"/>
      <c r="G3" s="615"/>
      <c r="H3" s="617"/>
      <c r="J3" s="657" t="s">
        <v>1158</v>
      </c>
      <c r="K3" s="658"/>
      <c r="L3" s="658"/>
      <c r="M3" s="658"/>
      <c r="N3" s="634"/>
      <c r="O3" s="634"/>
      <c r="P3" s="639"/>
      <c r="Q3" s="622"/>
      <c r="R3" s="622"/>
      <c r="S3" s="622"/>
      <c r="T3" s="622"/>
      <c r="U3" s="622"/>
      <c r="V3" s="622"/>
      <c r="W3" s="622"/>
      <c r="X3" s="622"/>
      <c r="Y3" s="622"/>
      <c r="Z3" s="622"/>
      <c r="AA3" s="622"/>
      <c r="AB3" s="622"/>
    </row>
    <row r="4" spans="1:28" ht="19.5" customHeight="1">
      <c r="A4" s="614"/>
      <c r="B4" s="615"/>
      <c r="C4" s="615"/>
      <c r="D4" s="615"/>
      <c r="E4" s="615"/>
      <c r="F4" s="616"/>
      <c r="G4" s="615"/>
      <c r="H4" s="617"/>
      <c r="J4" s="665" t="s">
        <v>1155</v>
      </c>
      <c r="K4" s="666"/>
      <c r="L4" s="666"/>
      <c r="M4" s="666"/>
      <c r="N4" s="666"/>
      <c r="O4" s="666"/>
      <c r="P4" s="667"/>
      <c r="Q4" s="624"/>
      <c r="R4" s="624"/>
      <c r="S4" s="622"/>
      <c r="T4" s="622"/>
      <c r="U4" s="622"/>
      <c r="V4" s="622"/>
      <c r="W4" s="622"/>
      <c r="X4" s="622"/>
      <c r="Y4" s="622"/>
      <c r="Z4" s="622"/>
      <c r="AA4" s="622"/>
      <c r="AB4" s="622"/>
    </row>
    <row r="5" spans="1:28" ht="15" customHeight="1">
      <c r="A5" s="614"/>
      <c r="B5" s="615"/>
      <c r="C5" s="615"/>
      <c r="D5" s="615"/>
      <c r="E5" s="615"/>
      <c r="F5" s="616"/>
      <c r="G5" s="615"/>
      <c r="H5" s="617"/>
      <c r="J5" s="640" t="s">
        <v>1157</v>
      </c>
      <c r="K5" s="635"/>
      <c r="L5" s="635"/>
      <c r="M5" s="636"/>
      <c r="N5" s="636"/>
      <c r="O5" s="653" t="s">
        <v>1162</v>
      </c>
      <c r="P5" s="654"/>
      <c r="Q5" s="625"/>
      <c r="R5" s="625"/>
      <c r="S5" s="622"/>
      <c r="T5" s="622"/>
      <c r="U5" s="622"/>
      <c r="V5" s="622"/>
      <c r="W5" s="622"/>
      <c r="X5" s="622"/>
      <c r="Y5" s="622"/>
      <c r="Z5" s="622"/>
      <c r="AA5" s="622"/>
      <c r="AB5" s="622"/>
    </row>
    <row r="6" spans="1:28" ht="24" customHeight="1" thickBot="1">
      <c r="A6" s="614"/>
      <c r="B6" s="615"/>
      <c r="C6" s="615"/>
      <c r="D6" s="615"/>
      <c r="E6" s="615"/>
      <c r="F6" s="616"/>
      <c r="G6" s="615"/>
      <c r="H6" s="617"/>
      <c r="J6" s="660" t="s">
        <v>1163</v>
      </c>
      <c r="K6" s="661"/>
      <c r="L6" s="637"/>
      <c r="M6" s="636"/>
      <c r="N6" s="636" t="s">
        <v>736</v>
      </c>
      <c r="O6" s="653" t="s">
        <v>1156</v>
      </c>
      <c r="P6" s="654"/>
      <c r="Q6" s="625"/>
      <c r="R6" s="625"/>
      <c r="S6" s="622"/>
      <c r="T6" s="622"/>
      <c r="U6" s="622"/>
      <c r="V6" s="622"/>
      <c r="W6" s="622"/>
      <c r="X6" s="622"/>
      <c r="Y6" s="622"/>
      <c r="Z6" s="622"/>
      <c r="AA6" s="622"/>
      <c r="AB6" s="622"/>
    </row>
    <row r="7" spans="1:28" s="408" customFormat="1" ht="47.45" customHeight="1" thickBot="1">
      <c r="A7" s="472" t="s">
        <v>15</v>
      </c>
      <c r="B7" s="473" t="s">
        <v>16</v>
      </c>
      <c r="C7" s="474" t="s">
        <v>17</v>
      </c>
      <c r="D7" s="474" t="s">
        <v>18</v>
      </c>
      <c r="E7" s="474" t="s">
        <v>19</v>
      </c>
      <c r="F7" s="474" t="s">
        <v>20</v>
      </c>
      <c r="G7" s="474" t="s">
        <v>21</v>
      </c>
      <c r="H7" s="475" t="s">
        <v>22</v>
      </c>
      <c r="I7" s="609"/>
      <c r="J7" s="641" t="s">
        <v>1118</v>
      </c>
      <c r="K7" s="608" t="s">
        <v>1119</v>
      </c>
      <c r="L7" s="608" t="s">
        <v>1159</v>
      </c>
      <c r="M7" s="608" t="s">
        <v>20</v>
      </c>
      <c r="N7" s="610" t="s">
        <v>21</v>
      </c>
      <c r="O7" s="611" t="s">
        <v>1120</v>
      </c>
      <c r="P7" s="642" t="s">
        <v>22</v>
      </c>
      <c r="Q7" s="609"/>
    </row>
    <row r="8" spans="1:28" ht="163.15" customHeight="1">
      <c r="A8" s="23"/>
      <c r="B8" s="24"/>
      <c r="C8" s="25"/>
      <c r="D8" s="478"/>
      <c r="E8" s="478"/>
      <c r="F8" s="30"/>
      <c r="G8" s="476"/>
      <c r="H8" s="479"/>
      <c r="I8" s="482"/>
      <c r="J8" s="643">
        <v>1</v>
      </c>
      <c r="K8" s="612" t="s">
        <v>1093</v>
      </c>
      <c r="L8" s="627">
        <v>998891</v>
      </c>
      <c r="M8" s="477" t="s">
        <v>39</v>
      </c>
      <c r="N8" s="638">
        <v>4200</v>
      </c>
      <c r="O8" s="491">
        <f>ROUNDUP('Measurement Sheet_FINAL'!H738,0)</f>
        <v>394</v>
      </c>
      <c r="P8" s="644">
        <f>O8*N8</f>
        <v>1654800</v>
      </c>
      <c r="Q8" s="481"/>
    </row>
    <row r="9" spans="1:28" ht="198.6" customHeight="1">
      <c r="A9" s="23"/>
      <c r="B9" s="24"/>
      <c r="C9" s="25"/>
      <c r="D9" s="478"/>
      <c r="E9" s="478"/>
      <c r="F9" s="30"/>
      <c r="G9" s="476"/>
      <c r="H9" s="479"/>
      <c r="I9" s="482"/>
      <c r="J9" s="643">
        <v>2</v>
      </c>
      <c r="K9" s="480" t="s">
        <v>1094</v>
      </c>
      <c r="L9" s="627">
        <v>998891</v>
      </c>
      <c r="M9" s="477" t="s">
        <v>754</v>
      </c>
      <c r="N9" s="638">
        <v>19000</v>
      </c>
      <c r="O9" s="491">
        <f>'Measurement Sheet_FINAL'!H1147</f>
        <v>12</v>
      </c>
      <c r="P9" s="644">
        <f t="shared" ref="P9:P51" si="0">O9*N9</f>
        <v>228000</v>
      </c>
      <c r="Q9" s="481"/>
    </row>
    <row r="10" spans="1:28" ht="108" customHeight="1">
      <c r="A10" s="23"/>
      <c r="B10" s="24"/>
      <c r="C10" s="25"/>
      <c r="D10" s="478"/>
      <c r="E10" s="478"/>
      <c r="F10" s="30"/>
      <c r="G10" s="476"/>
      <c r="H10" s="479"/>
      <c r="I10" s="482"/>
      <c r="J10" s="643">
        <v>3</v>
      </c>
      <c r="K10" s="480" t="s">
        <v>1095</v>
      </c>
      <c r="L10" s="627">
        <v>998891</v>
      </c>
      <c r="M10" s="477" t="s">
        <v>39</v>
      </c>
      <c r="N10" s="638">
        <v>3000</v>
      </c>
      <c r="O10" s="491">
        <f>ROUNDUP('Measurement Sheet_FINAL'!H1106,0)</f>
        <v>397</v>
      </c>
      <c r="P10" s="644">
        <f t="shared" si="0"/>
        <v>1191000</v>
      </c>
      <c r="Q10" s="481"/>
    </row>
    <row r="11" spans="1:28" ht="195">
      <c r="A11" s="23"/>
      <c r="B11" s="24"/>
      <c r="C11" s="25"/>
      <c r="D11" s="478"/>
      <c r="E11" s="478"/>
      <c r="F11" s="30"/>
      <c r="G11" s="476"/>
      <c r="H11" s="479"/>
      <c r="I11" s="482"/>
      <c r="J11" s="659">
        <v>4</v>
      </c>
      <c r="K11" s="480" t="s">
        <v>1096</v>
      </c>
      <c r="L11" s="627"/>
      <c r="M11" s="477"/>
      <c r="N11" s="638"/>
      <c r="O11" s="491">
        <f>ROUNDUP('Measurement Sheet_FINAL'!H810,0)</f>
        <v>20</v>
      </c>
      <c r="P11" s="644"/>
      <c r="Q11" s="481"/>
    </row>
    <row r="12" spans="1:28" ht="28.15" customHeight="1">
      <c r="A12" s="23"/>
      <c r="B12" s="24"/>
      <c r="C12" s="25"/>
      <c r="D12" s="478"/>
      <c r="E12" s="478"/>
      <c r="F12" s="30"/>
      <c r="G12" s="476"/>
      <c r="H12" s="479"/>
      <c r="I12" s="482"/>
      <c r="J12" s="659"/>
      <c r="K12" s="492" t="s">
        <v>1025</v>
      </c>
      <c r="L12" s="627">
        <v>998891</v>
      </c>
      <c r="M12" s="477" t="s">
        <v>1005</v>
      </c>
      <c r="N12" s="638">
        <v>32300</v>
      </c>
      <c r="O12" s="491">
        <f>'Measurement Sheet_FINAL'!H812</f>
        <v>3</v>
      </c>
      <c r="P12" s="644">
        <f t="shared" si="0"/>
        <v>96900</v>
      </c>
      <c r="Q12" s="481"/>
    </row>
    <row r="13" spans="1:28" ht="28.15" customHeight="1">
      <c r="A13" s="23"/>
      <c r="B13" s="24"/>
      <c r="C13" s="25"/>
      <c r="D13" s="478"/>
      <c r="E13" s="478"/>
      <c r="F13" s="30"/>
      <c r="G13" s="476"/>
      <c r="H13" s="479"/>
      <c r="I13" s="482"/>
      <c r="J13" s="659"/>
      <c r="K13" s="492" t="s">
        <v>1026</v>
      </c>
      <c r="L13" s="627">
        <v>998891</v>
      </c>
      <c r="M13" s="477" t="s">
        <v>1005</v>
      </c>
      <c r="N13" s="638">
        <v>28700</v>
      </c>
      <c r="O13" s="491">
        <f>'Measurement Sheet_FINAL'!H813</f>
        <v>17</v>
      </c>
      <c r="P13" s="644">
        <f t="shared" si="0"/>
        <v>487900</v>
      </c>
      <c r="Q13" s="481"/>
    </row>
    <row r="14" spans="1:28" ht="270">
      <c r="A14" s="23"/>
      <c r="B14" s="24"/>
      <c r="C14" s="25"/>
      <c r="D14" s="478"/>
      <c r="E14" s="478"/>
      <c r="F14" s="30"/>
      <c r="G14" s="476"/>
      <c r="H14" s="479"/>
      <c r="I14" s="482"/>
      <c r="J14" s="659">
        <v>5</v>
      </c>
      <c r="K14" s="480" t="s">
        <v>1097</v>
      </c>
      <c r="L14" s="627"/>
      <c r="M14" s="477"/>
      <c r="N14" s="638"/>
      <c r="O14" s="491">
        <f>'Measurement Sheet_FINAL'!H843</f>
        <v>5</v>
      </c>
      <c r="P14" s="644"/>
      <c r="Q14" s="481"/>
    </row>
    <row r="15" spans="1:28" ht="28.15" customHeight="1">
      <c r="A15" s="23"/>
      <c r="B15" s="24"/>
      <c r="C15" s="25"/>
      <c r="D15" s="478"/>
      <c r="E15" s="478"/>
      <c r="F15" s="30"/>
      <c r="G15" s="476"/>
      <c r="H15" s="479"/>
      <c r="I15" s="482"/>
      <c r="J15" s="659"/>
      <c r="K15" s="492" t="s">
        <v>1025</v>
      </c>
      <c r="L15" s="627">
        <v>998891</v>
      </c>
      <c r="M15" s="477" t="s">
        <v>1005</v>
      </c>
      <c r="N15" s="638">
        <v>19000</v>
      </c>
      <c r="O15" s="491">
        <f>'Measurement Sheet_FINAL'!H845</f>
        <v>4</v>
      </c>
      <c r="P15" s="644">
        <f t="shared" si="0"/>
        <v>76000</v>
      </c>
      <c r="Q15" s="481"/>
    </row>
    <row r="16" spans="1:28" ht="28.15" customHeight="1">
      <c r="A16" s="23"/>
      <c r="B16" s="24"/>
      <c r="C16" s="25"/>
      <c r="D16" s="478"/>
      <c r="E16" s="478"/>
      <c r="F16" s="30"/>
      <c r="G16" s="476"/>
      <c r="H16" s="479"/>
      <c r="I16" s="482"/>
      <c r="J16" s="659"/>
      <c r="K16" s="492" t="s">
        <v>1026</v>
      </c>
      <c r="L16" s="627">
        <v>998891</v>
      </c>
      <c r="M16" s="477" t="s">
        <v>1005</v>
      </c>
      <c r="N16" s="638">
        <v>16000</v>
      </c>
      <c r="O16" s="491">
        <f>'Measurement Sheet_FINAL'!H846</f>
        <v>1</v>
      </c>
      <c r="P16" s="644">
        <f t="shared" si="0"/>
        <v>16000</v>
      </c>
      <c r="Q16" s="481"/>
    </row>
    <row r="17" spans="1:17" ht="133.15" customHeight="1">
      <c r="A17" s="23"/>
      <c r="B17" s="24"/>
      <c r="C17" s="25"/>
      <c r="D17" s="478"/>
      <c r="E17" s="478"/>
      <c r="F17" s="30"/>
      <c r="G17" s="476"/>
      <c r="H17" s="479"/>
      <c r="I17" s="482"/>
      <c r="J17" s="643">
        <v>6</v>
      </c>
      <c r="K17" s="612" t="s">
        <v>1121</v>
      </c>
      <c r="L17" s="627">
        <v>998891</v>
      </c>
      <c r="M17" s="613" t="s">
        <v>1117</v>
      </c>
      <c r="N17" s="638">
        <v>3000</v>
      </c>
      <c r="O17" s="491">
        <f>ROUNDUP('Measurement Sheet_FINAL'!H919,0)</f>
        <v>43</v>
      </c>
      <c r="P17" s="644">
        <f t="shared" si="0"/>
        <v>129000</v>
      </c>
      <c r="Q17" s="481"/>
    </row>
    <row r="18" spans="1:17" ht="105">
      <c r="A18" s="1"/>
      <c r="B18" s="103"/>
      <c r="C18" s="104"/>
      <c r="E18" s="29"/>
      <c r="F18" s="47"/>
      <c r="I18" s="481"/>
      <c r="J18" s="643">
        <v>7</v>
      </c>
      <c r="K18" s="612" t="s">
        <v>1123</v>
      </c>
      <c r="L18" s="627">
        <v>998891</v>
      </c>
      <c r="M18" s="477" t="s">
        <v>939</v>
      </c>
      <c r="N18" s="638">
        <v>110250</v>
      </c>
      <c r="O18" s="491">
        <v>1</v>
      </c>
      <c r="P18" s="644">
        <f t="shared" si="0"/>
        <v>110250</v>
      </c>
      <c r="Q18" s="481"/>
    </row>
    <row r="19" spans="1:17" ht="193.15" customHeight="1">
      <c r="A19" s="1"/>
      <c r="B19" s="103"/>
      <c r="C19" s="104"/>
      <c r="E19" s="29"/>
      <c r="F19" s="47"/>
      <c r="I19" s="481"/>
      <c r="J19" s="643">
        <v>8</v>
      </c>
      <c r="K19" s="612" t="s">
        <v>1098</v>
      </c>
      <c r="L19" s="627">
        <v>998891</v>
      </c>
      <c r="M19" s="477" t="s">
        <v>939</v>
      </c>
      <c r="N19" s="638">
        <v>77060</v>
      </c>
      <c r="O19" s="491">
        <v>10</v>
      </c>
      <c r="P19" s="644">
        <f t="shared" si="0"/>
        <v>770600</v>
      </c>
      <c r="Q19" s="481"/>
    </row>
    <row r="20" spans="1:17" ht="90">
      <c r="A20" s="1"/>
      <c r="B20" s="103"/>
      <c r="C20" s="104"/>
      <c r="E20" s="29"/>
      <c r="F20" s="47"/>
      <c r="I20" s="481"/>
      <c r="J20" s="643">
        <v>9</v>
      </c>
      <c r="K20" s="612" t="s">
        <v>1124</v>
      </c>
      <c r="L20" s="627">
        <v>998891</v>
      </c>
      <c r="M20" s="477" t="s">
        <v>939</v>
      </c>
      <c r="N20" s="638">
        <v>44530</v>
      </c>
      <c r="O20" s="491">
        <v>5</v>
      </c>
      <c r="P20" s="644">
        <f t="shared" si="0"/>
        <v>222650</v>
      </c>
      <c r="Q20" s="481"/>
    </row>
    <row r="21" spans="1:17" ht="60">
      <c r="A21" s="1"/>
      <c r="B21" s="103"/>
      <c r="C21" s="104"/>
      <c r="E21" s="29"/>
      <c r="F21" s="47"/>
      <c r="I21" s="481"/>
      <c r="J21" s="643">
        <v>10</v>
      </c>
      <c r="K21" s="612" t="s">
        <v>1122</v>
      </c>
      <c r="L21" s="627">
        <v>998891</v>
      </c>
      <c r="M21" s="477" t="s">
        <v>939</v>
      </c>
      <c r="N21" s="638">
        <v>35000</v>
      </c>
      <c r="O21" s="491">
        <v>2</v>
      </c>
      <c r="P21" s="644">
        <f t="shared" si="0"/>
        <v>70000</v>
      </c>
      <c r="Q21" s="481"/>
    </row>
    <row r="22" spans="1:17" ht="120">
      <c r="A22" s="1"/>
      <c r="B22" s="103"/>
      <c r="C22" s="104"/>
      <c r="E22" s="29"/>
      <c r="F22" s="47"/>
      <c r="I22" s="481"/>
      <c r="J22" s="643">
        <v>11</v>
      </c>
      <c r="K22" s="612" t="s">
        <v>1125</v>
      </c>
      <c r="L22" s="627">
        <v>998891</v>
      </c>
      <c r="M22" s="477" t="s">
        <v>939</v>
      </c>
      <c r="N22" s="638">
        <v>104700</v>
      </c>
      <c r="O22" s="491">
        <v>1</v>
      </c>
      <c r="P22" s="644">
        <f t="shared" si="0"/>
        <v>104700</v>
      </c>
      <c r="Q22" s="481"/>
    </row>
    <row r="23" spans="1:17" ht="135">
      <c r="A23" s="1"/>
      <c r="B23" s="103"/>
      <c r="C23" s="104"/>
      <c r="E23" s="29"/>
      <c r="F23" s="47"/>
      <c r="I23" s="481"/>
      <c r="J23" s="643">
        <v>12</v>
      </c>
      <c r="K23" s="612" t="s">
        <v>1126</v>
      </c>
      <c r="L23" s="627">
        <v>998891</v>
      </c>
      <c r="M23" s="477" t="s">
        <v>939</v>
      </c>
      <c r="N23" s="638">
        <v>107380</v>
      </c>
      <c r="O23" s="491">
        <v>1</v>
      </c>
      <c r="P23" s="644">
        <f t="shared" si="0"/>
        <v>107380</v>
      </c>
      <c r="Q23" s="481"/>
    </row>
    <row r="24" spans="1:17" ht="180">
      <c r="A24" s="1"/>
      <c r="B24" s="103"/>
      <c r="C24" s="104"/>
      <c r="E24" s="29"/>
      <c r="F24" s="47"/>
      <c r="I24" s="481"/>
      <c r="J24" s="643">
        <v>13</v>
      </c>
      <c r="K24" s="612" t="s">
        <v>1127</v>
      </c>
      <c r="L24" s="627">
        <v>998891</v>
      </c>
      <c r="M24" s="477" t="s">
        <v>939</v>
      </c>
      <c r="N24" s="638">
        <v>78640</v>
      </c>
      <c r="O24" s="491">
        <v>1</v>
      </c>
      <c r="P24" s="644">
        <f t="shared" si="0"/>
        <v>78640</v>
      </c>
      <c r="Q24" s="481"/>
    </row>
    <row r="25" spans="1:17" ht="186.6" customHeight="1">
      <c r="A25" s="1"/>
      <c r="B25" s="103"/>
      <c r="C25" s="104"/>
      <c r="E25" s="29"/>
      <c r="F25" s="47"/>
      <c r="I25" s="481"/>
      <c r="J25" s="643">
        <v>14</v>
      </c>
      <c r="K25" s="612" t="s">
        <v>1128</v>
      </c>
      <c r="L25" s="627">
        <v>998891</v>
      </c>
      <c r="M25" s="477" t="s">
        <v>939</v>
      </c>
      <c r="N25" s="638">
        <v>65000</v>
      </c>
      <c r="O25" s="491">
        <v>1</v>
      </c>
      <c r="P25" s="644">
        <f t="shared" si="0"/>
        <v>65000</v>
      </c>
      <c r="Q25" s="481"/>
    </row>
    <row r="26" spans="1:17" ht="196.9" customHeight="1">
      <c r="A26" s="1"/>
      <c r="B26" s="103"/>
      <c r="C26" s="104"/>
      <c r="E26" s="29"/>
      <c r="F26" s="47"/>
      <c r="I26" s="481"/>
      <c r="J26" s="643">
        <v>15</v>
      </c>
      <c r="K26" s="612" t="s">
        <v>1129</v>
      </c>
      <c r="L26" s="627">
        <v>998891</v>
      </c>
      <c r="M26" s="477" t="s">
        <v>939</v>
      </c>
      <c r="N26" s="638">
        <v>72000</v>
      </c>
      <c r="O26" s="491">
        <v>5</v>
      </c>
      <c r="P26" s="644">
        <f t="shared" si="0"/>
        <v>360000</v>
      </c>
      <c r="Q26" s="481"/>
    </row>
    <row r="27" spans="1:17" ht="147" customHeight="1">
      <c r="A27" s="1"/>
      <c r="B27" s="103"/>
      <c r="C27" s="104"/>
      <c r="E27" s="29"/>
      <c r="F27" s="47"/>
      <c r="I27" s="481"/>
      <c r="J27" s="643">
        <v>16</v>
      </c>
      <c r="K27" s="612"/>
      <c r="L27" s="627">
        <v>998891</v>
      </c>
      <c r="M27" s="477" t="s">
        <v>939</v>
      </c>
      <c r="N27" s="638">
        <v>59500</v>
      </c>
      <c r="O27" s="491">
        <v>4</v>
      </c>
      <c r="P27" s="644">
        <f t="shared" si="0"/>
        <v>238000</v>
      </c>
      <c r="Q27" s="481"/>
    </row>
    <row r="28" spans="1:17" ht="158.44999999999999" customHeight="1">
      <c r="A28" s="1"/>
      <c r="B28" s="103"/>
      <c r="C28" s="104"/>
      <c r="E28" s="29"/>
      <c r="F28" s="47"/>
      <c r="I28" s="481"/>
      <c r="J28" s="643">
        <v>17</v>
      </c>
      <c r="K28" s="612" t="s">
        <v>1130</v>
      </c>
      <c r="L28" s="627">
        <v>998891</v>
      </c>
      <c r="M28" s="477" t="s">
        <v>939</v>
      </c>
      <c r="N28" s="638">
        <v>4500</v>
      </c>
      <c r="O28" s="491">
        <v>24</v>
      </c>
      <c r="P28" s="644">
        <f t="shared" si="0"/>
        <v>108000</v>
      </c>
      <c r="Q28" s="481"/>
    </row>
    <row r="29" spans="1:17" ht="84.6" customHeight="1">
      <c r="A29" s="1"/>
      <c r="B29" s="103"/>
      <c r="C29" s="104"/>
      <c r="E29" s="29"/>
      <c r="F29" s="47"/>
      <c r="I29" s="481"/>
      <c r="J29" s="643">
        <v>18</v>
      </c>
      <c r="K29" s="612" t="s">
        <v>1131</v>
      </c>
      <c r="L29" s="627">
        <v>998891</v>
      </c>
      <c r="M29" s="477" t="s">
        <v>939</v>
      </c>
      <c r="N29" s="638">
        <v>49500</v>
      </c>
      <c r="O29" s="491">
        <v>2</v>
      </c>
      <c r="P29" s="644">
        <f t="shared" si="0"/>
        <v>99000</v>
      </c>
      <c r="Q29" s="481"/>
    </row>
    <row r="30" spans="1:17" ht="64.150000000000006" customHeight="1">
      <c r="A30" s="1"/>
      <c r="B30" s="103"/>
      <c r="C30" s="104"/>
      <c r="E30" s="29"/>
      <c r="F30" s="47"/>
      <c r="I30" s="481"/>
      <c r="J30" s="643">
        <v>19</v>
      </c>
      <c r="K30" s="612" t="s">
        <v>1132</v>
      </c>
      <c r="L30" s="627">
        <v>998891</v>
      </c>
      <c r="M30" s="477" t="s">
        <v>939</v>
      </c>
      <c r="N30" s="638">
        <v>45000</v>
      </c>
      <c r="O30" s="491">
        <v>2</v>
      </c>
      <c r="P30" s="644">
        <f t="shared" si="0"/>
        <v>90000</v>
      </c>
      <c r="Q30" s="481"/>
    </row>
    <row r="31" spans="1:17" ht="75">
      <c r="A31" s="1"/>
      <c r="B31" s="103"/>
      <c r="C31" s="104"/>
      <c r="E31" s="29"/>
      <c r="F31" s="47"/>
      <c r="I31" s="481"/>
      <c r="J31" s="643">
        <v>20</v>
      </c>
      <c r="K31" s="612" t="s">
        <v>1133</v>
      </c>
      <c r="L31" s="627">
        <v>998891</v>
      </c>
      <c r="M31" s="477" t="s">
        <v>939</v>
      </c>
      <c r="N31" s="638">
        <v>39300</v>
      </c>
      <c r="O31" s="491">
        <v>2</v>
      </c>
      <c r="P31" s="644">
        <f t="shared" si="0"/>
        <v>78600</v>
      </c>
      <c r="Q31" s="481"/>
    </row>
    <row r="32" spans="1:17" ht="84" customHeight="1">
      <c r="A32" s="1"/>
      <c r="B32" s="103"/>
      <c r="C32" s="104"/>
      <c r="E32" s="29"/>
      <c r="F32" s="47"/>
      <c r="I32" s="481"/>
      <c r="J32" s="643">
        <v>21</v>
      </c>
      <c r="K32" s="612" t="s">
        <v>1134</v>
      </c>
      <c r="L32" s="627">
        <v>998891</v>
      </c>
      <c r="M32" s="477" t="s">
        <v>939</v>
      </c>
      <c r="N32" s="638">
        <v>19600</v>
      </c>
      <c r="O32" s="491">
        <v>4</v>
      </c>
      <c r="P32" s="644">
        <f t="shared" si="0"/>
        <v>78400</v>
      </c>
      <c r="Q32" s="481"/>
    </row>
    <row r="33" spans="1:17" ht="75">
      <c r="A33" s="1"/>
      <c r="B33" s="103"/>
      <c r="C33" s="104"/>
      <c r="E33" s="29"/>
      <c r="F33" s="47"/>
      <c r="I33" s="481"/>
      <c r="J33" s="643">
        <v>22</v>
      </c>
      <c r="K33" s="612" t="s">
        <v>1135</v>
      </c>
      <c r="L33" s="627">
        <v>998891</v>
      </c>
      <c r="M33" s="477" t="s">
        <v>939</v>
      </c>
      <c r="N33" s="638">
        <v>70600</v>
      </c>
      <c r="O33" s="491">
        <v>1</v>
      </c>
      <c r="P33" s="644">
        <f t="shared" si="0"/>
        <v>70600</v>
      </c>
      <c r="Q33" s="481"/>
    </row>
    <row r="34" spans="1:17" ht="75">
      <c r="A34" s="1"/>
      <c r="B34" s="103"/>
      <c r="C34" s="104"/>
      <c r="E34" s="29"/>
      <c r="F34" s="47"/>
      <c r="I34" s="481"/>
      <c r="J34" s="643">
        <v>23</v>
      </c>
      <c r="K34" s="612" t="s">
        <v>1136</v>
      </c>
      <c r="L34" s="627">
        <v>998891</v>
      </c>
      <c r="M34" s="477" t="s">
        <v>939</v>
      </c>
      <c r="N34" s="638">
        <v>8000</v>
      </c>
      <c r="O34" s="491">
        <v>2</v>
      </c>
      <c r="P34" s="644">
        <f t="shared" si="0"/>
        <v>16000</v>
      </c>
      <c r="Q34" s="481"/>
    </row>
    <row r="35" spans="1:17" ht="90">
      <c r="A35" s="1"/>
      <c r="B35" s="103"/>
      <c r="C35" s="104"/>
      <c r="E35" s="29"/>
      <c r="F35" s="47"/>
      <c r="I35" s="481"/>
      <c r="J35" s="643">
        <v>24</v>
      </c>
      <c r="K35" s="612" t="s">
        <v>1137</v>
      </c>
      <c r="L35" s="627">
        <v>998891</v>
      </c>
      <c r="M35" s="477" t="s">
        <v>939</v>
      </c>
      <c r="N35" s="638">
        <v>54350</v>
      </c>
      <c r="O35" s="491">
        <v>1</v>
      </c>
      <c r="P35" s="644">
        <f t="shared" si="0"/>
        <v>54350</v>
      </c>
      <c r="Q35" s="481"/>
    </row>
    <row r="36" spans="1:17" ht="79.900000000000006" customHeight="1">
      <c r="A36" s="1"/>
      <c r="B36" s="103"/>
      <c r="C36" s="104"/>
      <c r="E36" s="29"/>
      <c r="F36" s="47"/>
      <c r="I36" s="481"/>
      <c r="J36" s="643">
        <v>25</v>
      </c>
      <c r="K36" s="612" t="s">
        <v>1138</v>
      </c>
      <c r="L36" s="627">
        <v>998891</v>
      </c>
      <c r="M36" s="477" t="s">
        <v>939</v>
      </c>
      <c r="N36" s="638">
        <v>20160</v>
      </c>
      <c r="O36" s="491">
        <v>1</v>
      </c>
      <c r="P36" s="644">
        <f t="shared" si="0"/>
        <v>20160</v>
      </c>
      <c r="Q36" s="481"/>
    </row>
    <row r="37" spans="1:17" ht="60.6" customHeight="1">
      <c r="A37" s="1"/>
      <c r="B37" s="103"/>
      <c r="C37" s="104"/>
      <c r="E37" s="29"/>
      <c r="F37" s="47"/>
      <c r="I37" s="481"/>
      <c r="J37" s="643">
        <v>26</v>
      </c>
      <c r="K37" s="612" t="s">
        <v>1139</v>
      </c>
      <c r="L37" s="627">
        <v>998891</v>
      </c>
      <c r="M37" s="477" t="s">
        <v>939</v>
      </c>
      <c r="N37" s="638">
        <v>9000</v>
      </c>
      <c r="O37" s="491">
        <v>1</v>
      </c>
      <c r="P37" s="644">
        <f t="shared" si="0"/>
        <v>9000</v>
      </c>
      <c r="Q37" s="481"/>
    </row>
    <row r="38" spans="1:17" ht="78.599999999999994" customHeight="1">
      <c r="A38" s="1"/>
      <c r="B38" s="103"/>
      <c r="C38" s="104"/>
      <c r="E38" s="29"/>
      <c r="F38" s="47"/>
      <c r="I38" s="481"/>
      <c r="J38" s="643">
        <v>27</v>
      </c>
      <c r="K38" s="612" t="s">
        <v>1140</v>
      </c>
      <c r="L38" s="627">
        <v>998891</v>
      </c>
      <c r="M38" s="477" t="s">
        <v>939</v>
      </c>
      <c r="N38" s="638">
        <v>95550</v>
      </c>
      <c r="O38" s="491">
        <v>1</v>
      </c>
      <c r="P38" s="644">
        <f t="shared" si="0"/>
        <v>95550</v>
      </c>
      <c r="Q38" s="481"/>
    </row>
    <row r="39" spans="1:17" ht="98.45" customHeight="1">
      <c r="A39" s="1"/>
      <c r="B39" s="103"/>
      <c r="C39" s="104"/>
      <c r="E39" s="29"/>
      <c r="F39" s="47"/>
      <c r="I39" s="481"/>
      <c r="J39" s="643">
        <v>28</v>
      </c>
      <c r="K39" s="612" t="s">
        <v>1141</v>
      </c>
      <c r="L39" s="627">
        <v>998891</v>
      </c>
      <c r="M39" s="477" t="s">
        <v>939</v>
      </c>
      <c r="N39" s="638">
        <v>36800</v>
      </c>
      <c r="O39" s="491">
        <v>1</v>
      </c>
      <c r="P39" s="644">
        <f t="shared" si="0"/>
        <v>36800</v>
      </c>
      <c r="Q39" s="481"/>
    </row>
    <row r="40" spans="1:17" ht="84" customHeight="1">
      <c r="A40" s="1"/>
      <c r="B40" s="103"/>
      <c r="C40" s="104"/>
      <c r="E40" s="29"/>
      <c r="F40" s="47"/>
      <c r="I40" s="481"/>
      <c r="J40" s="643">
        <v>29</v>
      </c>
      <c r="K40" s="612" t="s">
        <v>1142</v>
      </c>
      <c r="L40" s="627">
        <v>998891</v>
      </c>
      <c r="M40" s="477" t="s">
        <v>939</v>
      </c>
      <c r="N40" s="638">
        <v>70600</v>
      </c>
      <c r="O40" s="491">
        <v>1</v>
      </c>
      <c r="P40" s="644">
        <f t="shared" si="0"/>
        <v>70600</v>
      </c>
      <c r="Q40" s="481"/>
    </row>
    <row r="41" spans="1:17" ht="75" customHeight="1">
      <c r="A41" s="1"/>
      <c r="B41" s="103"/>
      <c r="C41" s="104"/>
      <c r="E41" s="29"/>
      <c r="F41" s="47"/>
      <c r="I41" s="481"/>
      <c r="J41" s="643">
        <v>30</v>
      </c>
      <c r="K41" s="612" t="s">
        <v>1143</v>
      </c>
      <c r="L41" s="627">
        <v>998891</v>
      </c>
      <c r="M41" s="477" t="s">
        <v>939</v>
      </c>
      <c r="N41" s="638">
        <v>8000</v>
      </c>
      <c r="O41" s="491">
        <v>2</v>
      </c>
      <c r="P41" s="644">
        <f t="shared" si="0"/>
        <v>16000</v>
      </c>
      <c r="Q41" s="481"/>
    </row>
    <row r="42" spans="1:17" ht="120">
      <c r="A42" s="1"/>
      <c r="B42" s="103"/>
      <c r="C42" s="104"/>
      <c r="E42" s="29"/>
      <c r="F42" s="47"/>
      <c r="I42" s="481"/>
      <c r="J42" s="643">
        <v>31</v>
      </c>
      <c r="K42" s="612" t="s">
        <v>1144</v>
      </c>
      <c r="L42" s="627">
        <v>998891</v>
      </c>
      <c r="M42" s="477" t="s">
        <v>939</v>
      </c>
      <c r="N42" s="638">
        <v>30000</v>
      </c>
      <c r="O42" s="491">
        <v>1</v>
      </c>
      <c r="P42" s="644">
        <f t="shared" si="0"/>
        <v>30000</v>
      </c>
      <c r="Q42" s="481"/>
    </row>
    <row r="43" spans="1:17" ht="96" customHeight="1">
      <c r="A43" s="1"/>
      <c r="B43" s="103"/>
      <c r="C43" s="104"/>
      <c r="E43" s="29"/>
      <c r="F43" s="47"/>
      <c r="I43" s="481"/>
      <c r="J43" s="643">
        <v>32</v>
      </c>
      <c r="K43" s="612" t="s">
        <v>1145</v>
      </c>
      <c r="L43" s="627">
        <v>998891</v>
      </c>
      <c r="M43" s="477" t="s">
        <v>939</v>
      </c>
      <c r="N43" s="638">
        <v>58800</v>
      </c>
      <c r="O43" s="491">
        <v>1</v>
      </c>
      <c r="P43" s="644">
        <f t="shared" si="0"/>
        <v>58800</v>
      </c>
      <c r="Q43" s="481"/>
    </row>
    <row r="44" spans="1:17" ht="117" customHeight="1">
      <c r="A44" s="1"/>
      <c r="B44" s="103"/>
      <c r="C44" s="104"/>
      <c r="E44" s="29"/>
      <c r="F44" s="47"/>
      <c r="I44" s="481"/>
      <c r="J44" s="643">
        <v>33</v>
      </c>
      <c r="K44" s="612" t="s">
        <v>1146</v>
      </c>
      <c r="L44" s="627">
        <v>998891</v>
      </c>
      <c r="M44" s="477" t="s">
        <v>939</v>
      </c>
      <c r="N44" s="638">
        <v>36750</v>
      </c>
      <c r="O44" s="491">
        <v>1</v>
      </c>
      <c r="P44" s="644">
        <f t="shared" si="0"/>
        <v>36750</v>
      </c>
      <c r="Q44" s="481"/>
    </row>
    <row r="45" spans="1:17" ht="83.45" customHeight="1">
      <c r="A45" s="1"/>
      <c r="B45" s="103"/>
      <c r="C45" s="104"/>
      <c r="E45" s="29"/>
      <c r="F45" s="47"/>
      <c r="I45" s="481"/>
      <c r="J45" s="643">
        <v>34</v>
      </c>
      <c r="K45" s="612" t="s">
        <v>1147</v>
      </c>
      <c r="L45" s="627">
        <v>998891</v>
      </c>
      <c r="M45" s="477" t="s">
        <v>939</v>
      </c>
      <c r="N45" s="638">
        <v>29700</v>
      </c>
      <c r="O45" s="491">
        <v>1</v>
      </c>
      <c r="P45" s="644">
        <f t="shared" si="0"/>
        <v>29700</v>
      </c>
      <c r="Q45" s="481"/>
    </row>
    <row r="46" spans="1:17" ht="105">
      <c r="A46" s="1"/>
      <c r="B46" s="103"/>
      <c r="C46" s="104"/>
      <c r="E46" s="29"/>
      <c r="F46" s="47"/>
      <c r="I46" s="481"/>
      <c r="J46" s="643">
        <v>35</v>
      </c>
      <c r="K46" s="612" t="s">
        <v>1148</v>
      </c>
      <c r="L46" s="627">
        <v>998891</v>
      </c>
      <c r="M46" s="477" t="s">
        <v>939</v>
      </c>
      <c r="N46" s="638">
        <v>24000</v>
      </c>
      <c r="O46" s="491">
        <v>1</v>
      </c>
      <c r="P46" s="644">
        <f t="shared" si="0"/>
        <v>24000</v>
      </c>
      <c r="Q46" s="481"/>
    </row>
    <row r="47" spans="1:17" ht="103.9" customHeight="1">
      <c r="A47" s="1"/>
      <c r="B47" s="103"/>
      <c r="C47" s="104"/>
      <c r="E47" s="29"/>
      <c r="F47" s="47"/>
      <c r="I47" s="481"/>
      <c r="J47" s="643">
        <v>36</v>
      </c>
      <c r="K47" s="612" t="s">
        <v>1149</v>
      </c>
      <c r="L47" s="627">
        <v>998891</v>
      </c>
      <c r="M47" s="477" t="s">
        <v>939</v>
      </c>
      <c r="N47" s="638">
        <v>24000</v>
      </c>
      <c r="O47" s="491">
        <v>1</v>
      </c>
      <c r="P47" s="644">
        <f t="shared" si="0"/>
        <v>24000</v>
      </c>
      <c r="Q47" s="481"/>
    </row>
    <row r="48" spans="1:17" ht="310.14999999999998" customHeight="1">
      <c r="A48" s="1"/>
      <c r="B48" s="103"/>
      <c r="C48" s="104"/>
      <c r="E48" s="29"/>
      <c r="F48" s="47"/>
      <c r="I48" s="481"/>
      <c r="J48" s="643">
        <v>37</v>
      </c>
      <c r="K48" s="612" t="s">
        <v>1151</v>
      </c>
      <c r="L48" s="627">
        <v>998891</v>
      </c>
      <c r="M48" s="477" t="s">
        <v>939</v>
      </c>
      <c r="N48" s="638">
        <v>83300</v>
      </c>
      <c r="O48" s="491">
        <v>1</v>
      </c>
      <c r="P48" s="644">
        <f t="shared" si="0"/>
        <v>83300</v>
      </c>
      <c r="Q48" s="481"/>
    </row>
    <row r="49" spans="1:17" s="484" customFormat="1" ht="318.60000000000002" customHeight="1">
      <c r="A49" s="485"/>
      <c r="B49" s="486"/>
      <c r="C49" s="487"/>
      <c r="D49" s="485"/>
      <c r="E49" s="488"/>
      <c r="F49" s="488"/>
      <c r="G49" s="489"/>
      <c r="H49" s="490"/>
      <c r="I49" s="607"/>
      <c r="J49" s="643">
        <v>38</v>
      </c>
      <c r="K49" s="612" t="s">
        <v>1150</v>
      </c>
      <c r="L49" s="627">
        <v>998891</v>
      </c>
      <c r="M49" s="477" t="s">
        <v>939</v>
      </c>
      <c r="N49" s="638">
        <v>121875</v>
      </c>
      <c r="O49" s="491">
        <v>1</v>
      </c>
      <c r="P49" s="644">
        <f t="shared" si="0"/>
        <v>121875</v>
      </c>
      <c r="Q49" s="607"/>
    </row>
    <row r="50" spans="1:17" ht="115.15" customHeight="1">
      <c r="A50" s="1"/>
      <c r="B50" s="103"/>
      <c r="C50" s="104"/>
      <c r="E50" s="29"/>
      <c r="F50" s="47"/>
      <c r="I50" s="481"/>
      <c r="J50" s="643">
        <v>39</v>
      </c>
      <c r="K50" s="612" t="s">
        <v>1152</v>
      </c>
      <c r="L50" s="627">
        <v>998891</v>
      </c>
      <c r="M50" s="477" t="s">
        <v>939</v>
      </c>
      <c r="N50" s="638">
        <v>59400</v>
      </c>
      <c r="O50" s="491">
        <v>1</v>
      </c>
      <c r="P50" s="644">
        <f t="shared" si="0"/>
        <v>59400</v>
      </c>
      <c r="Q50" s="481"/>
    </row>
    <row r="51" spans="1:17" ht="86.45" customHeight="1" thickBot="1">
      <c r="A51" s="1"/>
      <c r="B51" s="103"/>
      <c r="C51" s="104"/>
      <c r="E51" s="29"/>
      <c r="F51" s="47"/>
      <c r="I51" s="481"/>
      <c r="J51" s="645">
        <v>40</v>
      </c>
      <c r="K51" s="646" t="s">
        <v>1153</v>
      </c>
      <c r="L51" s="647">
        <v>998891</v>
      </c>
      <c r="M51" s="648" t="s">
        <v>939</v>
      </c>
      <c r="N51" s="649">
        <v>55000</v>
      </c>
      <c r="O51" s="650">
        <v>1</v>
      </c>
      <c r="P51" s="651">
        <f t="shared" si="0"/>
        <v>55000</v>
      </c>
      <c r="Q51" s="481"/>
    </row>
    <row r="52" spans="1:17" ht="39" customHeight="1" thickBot="1">
      <c r="A52" s="1"/>
      <c r="B52" s="103"/>
      <c r="C52" s="104"/>
      <c r="E52" s="29"/>
      <c r="F52" s="47"/>
      <c r="J52" s="655"/>
      <c r="K52" s="656"/>
      <c r="L52" s="656"/>
      <c r="M52" s="656"/>
      <c r="N52" s="656"/>
      <c r="O52" s="656"/>
      <c r="P52" s="652">
        <f>SUM(P8:P51)</f>
        <v>7372705</v>
      </c>
    </row>
    <row r="53" spans="1:17">
      <c r="A53" s="1"/>
      <c r="B53" s="103"/>
      <c r="C53" s="104"/>
      <c r="E53" s="29"/>
      <c r="F53" s="47"/>
      <c r="J53" s="619"/>
      <c r="K53" s="630" t="s">
        <v>1161</v>
      </c>
      <c r="L53" s="618"/>
      <c r="M53" s="483"/>
      <c r="N53" s="631"/>
      <c r="O53" s="632"/>
      <c r="P53" s="633"/>
    </row>
    <row r="54" spans="1:17" ht="15.75" thickBot="1">
      <c r="A54" s="1"/>
      <c r="B54" s="103"/>
      <c r="C54" s="104"/>
      <c r="E54" s="29"/>
      <c r="F54" s="47"/>
      <c r="J54" s="407"/>
      <c r="K54" s="628" t="s">
        <v>1160</v>
      </c>
      <c r="L54" s="493"/>
      <c r="M54" s="47"/>
      <c r="N54" s="386"/>
      <c r="O54" s="497"/>
      <c r="P54" s="626"/>
    </row>
    <row r="55" spans="1:17">
      <c r="A55" s="1"/>
      <c r="B55" s="103"/>
      <c r="C55" s="104"/>
      <c r="E55" s="29"/>
      <c r="F55" s="47"/>
      <c r="J55" s="407"/>
      <c r="K55" s="493"/>
      <c r="L55" s="493"/>
      <c r="M55" s="47"/>
      <c r="N55" s="386"/>
      <c r="O55" s="497"/>
      <c r="P55" s="494"/>
    </row>
    <row r="56" spans="1:17">
      <c r="A56" s="1"/>
      <c r="B56" s="103"/>
      <c r="C56" s="104"/>
      <c r="E56" s="29"/>
      <c r="F56" s="47"/>
      <c r="J56" s="407"/>
      <c r="K56" s="493"/>
      <c r="L56" s="493"/>
      <c r="M56" s="47"/>
      <c r="N56" s="386"/>
      <c r="O56" s="497"/>
      <c r="P56" s="494"/>
      <c r="Q56" s="629"/>
    </row>
    <row r="57" spans="1:17" ht="14.45" customHeight="1">
      <c r="A57" s="1"/>
      <c r="B57" s="103"/>
      <c r="C57" s="104"/>
      <c r="E57" s="29"/>
      <c r="F57" s="47"/>
      <c r="J57" s="407"/>
      <c r="K57" s="493"/>
      <c r="L57" s="493"/>
      <c r="M57" s="47"/>
      <c r="N57" s="386"/>
      <c r="O57" s="497"/>
      <c r="P57" s="494"/>
    </row>
    <row r="58" spans="1:17">
      <c r="A58" s="1"/>
      <c r="B58" s="103"/>
      <c r="C58" s="104"/>
      <c r="E58" s="29"/>
      <c r="F58" s="47"/>
      <c r="J58" s="407"/>
      <c r="K58" s="493"/>
      <c r="L58" s="493"/>
      <c r="M58" s="47"/>
      <c r="N58" s="386"/>
      <c r="O58" s="497"/>
      <c r="P58" s="494"/>
    </row>
    <row r="59" spans="1:17">
      <c r="A59" s="1"/>
      <c r="B59" s="103"/>
      <c r="C59" s="104"/>
      <c r="E59" s="29"/>
      <c r="F59" s="47"/>
      <c r="J59" s="407"/>
      <c r="K59" s="493"/>
      <c r="L59" s="493"/>
      <c r="M59" s="47"/>
      <c r="N59" s="386"/>
      <c r="O59" s="497"/>
      <c r="P59" s="494"/>
    </row>
    <row r="60" spans="1:17">
      <c r="A60" s="1"/>
      <c r="B60" s="103"/>
      <c r="C60" s="104"/>
      <c r="E60" s="29"/>
      <c r="F60" s="47"/>
      <c r="J60" s="407"/>
      <c r="K60" s="493"/>
      <c r="L60" s="493"/>
      <c r="M60" s="47"/>
      <c r="N60" s="386"/>
      <c r="O60" s="497"/>
      <c r="P60" s="494"/>
    </row>
    <row r="61" spans="1:17">
      <c r="A61" s="1"/>
      <c r="B61" s="103"/>
      <c r="C61" s="104"/>
      <c r="E61" s="29"/>
      <c r="F61" s="47"/>
      <c r="J61" s="407"/>
      <c r="K61" s="493"/>
      <c r="L61" s="493"/>
      <c r="M61" s="47"/>
      <c r="N61" s="386"/>
      <c r="O61" s="497"/>
      <c r="P61" s="494"/>
    </row>
    <row r="62" spans="1:17">
      <c r="A62" s="1"/>
      <c r="B62" s="103"/>
      <c r="C62" s="104"/>
      <c r="E62" s="29"/>
      <c r="F62" s="47"/>
      <c r="J62" s="407"/>
      <c r="K62" s="493"/>
      <c r="L62" s="493"/>
      <c r="M62" s="47"/>
      <c r="N62" s="386"/>
      <c r="O62" s="497"/>
      <c r="P62" s="494"/>
    </row>
    <row r="63" spans="1:17">
      <c r="A63" s="1"/>
      <c r="B63" s="103"/>
      <c r="C63" s="104"/>
      <c r="E63" s="29"/>
      <c r="F63" s="47"/>
      <c r="J63" s="407"/>
      <c r="K63" s="493"/>
      <c r="L63" s="493"/>
      <c r="M63" s="47"/>
      <c r="N63" s="386"/>
      <c r="O63" s="497"/>
      <c r="P63" s="494"/>
    </row>
    <row r="64" spans="1:17">
      <c r="A64" s="1"/>
      <c r="B64" s="103"/>
      <c r="C64" s="104"/>
      <c r="E64" s="29"/>
      <c r="F64" s="47"/>
      <c r="J64" s="407"/>
      <c r="K64" s="493"/>
      <c r="L64" s="493"/>
      <c r="M64" s="47"/>
      <c r="N64" s="386"/>
      <c r="O64" s="497"/>
      <c r="P64" s="494"/>
    </row>
    <row r="65" spans="1:16">
      <c r="A65" s="1"/>
      <c r="B65" s="103"/>
      <c r="C65" s="104"/>
      <c r="E65" s="29"/>
      <c r="F65" s="47"/>
      <c r="J65" s="407"/>
      <c r="K65" s="493"/>
      <c r="L65" s="493"/>
      <c r="M65" s="47"/>
      <c r="N65" s="386"/>
      <c r="O65" s="497"/>
      <c r="P65" s="494"/>
    </row>
    <row r="66" spans="1:16">
      <c r="A66" s="1"/>
      <c r="B66" s="103"/>
      <c r="C66" s="104"/>
      <c r="E66" s="29"/>
      <c r="F66" s="47"/>
      <c r="J66" s="407"/>
      <c r="K66" s="493"/>
      <c r="L66" s="493"/>
      <c r="M66" s="47"/>
      <c r="N66" s="386"/>
      <c r="O66" s="497"/>
      <c r="P66" s="494"/>
    </row>
    <row r="67" spans="1:16">
      <c r="A67" s="1"/>
      <c r="B67" s="103"/>
      <c r="C67" s="104"/>
      <c r="E67" s="29"/>
      <c r="F67" s="47"/>
      <c r="J67" s="407"/>
      <c r="K67" s="493"/>
      <c r="L67" s="493"/>
      <c r="M67" s="47"/>
      <c r="N67" s="386"/>
      <c r="O67" s="497"/>
      <c r="P67" s="494"/>
    </row>
    <row r="68" spans="1:16">
      <c r="A68" s="1"/>
      <c r="B68" s="103"/>
      <c r="C68" s="104"/>
      <c r="E68" s="29"/>
      <c r="F68" s="47"/>
      <c r="J68" s="407"/>
      <c r="K68" s="493"/>
      <c r="L68" s="493"/>
      <c r="M68" s="47"/>
      <c r="N68" s="386"/>
      <c r="O68" s="497"/>
      <c r="P68" s="494"/>
    </row>
    <row r="69" spans="1:16">
      <c r="A69" s="1"/>
      <c r="B69" s="103"/>
      <c r="C69" s="104"/>
      <c r="E69" s="29"/>
      <c r="F69" s="47"/>
      <c r="J69" s="407"/>
      <c r="K69" s="493"/>
      <c r="L69" s="493"/>
      <c r="M69" s="47"/>
      <c r="N69" s="386"/>
      <c r="O69" s="497"/>
      <c r="P69" s="494"/>
    </row>
    <row r="70" spans="1:16">
      <c r="A70" s="1"/>
      <c r="B70" s="103"/>
      <c r="C70" s="104"/>
      <c r="E70" s="29"/>
      <c r="F70" s="47"/>
      <c r="J70" s="407"/>
      <c r="K70" s="493"/>
      <c r="L70" s="493"/>
      <c r="M70" s="47"/>
      <c r="N70" s="386"/>
      <c r="O70" s="497"/>
      <c r="P70" s="494"/>
    </row>
    <row r="71" spans="1:16">
      <c r="A71" s="1"/>
      <c r="B71" s="103"/>
      <c r="C71" s="104"/>
      <c r="E71" s="29"/>
      <c r="F71" s="47"/>
      <c r="J71" s="407"/>
      <c r="K71" s="493"/>
      <c r="L71" s="493"/>
      <c r="M71" s="47"/>
      <c r="N71" s="386"/>
      <c r="O71" s="497"/>
      <c r="P71" s="494"/>
    </row>
    <row r="72" spans="1:16">
      <c r="A72" s="1"/>
      <c r="B72" s="103"/>
      <c r="C72" s="104"/>
      <c r="E72" s="29"/>
      <c r="F72" s="47"/>
      <c r="J72" s="407"/>
      <c r="K72" s="493"/>
      <c r="L72" s="493"/>
      <c r="M72" s="47"/>
      <c r="N72" s="386"/>
      <c r="O72" s="497"/>
      <c r="P72" s="494"/>
    </row>
    <row r="73" spans="1:16">
      <c r="A73" s="1"/>
      <c r="B73" s="103"/>
      <c r="C73" s="104"/>
      <c r="E73" s="29"/>
      <c r="F73" s="47"/>
      <c r="J73" s="407"/>
      <c r="K73" s="493"/>
      <c r="L73" s="493"/>
      <c r="M73" s="47"/>
      <c r="N73" s="386"/>
      <c r="O73" s="497"/>
      <c r="P73" s="494"/>
    </row>
    <row r="74" spans="1:16">
      <c r="A74" s="1"/>
      <c r="B74" s="103"/>
      <c r="C74" s="104"/>
      <c r="E74" s="29"/>
      <c r="F74" s="47"/>
      <c r="J74" s="407"/>
      <c r="K74" s="493"/>
      <c r="L74" s="493"/>
      <c r="M74" s="47"/>
      <c r="N74" s="386"/>
      <c r="O74" s="497"/>
      <c r="P74" s="494"/>
    </row>
    <row r="75" spans="1:16">
      <c r="A75" s="1"/>
      <c r="B75" s="103"/>
      <c r="C75" s="104"/>
      <c r="E75" s="29"/>
      <c r="F75" s="47"/>
      <c r="J75" s="407"/>
      <c r="K75" s="493"/>
      <c r="L75" s="493"/>
      <c r="M75" s="47"/>
      <c r="N75" s="386"/>
      <c r="O75" s="497"/>
      <c r="P75" s="494"/>
    </row>
    <row r="76" spans="1:16">
      <c r="A76" s="1"/>
      <c r="B76" s="103"/>
      <c r="C76" s="104"/>
      <c r="E76" s="29"/>
      <c r="F76" s="47"/>
      <c r="J76" s="407"/>
      <c r="K76" s="493"/>
      <c r="L76" s="493"/>
      <c r="M76" s="47"/>
      <c r="N76" s="386"/>
      <c r="O76" s="497"/>
      <c r="P76" s="494"/>
    </row>
    <row r="77" spans="1:16">
      <c r="A77" s="1"/>
      <c r="B77" s="103"/>
      <c r="C77" s="104"/>
      <c r="E77" s="29"/>
      <c r="F77" s="47"/>
      <c r="J77" s="407"/>
      <c r="K77" s="493"/>
      <c r="L77" s="493"/>
      <c r="M77" s="47"/>
      <c r="N77" s="386"/>
      <c r="O77" s="497"/>
      <c r="P77" s="494"/>
    </row>
    <row r="78" spans="1:16">
      <c r="A78" s="1"/>
      <c r="B78" s="103"/>
      <c r="C78" s="104"/>
      <c r="E78" s="29"/>
      <c r="F78" s="47"/>
      <c r="J78" s="407"/>
      <c r="K78" s="493"/>
      <c r="L78" s="493"/>
      <c r="M78" s="47"/>
      <c r="N78" s="386"/>
      <c r="O78" s="497"/>
      <c r="P78" s="494"/>
    </row>
    <row r="79" spans="1:16">
      <c r="A79" s="1"/>
      <c r="B79" s="103"/>
      <c r="C79" s="104"/>
      <c r="E79" s="29"/>
      <c r="F79" s="47"/>
      <c r="J79" s="407"/>
      <c r="K79" s="493"/>
      <c r="L79" s="493"/>
      <c r="M79" s="47"/>
      <c r="N79" s="386"/>
      <c r="O79" s="497"/>
      <c r="P79" s="494"/>
    </row>
    <row r="80" spans="1:16">
      <c r="A80" s="1"/>
      <c r="B80" s="103"/>
      <c r="C80" s="104"/>
      <c r="E80" s="29"/>
      <c r="F80" s="47"/>
      <c r="J80" s="407"/>
      <c r="K80" s="493"/>
      <c r="L80" s="493"/>
      <c r="M80" s="47"/>
      <c r="N80" s="386"/>
      <c r="O80" s="497"/>
      <c r="P80" s="494"/>
    </row>
    <row r="81" spans="1:16">
      <c r="A81" s="1"/>
      <c r="B81" s="103"/>
      <c r="C81" s="104"/>
      <c r="E81" s="29"/>
      <c r="F81" s="47"/>
      <c r="J81" s="407"/>
      <c r="K81" s="493"/>
      <c r="L81" s="493"/>
      <c r="M81" s="47"/>
      <c r="N81" s="386"/>
      <c r="O81" s="497"/>
      <c r="P81" s="494"/>
    </row>
    <row r="82" spans="1:16" ht="15.75" customHeight="1">
      <c r="A82" s="1"/>
      <c r="B82" s="103"/>
      <c r="C82" s="8"/>
      <c r="E82" s="29"/>
      <c r="F82" s="47"/>
      <c r="J82" s="407"/>
      <c r="K82" s="493"/>
      <c r="L82" s="493"/>
      <c r="M82" s="47"/>
      <c r="N82" s="386"/>
      <c r="O82" s="497"/>
      <c r="P82" s="494"/>
    </row>
    <row r="83" spans="1:16" ht="15.75" customHeight="1">
      <c r="A83" s="1"/>
      <c r="B83" s="103"/>
      <c r="C83" s="8"/>
      <c r="E83" s="29"/>
      <c r="F83" s="47"/>
      <c r="J83" s="407"/>
      <c r="K83" s="493"/>
      <c r="L83" s="493"/>
      <c r="M83" s="47"/>
      <c r="N83" s="386"/>
      <c r="O83" s="497"/>
      <c r="P83" s="494"/>
    </row>
    <row r="84" spans="1:16" ht="15.75" customHeight="1">
      <c r="A84" s="1"/>
      <c r="B84" s="103"/>
      <c r="C84" s="8"/>
      <c r="E84" s="29"/>
      <c r="F84" s="47"/>
      <c r="J84" s="407"/>
      <c r="K84" s="493"/>
      <c r="L84" s="493"/>
      <c r="M84" s="47"/>
      <c r="N84" s="386"/>
      <c r="O84" s="497"/>
      <c r="P84" s="494"/>
    </row>
    <row r="85" spans="1:16" ht="15.75" customHeight="1">
      <c r="A85" s="1"/>
      <c r="B85" s="103"/>
      <c r="C85" s="8"/>
      <c r="E85" s="29"/>
      <c r="F85" s="47"/>
      <c r="J85" s="407"/>
      <c r="K85" s="493"/>
      <c r="L85" s="493"/>
      <c r="M85" s="47"/>
      <c r="N85" s="386"/>
      <c r="O85" s="497"/>
      <c r="P85" s="494"/>
    </row>
    <row r="86" spans="1:16" ht="15.75" customHeight="1">
      <c r="A86" s="1"/>
      <c r="B86" s="103"/>
      <c r="C86" s="8"/>
      <c r="E86" s="29"/>
      <c r="F86" s="47"/>
      <c r="J86" s="407"/>
      <c r="K86" s="493"/>
      <c r="L86" s="493"/>
      <c r="M86" s="47"/>
      <c r="N86" s="386"/>
      <c r="O86" s="497"/>
      <c r="P86" s="494"/>
    </row>
    <row r="87" spans="1:16" ht="15.75" customHeight="1">
      <c r="A87" s="1"/>
      <c r="B87" s="103"/>
      <c r="C87" s="8"/>
      <c r="E87" s="29"/>
      <c r="F87" s="47"/>
      <c r="J87" s="407"/>
      <c r="K87" s="493"/>
      <c r="L87" s="493"/>
      <c r="M87" s="47"/>
      <c r="N87" s="386"/>
      <c r="O87" s="497"/>
      <c r="P87" s="494"/>
    </row>
    <row r="88" spans="1:16" ht="15.75" customHeight="1">
      <c r="A88" s="1"/>
      <c r="B88" s="103"/>
      <c r="C88" s="8"/>
      <c r="E88" s="29"/>
      <c r="F88" s="47"/>
      <c r="J88" s="407"/>
      <c r="K88" s="493"/>
      <c r="L88" s="493"/>
      <c r="M88" s="47"/>
      <c r="N88" s="386"/>
      <c r="O88" s="497"/>
      <c r="P88" s="494"/>
    </row>
    <row r="89" spans="1:16" ht="15.75" customHeight="1">
      <c r="A89" s="1"/>
      <c r="B89" s="103"/>
      <c r="C89" s="8"/>
      <c r="E89" s="29"/>
      <c r="F89" s="47"/>
      <c r="J89" s="407"/>
      <c r="K89" s="493"/>
      <c r="L89" s="493"/>
      <c r="M89" s="47"/>
      <c r="N89" s="386"/>
      <c r="O89" s="497"/>
      <c r="P89" s="494"/>
    </row>
    <row r="90" spans="1:16" ht="15.75" customHeight="1">
      <c r="A90" s="1"/>
      <c r="B90" s="103"/>
      <c r="C90" s="8"/>
      <c r="E90" s="29"/>
      <c r="F90" s="47"/>
      <c r="J90" s="407"/>
      <c r="K90" s="493"/>
      <c r="L90" s="493"/>
      <c r="M90" s="47"/>
      <c r="N90" s="386"/>
      <c r="O90" s="497"/>
      <c r="P90" s="494"/>
    </row>
    <row r="91" spans="1:16" ht="15.75" customHeight="1">
      <c r="A91" s="1"/>
      <c r="B91" s="103"/>
      <c r="C91" s="8"/>
      <c r="E91" s="29"/>
      <c r="F91" s="47"/>
      <c r="J91" s="407"/>
      <c r="K91" s="493"/>
      <c r="L91" s="493"/>
      <c r="M91" s="47"/>
      <c r="N91" s="386"/>
      <c r="O91" s="497"/>
      <c r="P91" s="494"/>
    </row>
    <row r="92" spans="1:16" ht="15.75" customHeight="1">
      <c r="A92" s="1"/>
      <c r="B92" s="103"/>
      <c r="C92" s="8"/>
      <c r="E92" s="29"/>
      <c r="F92" s="47"/>
      <c r="J92" s="407"/>
      <c r="K92" s="493"/>
      <c r="L92" s="493"/>
      <c r="M92" s="47"/>
      <c r="N92" s="386"/>
      <c r="O92" s="497"/>
      <c r="P92" s="494"/>
    </row>
    <row r="93" spans="1:16" ht="15.75" customHeight="1">
      <c r="A93" s="1"/>
      <c r="B93" s="103"/>
      <c r="C93" s="8"/>
      <c r="E93" s="29"/>
      <c r="F93" s="47"/>
      <c r="J93" s="407"/>
      <c r="K93" s="493"/>
      <c r="L93" s="493"/>
      <c r="M93" s="47"/>
      <c r="N93" s="386"/>
      <c r="O93" s="497"/>
      <c r="P93" s="494"/>
    </row>
    <row r="94" spans="1:16" ht="15.75" customHeight="1">
      <c r="A94" s="1"/>
      <c r="B94" s="103"/>
      <c r="C94" s="8"/>
      <c r="E94" s="29"/>
      <c r="F94" s="47"/>
      <c r="J94" s="407"/>
      <c r="K94" s="493"/>
      <c r="L94" s="493"/>
      <c r="M94" s="47"/>
      <c r="N94" s="386"/>
      <c r="O94" s="497"/>
      <c r="P94" s="494"/>
    </row>
    <row r="95" spans="1:16" ht="15.75" customHeight="1">
      <c r="A95" s="1"/>
      <c r="B95" s="103"/>
      <c r="C95" s="8"/>
      <c r="E95" s="29"/>
      <c r="F95" s="47"/>
      <c r="J95" s="407"/>
      <c r="K95" s="493"/>
      <c r="L95" s="493"/>
      <c r="M95" s="47"/>
      <c r="N95" s="386"/>
      <c r="O95" s="497"/>
      <c r="P95" s="494"/>
    </row>
    <row r="96" spans="1:16" ht="15.75" customHeight="1">
      <c r="A96" s="1"/>
      <c r="B96" s="103"/>
      <c r="C96" s="8"/>
      <c r="E96" s="29"/>
      <c r="F96" s="47"/>
      <c r="J96" s="407"/>
      <c r="K96" s="493"/>
      <c r="L96" s="493"/>
      <c r="M96" s="47"/>
      <c r="N96" s="386"/>
      <c r="O96" s="497"/>
      <c r="P96" s="494"/>
    </row>
    <row r="97" spans="1:16" ht="15.75" customHeight="1">
      <c r="A97" s="1"/>
      <c r="B97" s="103"/>
      <c r="C97" s="8"/>
      <c r="E97" s="29"/>
      <c r="F97" s="47"/>
      <c r="J97" s="407"/>
      <c r="K97" s="493"/>
      <c r="L97" s="493"/>
      <c r="M97" s="47"/>
      <c r="N97" s="386"/>
      <c r="O97" s="497"/>
      <c r="P97" s="494"/>
    </row>
    <row r="98" spans="1:16" ht="15.75" customHeight="1">
      <c r="A98" s="1"/>
      <c r="B98" s="103"/>
      <c r="C98" s="8"/>
      <c r="E98" s="29"/>
      <c r="F98" s="47"/>
      <c r="J98" s="407"/>
      <c r="K98" s="493"/>
      <c r="L98" s="493"/>
      <c r="M98" s="47"/>
      <c r="N98" s="386"/>
      <c r="O98" s="497"/>
      <c r="P98" s="494"/>
    </row>
    <row r="99" spans="1:16" ht="15.75" customHeight="1">
      <c r="A99" s="1"/>
      <c r="B99" s="103"/>
      <c r="C99" s="8"/>
      <c r="E99" s="29"/>
      <c r="F99" s="47"/>
      <c r="J99" s="407"/>
      <c r="K99" s="493"/>
      <c r="L99" s="493"/>
      <c r="M99" s="47"/>
      <c r="N99" s="386"/>
      <c r="O99" s="497"/>
      <c r="P99" s="494"/>
    </row>
    <row r="100" spans="1:16" ht="15.75" customHeight="1">
      <c r="A100" s="1"/>
      <c r="B100" s="103"/>
      <c r="C100" s="8"/>
      <c r="E100" s="29"/>
      <c r="F100" s="47"/>
      <c r="J100" s="407"/>
      <c r="K100" s="493"/>
      <c r="L100" s="493"/>
      <c r="M100" s="47"/>
      <c r="N100" s="386"/>
      <c r="O100" s="497"/>
      <c r="P100" s="494"/>
    </row>
    <row r="101" spans="1:16" ht="15.75" customHeight="1">
      <c r="A101" s="1"/>
      <c r="B101" s="103"/>
      <c r="C101" s="8"/>
      <c r="E101" s="29"/>
      <c r="F101" s="47"/>
      <c r="J101" s="407"/>
      <c r="K101" s="493"/>
      <c r="L101" s="493"/>
      <c r="M101" s="47"/>
      <c r="N101" s="386"/>
      <c r="O101" s="497"/>
      <c r="P101" s="494"/>
    </row>
    <row r="102" spans="1:16" ht="15.75" customHeight="1">
      <c r="A102" s="1"/>
      <c r="B102" s="103"/>
      <c r="C102" s="8"/>
      <c r="E102" s="29"/>
      <c r="F102" s="47"/>
      <c r="J102" s="407"/>
      <c r="K102" s="493"/>
      <c r="L102" s="493"/>
      <c r="M102" s="47"/>
      <c r="N102" s="386"/>
      <c r="O102" s="497"/>
      <c r="P102" s="494"/>
    </row>
    <row r="103" spans="1:16" ht="15.75" customHeight="1">
      <c r="A103" s="1"/>
      <c r="B103" s="103"/>
      <c r="C103" s="8"/>
      <c r="E103" s="29"/>
      <c r="F103" s="47"/>
      <c r="J103" s="407"/>
      <c r="K103" s="493"/>
      <c r="L103" s="493"/>
      <c r="M103" s="47"/>
      <c r="N103" s="386"/>
      <c r="O103" s="497"/>
      <c r="P103" s="494"/>
    </row>
    <row r="104" spans="1:16" ht="15.75" customHeight="1">
      <c r="A104" s="1"/>
      <c r="B104" s="103"/>
      <c r="C104" s="8"/>
      <c r="E104" s="29"/>
      <c r="F104" s="47"/>
      <c r="J104" s="407"/>
      <c r="K104" s="493"/>
      <c r="L104" s="493"/>
      <c r="M104" s="47"/>
      <c r="N104" s="386"/>
      <c r="O104" s="497"/>
      <c r="P104" s="494"/>
    </row>
    <row r="105" spans="1:16" ht="15.75" customHeight="1">
      <c r="A105" s="1"/>
      <c r="B105" s="103"/>
      <c r="C105" s="8"/>
      <c r="E105" s="29"/>
      <c r="F105" s="47"/>
      <c r="J105" s="407"/>
      <c r="K105" s="493"/>
      <c r="L105" s="493"/>
      <c r="M105" s="47"/>
      <c r="N105" s="386"/>
      <c r="O105" s="497"/>
      <c r="P105" s="494"/>
    </row>
    <row r="106" spans="1:16" ht="15.75" customHeight="1">
      <c r="A106" s="1"/>
      <c r="B106" s="103"/>
      <c r="C106" s="8"/>
      <c r="E106" s="29"/>
      <c r="F106" s="47"/>
      <c r="J106" s="407"/>
      <c r="K106" s="493"/>
      <c r="L106" s="493"/>
      <c r="M106" s="47"/>
      <c r="N106" s="386"/>
      <c r="O106" s="497"/>
      <c r="P106" s="494"/>
    </row>
    <row r="107" spans="1:16" ht="15.75" customHeight="1">
      <c r="A107" s="1"/>
      <c r="B107" s="103"/>
      <c r="C107" s="8"/>
      <c r="E107" s="29"/>
      <c r="F107" s="47"/>
      <c r="J107" s="407"/>
      <c r="K107" s="493"/>
      <c r="L107" s="493"/>
      <c r="M107" s="47"/>
      <c r="N107" s="386"/>
      <c r="O107" s="497"/>
      <c r="P107" s="494"/>
    </row>
    <row r="108" spans="1:16" ht="15.75" customHeight="1">
      <c r="A108" s="1"/>
      <c r="B108" s="103"/>
      <c r="C108" s="8"/>
      <c r="E108" s="29"/>
      <c r="F108" s="47"/>
      <c r="J108" s="407"/>
      <c r="K108" s="493"/>
      <c r="L108" s="493"/>
      <c r="M108" s="47"/>
      <c r="N108" s="386"/>
      <c r="O108" s="497"/>
      <c r="P108" s="494"/>
    </row>
    <row r="109" spans="1:16" ht="15.75" customHeight="1">
      <c r="A109" s="1"/>
      <c r="B109" s="103"/>
      <c r="C109" s="8"/>
      <c r="E109" s="29"/>
      <c r="F109" s="47"/>
      <c r="J109" s="407"/>
      <c r="K109" s="493"/>
      <c r="L109" s="493"/>
      <c r="M109" s="47"/>
      <c r="N109" s="386"/>
      <c r="O109" s="497"/>
      <c r="P109" s="494"/>
    </row>
    <row r="110" spans="1:16" ht="15.75" customHeight="1">
      <c r="A110" s="1"/>
      <c r="B110" s="103"/>
      <c r="C110" s="8"/>
      <c r="E110" s="29"/>
      <c r="F110" s="47"/>
      <c r="J110" s="407"/>
      <c r="K110" s="493"/>
      <c r="L110" s="493"/>
      <c r="M110" s="47"/>
      <c r="N110" s="386"/>
      <c r="O110" s="497"/>
      <c r="P110" s="494"/>
    </row>
    <row r="111" spans="1:16" ht="15.75" customHeight="1">
      <c r="A111" s="1"/>
      <c r="B111" s="103"/>
      <c r="C111" s="8"/>
      <c r="E111" s="29"/>
      <c r="F111" s="47"/>
      <c r="J111" s="407"/>
      <c r="K111" s="493"/>
      <c r="L111" s="493"/>
      <c r="M111" s="47"/>
      <c r="N111" s="386"/>
      <c r="O111" s="497"/>
      <c r="P111" s="494"/>
    </row>
    <row r="112" spans="1:16" ht="15.75" customHeight="1">
      <c r="A112" s="1"/>
      <c r="B112" s="103"/>
      <c r="C112" s="8"/>
      <c r="E112" s="29"/>
      <c r="F112" s="47"/>
      <c r="J112" s="407"/>
      <c r="K112" s="493"/>
      <c r="L112" s="493"/>
      <c r="M112" s="47"/>
      <c r="N112" s="386"/>
      <c r="O112" s="497"/>
      <c r="P112" s="494"/>
    </row>
    <row r="113" spans="1:16" ht="15.75" customHeight="1">
      <c r="A113" s="1"/>
      <c r="B113" s="103"/>
      <c r="C113" s="8"/>
      <c r="E113" s="29"/>
      <c r="F113" s="47"/>
      <c r="J113" s="407"/>
      <c r="K113" s="493"/>
      <c r="L113" s="493"/>
      <c r="M113" s="47"/>
      <c r="N113" s="386"/>
      <c r="O113" s="497"/>
      <c r="P113" s="494"/>
    </row>
    <row r="114" spans="1:16" ht="15.75" customHeight="1">
      <c r="A114" s="1"/>
      <c r="B114" s="103"/>
      <c r="C114" s="8"/>
      <c r="E114" s="29"/>
      <c r="F114" s="47"/>
      <c r="J114" s="407"/>
      <c r="K114" s="493"/>
      <c r="L114" s="493"/>
      <c r="M114" s="47"/>
      <c r="N114" s="386"/>
      <c r="O114" s="497"/>
      <c r="P114" s="494"/>
    </row>
    <row r="115" spans="1:16" ht="15.75" customHeight="1">
      <c r="A115" s="1"/>
      <c r="B115" s="103"/>
      <c r="C115" s="8"/>
      <c r="E115" s="29"/>
      <c r="F115" s="47"/>
      <c r="J115" s="407"/>
      <c r="K115" s="493"/>
      <c r="L115" s="493"/>
      <c r="M115" s="47"/>
      <c r="N115" s="386"/>
      <c r="O115" s="497"/>
      <c r="P115" s="494"/>
    </row>
    <row r="116" spans="1:16" ht="15.75" customHeight="1">
      <c r="A116" s="1"/>
      <c r="B116" s="103"/>
      <c r="C116" s="8"/>
      <c r="E116" s="29"/>
      <c r="F116" s="47"/>
      <c r="J116" s="407"/>
      <c r="K116" s="493"/>
      <c r="L116" s="493"/>
      <c r="M116" s="47"/>
      <c r="N116" s="386"/>
      <c r="O116" s="497"/>
      <c r="P116" s="494"/>
    </row>
    <row r="117" spans="1:16" ht="15.75" customHeight="1">
      <c r="A117" s="1"/>
      <c r="B117" s="103"/>
      <c r="C117" s="8"/>
      <c r="E117" s="29"/>
      <c r="F117" s="47"/>
      <c r="J117" s="407"/>
      <c r="K117" s="493"/>
      <c r="L117" s="493"/>
      <c r="M117" s="47"/>
      <c r="N117" s="386"/>
      <c r="O117" s="497"/>
      <c r="P117" s="494"/>
    </row>
    <row r="118" spans="1:16" ht="15.75" customHeight="1">
      <c r="A118" s="1"/>
      <c r="B118" s="103"/>
      <c r="C118" s="8"/>
      <c r="E118" s="29"/>
      <c r="F118" s="47"/>
      <c r="J118" s="407"/>
      <c r="K118" s="493"/>
      <c r="L118" s="493"/>
      <c r="M118" s="47"/>
      <c r="N118" s="386"/>
      <c r="O118" s="497"/>
      <c r="P118" s="494"/>
    </row>
    <row r="119" spans="1:16" ht="15.75" customHeight="1">
      <c r="A119" s="1"/>
      <c r="B119" s="103"/>
      <c r="C119" s="8"/>
      <c r="E119" s="29"/>
      <c r="F119" s="47"/>
      <c r="J119" s="407"/>
      <c r="K119" s="493"/>
      <c r="L119" s="493"/>
      <c r="M119" s="47"/>
      <c r="N119" s="386"/>
      <c r="O119" s="497"/>
      <c r="P119" s="494"/>
    </row>
    <row r="120" spans="1:16" ht="15.75" customHeight="1">
      <c r="A120" s="1"/>
      <c r="B120" s="103"/>
      <c r="C120" s="8"/>
      <c r="E120" s="29"/>
      <c r="F120" s="47"/>
      <c r="J120" s="407"/>
      <c r="K120" s="493"/>
      <c r="L120" s="493"/>
      <c r="M120" s="47"/>
      <c r="N120" s="386"/>
      <c r="O120" s="497"/>
      <c r="P120" s="494"/>
    </row>
    <row r="121" spans="1:16" ht="15.75" customHeight="1">
      <c r="A121" s="1"/>
      <c r="B121" s="103"/>
      <c r="C121" s="8"/>
      <c r="E121" s="29"/>
      <c r="F121" s="47"/>
      <c r="J121" s="407"/>
      <c r="K121" s="493"/>
      <c r="L121" s="493"/>
      <c r="M121" s="47"/>
      <c r="N121" s="386"/>
      <c r="O121" s="497"/>
      <c r="P121" s="494"/>
    </row>
    <row r="122" spans="1:16" ht="15.75" customHeight="1">
      <c r="A122" s="1"/>
      <c r="B122" s="103"/>
      <c r="C122" s="8"/>
      <c r="E122" s="29"/>
      <c r="F122" s="47"/>
      <c r="J122" s="407"/>
      <c r="K122" s="493"/>
      <c r="L122" s="493"/>
      <c r="M122" s="47"/>
      <c r="N122" s="386"/>
      <c r="O122" s="497"/>
      <c r="P122" s="494"/>
    </row>
    <row r="123" spans="1:16" ht="15.75" customHeight="1">
      <c r="A123" s="1"/>
      <c r="B123" s="103"/>
      <c r="C123" s="8"/>
      <c r="E123" s="29"/>
      <c r="F123" s="47"/>
      <c r="J123" s="407"/>
      <c r="K123" s="493"/>
      <c r="L123" s="493"/>
      <c r="M123" s="47"/>
      <c r="N123" s="386"/>
      <c r="O123" s="497"/>
      <c r="P123" s="494"/>
    </row>
    <row r="124" spans="1:16" ht="15.75" customHeight="1">
      <c r="A124" s="1"/>
      <c r="B124" s="103"/>
      <c r="C124" s="8"/>
      <c r="E124" s="29"/>
      <c r="F124" s="47"/>
      <c r="J124" s="407"/>
      <c r="K124" s="493"/>
      <c r="L124" s="493"/>
      <c r="M124" s="47"/>
      <c r="N124" s="386"/>
      <c r="O124" s="497"/>
      <c r="P124" s="494"/>
    </row>
    <row r="125" spans="1:16" ht="15.75" customHeight="1">
      <c r="A125" s="1"/>
      <c r="B125" s="103"/>
      <c r="C125" s="8"/>
      <c r="E125" s="29"/>
      <c r="F125" s="47"/>
      <c r="J125" s="407"/>
      <c r="K125" s="493"/>
      <c r="L125" s="493"/>
      <c r="M125" s="47"/>
      <c r="N125" s="386"/>
      <c r="O125" s="497"/>
      <c r="P125" s="494"/>
    </row>
    <row r="126" spans="1:16" ht="15.75" customHeight="1">
      <c r="A126" s="1"/>
      <c r="B126" s="103"/>
      <c r="C126" s="8"/>
      <c r="E126" s="29"/>
      <c r="F126" s="47"/>
      <c r="J126" s="407"/>
      <c r="K126" s="493"/>
      <c r="L126" s="493"/>
      <c r="M126" s="47"/>
      <c r="N126" s="386"/>
      <c r="O126" s="497"/>
      <c r="P126" s="494"/>
    </row>
    <row r="127" spans="1:16" ht="15.75" customHeight="1">
      <c r="A127" s="1"/>
      <c r="B127" s="103"/>
      <c r="C127" s="8"/>
      <c r="E127" s="29"/>
      <c r="F127" s="47"/>
      <c r="J127" s="407"/>
      <c r="K127" s="493"/>
      <c r="L127" s="493"/>
      <c r="M127" s="47"/>
      <c r="N127" s="386"/>
      <c r="O127" s="497"/>
      <c r="P127" s="494"/>
    </row>
    <row r="128" spans="1:16" ht="15.75" customHeight="1">
      <c r="A128" s="1"/>
      <c r="B128" s="103"/>
      <c r="C128" s="8"/>
      <c r="E128" s="29"/>
      <c r="F128" s="47"/>
      <c r="J128" s="407"/>
      <c r="K128" s="493"/>
      <c r="L128" s="493"/>
      <c r="M128" s="47"/>
      <c r="N128" s="386"/>
      <c r="O128" s="497"/>
      <c r="P128" s="494"/>
    </row>
    <row r="129" spans="1:16" ht="15.75" customHeight="1">
      <c r="A129" s="1"/>
      <c r="B129" s="103"/>
      <c r="C129" s="8"/>
      <c r="E129" s="29"/>
      <c r="F129" s="47"/>
      <c r="J129" s="407"/>
      <c r="K129" s="493"/>
      <c r="L129" s="493"/>
      <c r="M129" s="47"/>
      <c r="N129" s="386"/>
      <c r="O129" s="497"/>
      <c r="P129" s="494"/>
    </row>
    <row r="130" spans="1:16" ht="15.75" customHeight="1">
      <c r="A130" s="1"/>
      <c r="B130" s="103"/>
      <c r="C130" s="8"/>
      <c r="E130" s="29"/>
      <c r="F130" s="47"/>
      <c r="J130" s="407"/>
      <c r="K130" s="493"/>
      <c r="L130" s="493"/>
      <c r="M130" s="47"/>
      <c r="N130" s="386"/>
      <c r="O130" s="497"/>
      <c r="P130" s="494"/>
    </row>
    <row r="131" spans="1:16" ht="15.75" customHeight="1">
      <c r="A131" s="1"/>
      <c r="B131" s="103"/>
      <c r="C131" s="8"/>
      <c r="E131" s="29"/>
      <c r="F131" s="47"/>
      <c r="J131" s="407"/>
      <c r="K131" s="493"/>
      <c r="L131" s="493"/>
      <c r="M131" s="47"/>
      <c r="N131" s="386"/>
      <c r="O131" s="497"/>
      <c r="P131" s="494"/>
    </row>
    <row r="132" spans="1:16" ht="15.75" customHeight="1">
      <c r="A132" s="1"/>
      <c r="B132" s="103"/>
      <c r="C132" s="8"/>
      <c r="E132" s="29"/>
      <c r="F132" s="47"/>
      <c r="J132" s="407"/>
      <c r="K132" s="493"/>
      <c r="L132" s="493"/>
      <c r="M132" s="47"/>
      <c r="N132" s="386"/>
      <c r="O132" s="497"/>
      <c r="P132" s="494"/>
    </row>
    <row r="133" spans="1:16" ht="15.75" customHeight="1">
      <c r="A133" s="1"/>
      <c r="B133" s="103"/>
      <c r="C133" s="8"/>
      <c r="E133" s="29"/>
      <c r="F133" s="47"/>
      <c r="J133" s="407"/>
      <c r="K133" s="493"/>
      <c r="L133" s="493"/>
      <c r="M133" s="47"/>
      <c r="N133" s="386"/>
      <c r="O133" s="497"/>
      <c r="P133" s="494"/>
    </row>
    <row r="134" spans="1:16" ht="15.75" customHeight="1">
      <c r="A134" s="1"/>
      <c r="B134" s="103"/>
      <c r="C134" s="8"/>
      <c r="E134" s="29"/>
      <c r="F134" s="47"/>
    </row>
    <row r="135" spans="1:16" ht="15.75" customHeight="1">
      <c r="A135" s="1"/>
      <c r="B135" s="103"/>
      <c r="C135" s="8"/>
      <c r="E135" s="29"/>
      <c r="F135" s="47"/>
    </row>
    <row r="136" spans="1:16" ht="15.75" customHeight="1">
      <c r="A136" s="1"/>
      <c r="B136" s="103"/>
      <c r="C136" s="8"/>
      <c r="E136" s="29"/>
      <c r="F136" s="47"/>
    </row>
    <row r="137" spans="1:16" ht="15.75" customHeight="1">
      <c r="A137" s="1"/>
      <c r="B137" s="103"/>
      <c r="C137" s="8"/>
      <c r="E137" s="29"/>
      <c r="F137" s="47"/>
    </row>
    <row r="138" spans="1:16" ht="15.75" customHeight="1">
      <c r="A138" s="1"/>
      <c r="B138" s="103"/>
      <c r="C138" s="8"/>
      <c r="E138" s="29"/>
      <c r="F138" s="47"/>
    </row>
    <row r="139" spans="1:16" ht="15.75" customHeight="1">
      <c r="A139" s="1"/>
      <c r="B139" s="103"/>
      <c r="C139" s="8"/>
      <c r="E139" s="29"/>
      <c r="F139" s="47"/>
    </row>
    <row r="140" spans="1:16" ht="15.75" customHeight="1">
      <c r="A140" s="1"/>
      <c r="B140" s="103"/>
      <c r="C140" s="8"/>
      <c r="E140" s="29"/>
      <c r="F140" s="47"/>
    </row>
    <row r="141" spans="1:16" ht="15.75" customHeight="1">
      <c r="A141" s="1"/>
      <c r="B141" s="103"/>
      <c r="C141" s="8"/>
      <c r="E141" s="29"/>
      <c r="F141" s="47"/>
    </row>
    <row r="142" spans="1:16" ht="15.75" customHeight="1">
      <c r="A142" s="1"/>
      <c r="B142" s="103"/>
      <c r="C142" s="8"/>
      <c r="E142" s="29"/>
      <c r="F142" s="47"/>
    </row>
    <row r="143" spans="1:16" ht="15.75" customHeight="1">
      <c r="A143" s="1"/>
      <c r="B143" s="103"/>
      <c r="C143" s="8"/>
      <c r="E143" s="29"/>
      <c r="F143" s="47"/>
    </row>
    <row r="144" spans="1:16" ht="15.75" customHeight="1">
      <c r="A144" s="1"/>
      <c r="B144" s="103"/>
      <c r="C144" s="8"/>
      <c r="E144" s="29"/>
      <c r="F144" s="47"/>
    </row>
    <row r="145" spans="1:6" ht="15.75" customHeight="1">
      <c r="A145" s="1"/>
      <c r="B145" s="103"/>
      <c r="C145" s="8"/>
      <c r="E145" s="29"/>
      <c r="F145" s="47"/>
    </row>
    <row r="146" spans="1:6" ht="15.75" customHeight="1">
      <c r="A146" s="1"/>
      <c r="B146" s="103"/>
      <c r="C146" s="8"/>
      <c r="E146" s="29"/>
      <c r="F146" s="47"/>
    </row>
    <row r="147" spans="1:6" ht="15.75" customHeight="1">
      <c r="A147" s="1"/>
      <c r="B147" s="103"/>
      <c r="C147" s="8"/>
      <c r="E147" s="29"/>
      <c r="F147" s="47"/>
    </row>
    <row r="148" spans="1:6" ht="15.75" customHeight="1">
      <c r="A148" s="1"/>
      <c r="B148" s="103"/>
      <c r="C148" s="8"/>
      <c r="E148" s="29"/>
      <c r="F148" s="47"/>
    </row>
    <row r="149" spans="1:6" ht="15.75" customHeight="1">
      <c r="A149" s="1"/>
      <c r="B149" s="103"/>
      <c r="C149" s="8"/>
      <c r="E149" s="29"/>
      <c r="F149" s="47"/>
    </row>
    <row r="150" spans="1:6" ht="15.75" customHeight="1">
      <c r="A150" s="1"/>
      <c r="B150" s="103"/>
      <c r="C150" s="8"/>
      <c r="E150" s="29"/>
      <c r="F150" s="47"/>
    </row>
    <row r="151" spans="1:6" ht="15.75" customHeight="1">
      <c r="A151" s="1"/>
      <c r="B151" s="103"/>
      <c r="C151" s="8"/>
      <c r="E151" s="29"/>
      <c r="F151" s="47"/>
    </row>
    <row r="152" spans="1:6" ht="15.75" customHeight="1">
      <c r="A152" s="1"/>
      <c r="B152" s="103"/>
      <c r="C152" s="8"/>
      <c r="E152" s="29"/>
      <c r="F152" s="47"/>
    </row>
    <row r="153" spans="1:6" ht="15.75" customHeight="1">
      <c r="A153" s="1"/>
      <c r="B153" s="103"/>
      <c r="C153" s="8"/>
      <c r="E153" s="29"/>
      <c r="F153" s="47"/>
    </row>
    <row r="154" spans="1:6" ht="15.75" customHeight="1">
      <c r="A154" s="1"/>
      <c r="B154" s="103"/>
      <c r="C154" s="8"/>
      <c r="E154" s="29"/>
      <c r="F154" s="47"/>
    </row>
    <row r="155" spans="1:6" ht="15.75" customHeight="1">
      <c r="A155" s="1"/>
      <c r="B155" s="103"/>
      <c r="C155" s="8"/>
      <c r="E155" s="29"/>
      <c r="F155" s="47"/>
    </row>
    <row r="156" spans="1:6" ht="15.75" customHeight="1">
      <c r="A156" s="1"/>
      <c r="B156" s="103"/>
      <c r="C156" s="8"/>
      <c r="E156" s="29"/>
      <c r="F156" s="47"/>
    </row>
    <row r="157" spans="1:6" ht="15.75" customHeight="1">
      <c r="A157" s="1"/>
      <c r="B157" s="103"/>
      <c r="C157" s="8"/>
      <c r="E157" s="29"/>
      <c r="F157" s="47"/>
    </row>
    <row r="158" spans="1:6" ht="15.75" customHeight="1">
      <c r="A158" s="1"/>
      <c r="B158" s="103"/>
      <c r="C158" s="8"/>
      <c r="E158" s="29"/>
      <c r="F158" s="47"/>
    </row>
    <row r="159" spans="1:6" ht="15.75" customHeight="1">
      <c r="A159" s="1"/>
      <c r="B159" s="103"/>
      <c r="C159" s="8"/>
      <c r="E159" s="29"/>
      <c r="F159" s="47"/>
    </row>
    <row r="160" spans="1:6" ht="15.75" customHeight="1">
      <c r="A160" s="1"/>
      <c r="B160" s="103"/>
      <c r="C160" s="8"/>
      <c r="E160" s="29"/>
      <c r="F160" s="47"/>
    </row>
    <row r="161" spans="1:6" ht="15.75" customHeight="1">
      <c r="A161" s="1"/>
      <c r="B161" s="103"/>
      <c r="C161" s="8"/>
      <c r="E161" s="29"/>
      <c r="F161" s="47"/>
    </row>
    <row r="162" spans="1:6" ht="15.75" customHeight="1">
      <c r="A162" s="1"/>
      <c r="B162" s="103"/>
      <c r="C162" s="8"/>
      <c r="E162" s="29"/>
      <c r="F162" s="47"/>
    </row>
    <row r="163" spans="1:6" ht="15.75" customHeight="1">
      <c r="A163" s="1"/>
      <c r="B163" s="103"/>
      <c r="C163" s="8"/>
      <c r="E163" s="29"/>
      <c r="F163" s="47"/>
    </row>
    <row r="164" spans="1:6" ht="15.75" customHeight="1">
      <c r="A164" s="1"/>
      <c r="B164" s="103"/>
      <c r="C164" s="8"/>
      <c r="E164" s="29"/>
      <c r="F164" s="47"/>
    </row>
    <row r="165" spans="1:6" ht="15.75" customHeight="1">
      <c r="A165" s="1"/>
      <c r="B165" s="103"/>
      <c r="C165" s="8"/>
      <c r="E165" s="29"/>
      <c r="F165" s="47"/>
    </row>
    <row r="166" spans="1:6" ht="15.75" customHeight="1">
      <c r="A166" s="1"/>
      <c r="B166" s="103"/>
      <c r="C166" s="8"/>
      <c r="E166" s="29"/>
      <c r="F166" s="47"/>
    </row>
    <row r="167" spans="1:6" ht="15.75" customHeight="1">
      <c r="A167" s="1"/>
      <c r="B167" s="103"/>
      <c r="C167" s="8"/>
      <c r="E167" s="29"/>
      <c r="F167" s="47"/>
    </row>
    <row r="168" spans="1:6" ht="15.75" customHeight="1">
      <c r="A168" s="1"/>
      <c r="B168" s="103"/>
      <c r="C168" s="8"/>
      <c r="E168" s="29"/>
      <c r="F168" s="47"/>
    </row>
    <row r="169" spans="1:6" ht="15.75" customHeight="1">
      <c r="A169" s="1"/>
      <c r="B169" s="103"/>
      <c r="C169" s="8"/>
      <c r="E169" s="29"/>
      <c r="F169" s="47"/>
    </row>
    <row r="170" spans="1:6" ht="15.75" customHeight="1">
      <c r="A170" s="1"/>
      <c r="B170" s="103"/>
      <c r="C170" s="8"/>
      <c r="E170" s="29"/>
      <c r="F170" s="47"/>
    </row>
    <row r="171" spans="1:6" ht="15.75" customHeight="1">
      <c r="A171" s="1"/>
      <c r="B171" s="103"/>
      <c r="C171" s="8"/>
      <c r="E171" s="29"/>
      <c r="F171" s="47"/>
    </row>
    <row r="172" spans="1:6" ht="15.75" customHeight="1">
      <c r="A172" s="1"/>
      <c r="B172" s="103"/>
      <c r="C172" s="8"/>
      <c r="E172" s="29"/>
      <c r="F172" s="47"/>
    </row>
    <row r="173" spans="1:6" ht="15.75" customHeight="1">
      <c r="A173" s="1"/>
      <c r="B173" s="103"/>
      <c r="C173" s="8"/>
      <c r="E173" s="29"/>
      <c r="F173" s="47"/>
    </row>
    <row r="174" spans="1:6" ht="15.75" customHeight="1">
      <c r="A174" s="1"/>
      <c r="B174" s="103"/>
      <c r="C174" s="8"/>
      <c r="E174" s="29"/>
      <c r="F174" s="47"/>
    </row>
    <row r="175" spans="1:6" ht="15.75" customHeight="1">
      <c r="A175" s="1"/>
      <c r="B175" s="103"/>
      <c r="C175" s="8"/>
      <c r="E175" s="29"/>
      <c r="F175" s="47"/>
    </row>
    <row r="176" spans="1:6" ht="15.75" customHeight="1">
      <c r="A176" s="1"/>
      <c r="B176" s="103"/>
      <c r="C176" s="8"/>
      <c r="E176" s="29"/>
      <c r="F176" s="47"/>
    </row>
    <row r="177" spans="1:6" ht="15.75" customHeight="1">
      <c r="A177" s="1"/>
      <c r="B177" s="103"/>
      <c r="C177" s="8"/>
      <c r="E177" s="29"/>
      <c r="F177" s="47"/>
    </row>
    <row r="178" spans="1:6" ht="15.75" customHeight="1">
      <c r="A178" s="1"/>
      <c r="B178" s="103"/>
      <c r="C178" s="8"/>
      <c r="E178" s="29"/>
      <c r="F178" s="47"/>
    </row>
    <row r="179" spans="1:6" ht="15.75" customHeight="1">
      <c r="A179" s="1"/>
      <c r="B179" s="103"/>
      <c r="C179" s="8"/>
      <c r="E179" s="29"/>
      <c r="F179" s="47"/>
    </row>
    <row r="180" spans="1:6" ht="15.75" customHeight="1">
      <c r="A180" s="1"/>
      <c r="B180" s="103"/>
      <c r="C180" s="8"/>
      <c r="E180" s="29"/>
      <c r="F180" s="47"/>
    </row>
    <row r="181" spans="1:6" ht="15.75" customHeight="1">
      <c r="A181" s="1"/>
      <c r="B181" s="103"/>
      <c r="C181" s="8"/>
      <c r="E181" s="29"/>
      <c r="F181" s="47"/>
    </row>
    <row r="182" spans="1:6" ht="15.75" customHeight="1">
      <c r="A182" s="1"/>
      <c r="B182" s="103"/>
      <c r="C182" s="8"/>
      <c r="E182" s="29"/>
      <c r="F182" s="47"/>
    </row>
    <row r="183" spans="1:6" ht="15.75" customHeight="1">
      <c r="A183" s="1"/>
      <c r="B183" s="103"/>
      <c r="C183" s="8"/>
      <c r="E183" s="29"/>
      <c r="F183" s="47"/>
    </row>
    <row r="184" spans="1:6" ht="15.75" customHeight="1">
      <c r="A184" s="1"/>
      <c r="B184" s="103"/>
      <c r="C184" s="8"/>
      <c r="E184" s="29"/>
      <c r="F184" s="47"/>
    </row>
    <row r="185" spans="1:6" ht="15.75" customHeight="1">
      <c r="A185" s="1"/>
      <c r="B185" s="103"/>
      <c r="C185" s="8"/>
      <c r="E185" s="29"/>
      <c r="F185" s="47"/>
    </row>
    <row r="186" spans="1:6" ht="15.75" customHeight="1">
      <c r="A186" s="1"/>
      <c r="B186" s="103"/>
      <c r="C186" s="8"/>
      <c r="E186" s="29"/>
      <c r="F186" s="47"/>
    </row>
    <row r="187" spans="1:6" ht="15.75" customHeight="1">
      <c r="A187" s="1"/>
      <c r="B187" s="103"/>
      <c r="C187" s="8"/>
      <c r="E187" s="29"/>
      <c r="F187" s="47"/>
    </row>
    <row r="188" spans="1:6" ht="15.75" customHeight="1">
      <c r="A188" s="1"/>
      <c r="B188" s="103"/>
      <c r="C188" s="8"/>
      <c r="E188" s="29"/>
      <c r="F188" s="47"/>
    </row>
    <row r="189" spans="1:6" ht="15.75" customHeight="1">
      <c r="A189" s="1"/>
      <c r="B189" s="103"/>
      <c r="C189" s="8"/>
      <c r="E189" s="29"/>
      <c r="F189" s="47"/>
    </row>
    <row r="190" spans="1:6" ht="15.75" customHeight="1">
      <c r="A190" s="1"/>
      <c r="B190" s="103"/>
      <c r="C190" s="8"/>
      <c r="E190" s="29"/>
      <c r="F190" s="47"/>
    </row>
    <row r="191" spans="1:6" ht="15.75" customHeight="1">
      <c r="A191" s="1"/>
      <c r="B191" s="103"/>
      <c r="C191" s="8"/>
      <c r="E191" s="29"/>
      <c r="F191" s="47"/>
    </row>
    <row r="192" spans="1:6" ht="15.75" customHeight="1">
      <c r="A192" s="1"/>
      <c r="B192" s="103"/>
      <c r="C192" s="8"/>
      <c r="E192" s="29"/>
      <c r="F192" s="47"/>
    </row>
    <row r="193" spans="1:6" ht="15.75" customHeight="1">
      <c r="A193" s="1"/>
      <c r="B193" s="103"/>
      <c r="C193" s="8"/>
      <c r="E193" s="29"/>
      <c r="F193" s="47"/>
    </row>
    <row r="194" spans="1:6" ht="15.75" customHeight="1">
      <c r="A194" s="1"/>
      <c r="B194" s="103"/>
      <c r="C194" s="8"/>
      <c r="E194" s="29"/>
      <c r="F194" s="47"/>
    </row>
    <row r="195" spans="1:6" ht="15.75" customHeight="1">
      <c r="A195" s="1"/>
      <c r="B195" s="103"/>
      <c r="C195" s="8"/>
      <c r="E195" s="29"/>
      <c r="F195" s="47"/>
    </row>
    <row r="196" spans="1:6" ht="15.75" customHeight="1">
      <c r="A196" s="1"/>
      <c r="B196" s="103"/>
      <c r="C196" s="8"/>
      <c r="E196" s="29"/>
      <c r="F196" s="47"/>
    </row>
    <row r="197" spans="1:6" ht="15.75" customHeight="1">
      <c r="A197" s="1"/>
      <c r="B197" s="103"/>
      <c r="C197" s="8"/>
      <c r="E197" s="29"/>
      <c r="F197" s="47"/>
    </row>
    <row r="198" spans="1:6" ht="15.75" customHeight="1">
      <c r="A198" s="1"/>
      <c r="B198" s="103"/>
      <c r="C198" s="8"/>
      <c r="E198" s="29"/>
      <c r="F198" s="47"/>
    </row>
    <row r="199" spans="1:6" ht="15.75" customHeight="1">
      <c r="A199" s="1"/>
      <c r="B199" s="103"/>
      <c r="C199" s="8"/>
      <c r="E199" s="29"/>
      <c r="F199" s="47"/>
    </row>
    <row r="200" spans="1:6" ht="15.75" customHeight="1">
      <c r="A200" s="1"/>
      <c r="B200" s="103"/>
      <c r="C200" s="8"/>
      <c r="E200" s="29"/>
      <c r="F200" s="47"/>
    </row>
    <row r="201" spans="1:6" ht="15.75" customHeight="1">
      <c r="A201" s="1"/>
      <c r="B201" s="103"/>
      <c r="C201" s="8"/>
      <c r="E201" s="29"/>
      <c r="F201" s="47"/>
    </row>
    <row r="202" spans="1:6" ht="15.75" customHeight="1">
      <c r="A202" s="1"/>
      <c r="B202" s="103"/>
      <c r="C202" s="8"/>
      <c r="E202" s="29"/>
      <c r="F202" s="47"/>
    </row>
    <row r="203" spans="1:6" ht="15.75" customHeight="1">
      <c r="A203" s="1"/>
      <c r="B203" s="103"/>
      <c r="C203" s="8"/>
      <c r="E203" s="29"/>
      <c r="F203" s="47"/>
    </row>
    <row r="204" spans="1:6" ht="15.75" customHeight="1">
      <c r="A204" s="1"/>
      <c r="B204" s="103"/>
      <c r="C204" s="8"/>
      <c r="E204" s="29"/>
      <c r="F204" s="47"/>
    </row>
    <row r="205" spans="1:6" ht="15.75" customHeight="1">
      <c r="A205" s="1"/>
      <c r="B205" s="103"/>
      <c r="C205" s="8"/>
      <c r="E205" s="29"/>
      <c r="F205" s="47"/>
    </row>
    <row r="206" spans="1:6" ht="15.75" customHeight="1">
      <c r="A206" s="1"/>
      <c r="B206" s="103"/>
      <c r="C206" s="8"/>
      <c r="E206" s="29"/>
      <c r="F206" s="47"/>
    </row>
    <row r="207" spans="1:6" ht="15.75" customHeight="1">
      <c r="A207" s="1"/>
      <c r="B207" s="103"/>
      <c r="C207" s="8"/>
      <c r="E207" s="29"/>
      <c r="F207" s="47"/>
    </row>
    <row r="208" spans="1:6" ht="15.75" customHeight="1">
      <c r="A208" s="1"/>
      <c r="B208" s="103"/>
      <c r="C208" s="8"/>
      <c r="E208" s="29"/>
      <c r="F208" s="47"/>
    </row>
    <row r="209" spans="1:16" ht="15.75" customHeight="1">
      <c r="A209" s="1"/>
      <c r="B209" s="103"/>
      <c r="C209" s="8"/>
      <c r="E209" s="29"/>
      <c r="F209" s="47"/>
    </row>
    <row r="210" spans="1:16" ht="15.75" customHeight="1">
      <c r="A210" s="1"/>
      <c r="B210" s="103"/>
      <c r="C210" s="8"/>
      <c r="E210" s="29"/>
      <c r="F210" s="47"/>
    </row>
    <row r="211" spans="1:16" ht="15.75" customHeight="1">
      <c r="A211" s="1"/>
      <c r="B211" s="103"/>
      <c r="C211" s="8"/>
      <c r="E211" s="29"/>
      <c r="F211" s="47"/>
    </row>
    <row r="212" spans="1:16" ht="15.75" customHeight="1">
      <c r="A212" s="1"/>
      <c r="B212" s="103"/>
      <c r="C212" s="8"/>
      <c r="E212" s="29"/>
      <c r="F212" s="47"/>
    </row>
    <row r="213" spans="1:16" ht="15.75" customHeight="1">
      <c r="A213" s="1"/>
      <c r="B213" s="103"/>
      <c r="C213" s="8"/>
      <c r="E213" s="29"/>
      <c r="F213" s="47"/>
    </row>
    <row r="214" spans="1:16" ht="15.75" customHeight="1">
      <c r="A214" s="1"/>
      <c r="B214" s="103"/>
      <c r="C214" s="8"/>
      <c r="E214" s="29"/>
      <c r="F214" s="47"/>
    </row>
    <row r="215" spans="1:16" ht="15.75" customHeight="1">
      <c r="A215" s="1"/>
      <c r="B215" s="103"/>
      <c r="C215" s="8"/>
      <c r="E215" s="29"/>
      <c r="F215" s="47"/>
    </row>
    <row r="216" spans="1:16" ht="15.75" customHeight="1">
      <c r="A216" s="1"/>
      <c r="B216" s="103"/>
      <c r="C216" s="8"/>
      <c r="E216" s="29"/>
      <c r="F216" s="47"/>
    </row>
    <row r="217" spans="1:16" ht="15.75" customHeight="1">
      <c r="A217" s="1"/>
      <c r="B217" s="103"/>
      <c r="C217" s="8"/>
      <c r="E217" s="29"/>
      <c r="F217" s="47"/>
    </row>
    <row r="218" spans="1:16" ht="15.75" customHeight="1">
      <c r="A218" s="1"/>
      <c r="B218" s="103"/>
      <c r="C218" s="8"/>
      <c r="E218" s="29"/>
      <c r="F218" s="47"/>
    </row>
    <row r="219" spans="1:16" ht="15.75" customHeight="1">
      <c r="A219" s="1"/>
      <c r="B219" s="103"/>
      <c r="C219" s="8"/>
      <c r="E219" s="29"/>
      <c r="F219" s="47"/>
    </row>
    <row r="220" spans="1:16" ht="15.75" customHeight="1">
      <c r="A220" s="1"/>
      <c r="B220" s="103"/>
      <c r="C220" s="8"/>
      <c r="E220" s="29"/>
      <c r="F220" s="47"/>
    </row>
    <row r="221" spans="1:16" ht="15.75" customHeight="1">
      <c r="A221" s="1"/>
      <c r="B221" s="103"/>
      <c r="C221" s="8"/>
      <c r="E221" s="29"/>
      <c r="F221" s="47"/>
      <c r="J221" s="407"/>
      <c r="K221" s="493"/>
      <c r="L221" s="493"/>
      <c r="M221" s="47"/>
      <c r="N221" s="386"/>
      <c r="O221" s="497"/>
      <c r="P221" s="494"/>
    </row>
    <row r="222" spans="1:16" ht="15.75" customHeight="1">
      <c r="A222" s="1"/>
      <c r="B222" s="103"/>
      <c r="C222" s="8"/>
      <c r="E222" s="29"/>
      <c r="F222" s="47"/>
      <c r="J222" s="407"/>
      <c r="K222" s="493"/>
      <c r="L222" s="493"/>
      <c r="M222" s="47"/>
      <c r="N222" s="386"/>
      <c r="O222" s="497"/>
      <c r="P222" s="494"/>
    </row>
    <row r="223" spans="1:16" ht="15.75" customHeight="1">
      <c r="A223" s="1"/>
      <c r="B223" s="103"/>
      <c r="C223" s="8"/>
      <c r="E223" s="29"/>
      <c r="F223" s="47"/>
      <c r="J223" s="407"/>
      <c r="K223" s="493"/>
      <c r="L223" s="493"/>
      <c r="M223" s="47"/>
      <c r="N223" s="386"/>
      <c r="O223" s="497"/>
      <c r="P223" s="494"/>
    </row>
    <row r="224" spans="1:16" ht="15.75" customHeight="1">
      <c r="A224" s="1"/>
      <c r="B224" s="103"/>
      <c r="C224" s="8"/>
      <c r="E224" s="29"/>
      <c r="F224" s="47"/>
      <c r="J224" s="407"/>
      <c r="K224" s="493"/>
      <c r="L224" s="493"/>
      <c r="M224" s="47"/>
      <c r="N224" s="386"/>
      <c r="O224" s="497"/>
      <c r="P224" s="494"/>
    </row>
    <row r="225" spans="1:16" ht="15.75" customHeight="1">
      <c r="A225" s="1"/>
      <c r="B225" s="103"/>
      <c r="C225" s="8"/>
      <c r="E225" s="29"/>
      <c r="F225" s="47"/>
      <c r="J225" s="407"/>
      <c r="K225" s="493"/>
      <c r="L225" s="493"/>
      <c r="M225" s="47"/>
      <c r="N225" s="386"/>
      <c r="O225" s="497"/>
      <c r="P225" s="494"/>
    </row>
    <row r="226" spans="1:16" ht="15.75" customHeight="1">
      <c r="A226" s="1"/>
      <c r="B226" s="103"/>
      <c r="C226" s="8"/>
      <c r="E226" s="29"/>
      <c r="F226" s="47"/>
      <c r="J226" s="407"/>
      <c r="K226" s="493"/>
      <c r="L226" s="493"/>
      <c r="M226" s="47"/>
      <c r="N226" s="386"/>
      <c r="O226" s="497"/>
      <c r="P226" s="494"/>
    </row>
    <row r="227" spans="1:16" ht="15.75" customHeight="1">
      <c r="A227" s="1"/>
      <c r="B227" s="103"/>
      <c r="C227" s="8"/>
      <c r="E227" s="29"/>
      <c r="F227" s="47"/>
      <c r="J227" s="407"/>
      <c r="K227" s="493"/>
      <c r="L227" s="493"/>
      <c r="M227" s="47"/>
      <c r="N227" s="386"/>
      <c r="O227" s="497"/>
      <c r="P227" s="494"/>
    </row>
    <row r="228" spans="1:16" ht="15.75" customHeight="1">
      <c r="A228" s="1"/>
      <c r="B228" s="103"/>
      <c r="C228" s="8"/>
      <c r="E228" s="29"/>
      <c r="F228" s="47"/>
      <c r="J228" s="407"/>
      <c r="K228" s="493"/>
      <c r="L228" s="493"/>
      <c r="M228" s="47"/>
      <c r="N228" s="386"/>
      <c r="O228" s="497"/>
      <c r="P228" s="494"/>
    </row>
    <row r="229" spans="1:16" ht="15.75" customHeight="1">
      <c r="A229" s="1"/>
      <c r="B229" s="103"/>
      <c r="C229" s="8"/>
      <c r="E229" s="29"/>
      <c r="F229" s="47"/>
      <c r="J229" s="407"/>
      <c r="K229" s="493"/>
      <c r="L229" s="493"/>
      <c r="M229" s="47"/>
      <c r="N229" s="386"/>
      <c r="O229" s="497"/>
      <c r="P229" s="494"/>
    </row>
    <row r="230" spans="1:16" ht="15.75" customHeight="1">
      <c r="A230" s="1"/>
      <c r="B230" s="103"/>
      <c r="C230" s="8"/>
      <c r="E230" s="29"/>
      <c r="F230" s="47"/>
      <c r="J230" s="407"/>
      <c r="K230" s="493"/>
      <c r="L230" s="493"/>
      <c r="M230" s="47"/>
      <c r="N230" s="386"/>
      <c r="O230" s="497"/>
      <c r="P230" s="494"/>
    </row>
    <row r="231" spans="1:16" ht="15.75" customHeight="1">
      <c r="A231" s="1"/>
      <c r="B231" s="103"/>
      <c r="C231" s="8"/>
      <c r="E231" s="29"/>
      <c r="F231" s="47"/>
      <c r="J231" s="407"/>
      <c r="K231" s="493"/>
      <c r="L231" s="493"/>
      <c r="M231" s="47"/>
      <c r="N231" s="386"/>
      <c r="O231" s="497"/>
      <c r="P231" s="494"/>
    </row>
    <row r="232" spans="1:16" ht="15.75" customHeight="1">
      <c r="A232" s="1"/>
      <c r="B232" s="103"/>
      <c r="C232" s="8"/>
      <c r="E232" s="29"/>
      <c r="F232" s="47"/>
      <c r="J232" s="407"/>
      <c r="K232" s="493"/>
      <c r="L232" s="493"/>
      <c r="M232" s="47"/>
      <c r="N232" s="386"/>
      <c r="O232" s="497"/>
      <c r="P232" s="494"/>
    </row>
    <row r="233" spans="1:16" ht="15.75" customHeight="1">
      <c r="A233" s="1"/>
      <c r="B233" s="103"/>
      <c r="C233" s="8"/>
      <c r="E233" s="29"/>
      <c r="F233" s="47"/>
      <c r="J233" s="407"/>
      <c r="K233" s="493"/>
      <c r="L233" s="493"/>
      <c r="M233" s="47"/>
      <c r="N233" s="386"/>
      <c r="O233" s="497"/>
      <c r="P233" s="494"/>
    </row>
    <row r="234" spans="1:16" ht="15.75" customHeight="1">
      <c r="A234" s="1"/>
      <c r="B234" s="103"/>
      <c r="C234" s="8"/>
      <c r="E234" s="29"/>
      <c r="F234" s="47"/>
      <c r="J234" s="407"/>
      <c r="K234" s="493"/>
      <c r="L234" s="493"/>
      <c r="M234" s="47"/>
      <c r="N234" s="386"/>
      <c r="O234" s="497"/>
      <c r="P234" s="494"/>
    </row>
    <row r="235" spans="1:16" ht="15.75" customHeight="1">
      <c r="A235" s="1"/>
      <c r="B235" s="103"/>
      <c r="C235" s="8"/>
      <c r="E235" s="29"/>
      <c r="F235" s="47"/>
      <c r="J235" s="407"/>
      <c r="K235" s="493"/>
      <c r="L235" s="493"/>
      <c r="M235" s="47"/>
      <c r="N235" s="386"/>
      <c r="O235" s="497"/>
      <c r="P235" s="494"/>
    </row>
    <row r="236" spans="1:16" ht="15.75" customHeight="1">
      <c r="A236" s="1"/>
      <c r="B236" s="103"/>
      <c r="C236" s="8"/>
      <c r="E236" s="29"/>
      <c r="F236" s="47"/>
      <c r="J236" s="407"/>
      <c r="K236" s="493"/>
      <c r="L236" s="493"/>
      <c r="M236" s="47"/>
      <c r="N236" s="386"/>
      <c r="O236" s="497"/>
      <c r="P236" s="494"/>
    </row>
    <row r="237" spans="1:16" ht="15.75" customHeight="1">
      <c r="A237" s="1"/>
      <c r="B237" s="103"/>
      <c r="C237" s="8"/>
      <c r="E237" s="29"/>
      <c r="F237" s="47"/>
      <c r="J237" s="407"/>
      <c r="K237" s="493"/>
      <c r="L237" s="493"/>
      <c r="M237" s="47"/>
      <c r="N237" s="386"/>
      <c r="O237" s="497"/>
      <c r="P237" s="494"/>
    </row>
    <row r="238" spans="1:16" ht="15.75" customHeight="1">
      <c r="A238" s="1"/>
      <c r="B238" s="103"/>
      <c r="C238" s="8"/>
      <c r="E238" s="29"/>
      <c r="F238" s="47"/>
      <c r="J238" s="407"/>
      <c r="K238" s="493"/>
      <c r="L238" s="493"/>
      <c r="M238" s="47"/>
      <c r="N238" s="386"/>
      <c r="O238" s="497"/>
      <c r="P238" s="494"/>
    </row>
    <row r="239" spans="1:16" ht="15.75" customHeight="1">
      <c r="A239" s="1"/>
      <c r="B239" s="103"/>
      <c r="C239" s="8"/>
      <c r="E239" s="29"/>
      <c r="F239" s="47"/>
      <c r="J239" s="407"/>
      <c r="K239" s="493"/>
      <c r="L239" s="493"/>
      <c r="M239" s="47"/>
      <c r="N239" s="386"/>
      <c r="O239" s="497"/>
      <c r="P239" s="494"/>
    </row>
    <row r="240" spans="1:16" ht="15.75" customHeight="1">
      <c r="A240" s="1"/>
      <c r="B240" s="103"/>
      <c r="C240" s="8"/>
      <c r="E240" s="29"/>
      <c r="F240" s="47"/>
      <c r="J240" s="407"/>
      <c r="K240" s="493"/>
      <c r="L240" s="493"/>
      <c r="M240" s="47"/>
      <c r="N240" s="386"/>
      <c r="O240" s="497"/>
      <c r="P240" s="494"/>
    </row>
    <row r="241" spans="1:16" ht="15.75" customHeight="1">
      <c r="A241" s="1"/>
      <c r="B241" s="103"/>
      <c r="C241" s="8"/>
      <c r="E241" s="29"/>
      <c r="F241" s="47"/>
      <c r="J241" s="407"/>
      <c r="K241" s="493"/>
      <c r="L241" s="493"/>
      <c r="M241" s="47"/>
      <c r="N241" s="386"/>
      <c r="O241" s="497"/>
      <c r="P241" s="494"/>
    </row>
    <row r="242" spans="1:16" ht="15.75" customHeight="1">
      <c r="A242" s="1"/>
      <c r="B242" s="103"/>
      <c r="C242" s="8"/>
      <c r="E242" s="29"/>
      <c r="F242" s="47"/>
      <c r="J242" s="407"/>
      <c r="K242" s="493"/>
      <c r="L242" s="493"/>
      <c r="M242" s="47"/>
      <c r="N242" s="386"/>
      <c r="O242" s="497"/>
      <c r="P242" s="494"/>
    </row>
    <row r="243" spans="1:16" ht="15.75" customHeight="1">
      <c r="A243" s="1"/>
      <c r="B243" s="103"/>
      <c r="C243" s="8"/>
      <c r="E243" s="29"/>
      <c r="F243" s="47"/>
      <c r="J243" s="407"/>
      <c r="K243" s="493"/>
      <c r="L243" s="493"/>
      <c r="M243" s="47"/>
      <c r="N243" s="386"/>
      <c r="O243" s="497"/>
      <c r="P243" s="494"/>
    </row>
    <row r="244" spans="1:16" ht="15.75" customHeight="1">
      <c r="A244" s="1"/>
      <c r="B244" s="103"/>
      <c r="C244" s="8"/>
      <c r="E244" s="29"/>
      <c r="F244" s="47"/>
      <c r="J244" s="407"/>
      <c r="K244" s="493"/>
      <c r="L244" s="493"/>
      <c r="M244" s="47"/>
      <c r="N244" s="386"/>
      <c r="O244" s="497"/>
      <c r="P244" s="494"/>
    </row>
    <row r="245" spans="1:16" ht="15.75" customHeight="1">
      <c r="A245" s="1"/>
      <c r="B245" s="103"/>
      <c r="C245" s="8"/>
      <c r="E245" s="29"/>
      <c r="F245" s="47"/>
      <c r="J245" s="407"/>
      <c r="K245" s="493"/>
      <c r="L245" s="493"/>
      <c r="M245" s="47"/>
      <c r="N245" s="386"/>
      <c r="O245" s="497"/>
      <c r="P245" s="494"/>
    </row>
    <row r="246" spans="1:16" ht="15.75" customHeight="1">
      <c r="A246" s="1"/>
      <c r="B246" s="103"/>
      <c r="C246" s="8"/>
      <c r="E246" s="29"/>
      <c r="F246" s="47"/>
      <c r="J246" s="407"/>
      <c r="K246" s="493"/>
      <c r="L246" s="493"/>
      <c r="M246" s="47"/>
      <c r="N246" s="386"/>
      <c r="O246" s="497"/>
      <c r="P246" s="494"/>
    </row>
    <row r="247" spans="1:16" ht="15.75" customHeight="1">
      <c r="A247" s="1"/>
      <c r="B247" s="103"/>
      <c r="C247" s="8"/>
      <c r="E247" s="29"/>
      <c r="F247" s="47"/>
      <c r="J247" s="407"/>
      <c r="K247" s="493"/>
      <c r="L247" s="493"/>
      <c r="M247" s="47"/>
      <c r="N247" s="386"/>
      <c r="O247" s="497"/>
      <c r="P247" s="494"/>
    </row>
    <row r="248" spans="1:16" ht="15.75" customHeight="1">
      <c r="A248" s="1"/>
      <c r="B248" s="103"/>
      <c r="C248" s="8"/>
      <c r="E248" s="29"/>
      <c r="F248" s="47"/>
      <c r="J248" s="407"/>
      <c r="K248" s="493"/>
      <c r="L248" s="493"/>
      <c r="M248" s="47"/>
      <c r="N248" s="386"/>
      <c r="O248" s="497"/>
      <c r="P248" s="494"/>
    </row>
    <row r="249" spans="1:16" ht="15.75" customHeight="1">
      <c r="A249" s="1"/>
      <c r="B249" s="103"/>
      <c r="C249" s="8"/>
      <c r="E249" s="29"/>
      <c r="F249" s="47"/>
      <c r="J249" s="407"/>
      <c r="K249" s="493"/>
      <c r="L249" s="493"/>
      <c r="M249" s="47"/>
      <c r="N249" s="386"/>
      <c r="O249" s="497"/>
      <c r="P249" s="494"/>
    </row>
    <row r="250" spans="1:16" ht="15.75" customHeight="1">
      <c r="A250" s="1"/>
      <c r="B250" s="103"/>
      <c r="C250" s="8"/>
      <c r="E250" s="29"/>
      <c r="F250" s="47"/>
      <c r="J250" s="407"/>
      <c r="K250" s="493"/>
      <c r="L250" s="493"/>
      <c r="M250" s="47"/>
      <c r="N250" s="386"/>
      <c r="O250" s="497"/>
      <c r="P250" s="494"/>
    </row>
    <row r="251" spans="1:16" ht="15.75" customHeight="1">
      <c r="A251" s="1"/>
      <c r="B251" s="103"/>
      <c r="C251" s="8"/>
      <c r="E251" s="29"/>
      <c r="F251" s="47"/>
      <c r="J251" s="407"/>
      <c r="K251" s="493"/>
      <c r="L251" s="493"/>
      <c r="M251" s="47"/>
      <c r="N251" s="386"/>
      <c r="O251" s="497"/>
      <c r="P251" s="494"/>
    </row>
    <row r="252" spans="1:16" ht="15.75" customHeight="1">
      <c r="A252" s="1"/>
      <c r="B252" s="103"/>
      <c r="C252" s="8"/>
      <c r="E252" s="29"/>
      <c r="F252" s="47"/>
      <c r="J252" s="407"/>
      <c r="K252" s="493"/>
      <c r="L252" s="493"/>
      <c r="M252" s="47"/>
      <c r="N252" s="386"/>
      <c r="O252" s="497"/>
      <c r="P252" s="494"/>
    </row>
    <row r="253" spans="1:16" ht="15.75" customHeight="1">
      <c r="A253" s="1"/>
      <c r="B253" s="103"/>
      <c r="C253" s="8"/>
      <c r="E253" s="29"/>
      <c r="F253" s="47"/>
      <c r="J253" s="407"/>
      <c r="K253" s="493"/>
      <c r="L253" s="493"/>
      <c r="M253" s="47"/>
      <c r="N253" s="386"/>
      <c r="O253" s="497"/>
      <c r="P253" s="494"/>
    </row>
    <row r="254" spans="1:16" ht="15.75" customHeight="1">
      <c r="A254" s="1"/>
      <c r="B254" s="103"/>
      <c r="C254" s="8"/>
      <c r="E254" s="29"/>
      <c r="F254" s="47"/>
      <c r="J254" s="407"/>
      <c r="K254" s="493"/>
      <c r="L254" s="493"/>
      <c r="M254" s="47"/>
      <c r="N254" s="386"/>
      <c r="O254" s="497"/>
      <c r="P254" s="494"/>
    </row>
    <row r="255" spans="1:16" ht="15.75" customHeight="1">
      <c r="A255" s="1"/>
      <c r="B255" s="103"/>
      <c r="C255" s="8"/>
      <c r="E255" s="29"/>
      <c r="F255" s="47"/>
      <c r="J255" s="407"/>
      <c r="K255" s="493"/>
      <c r="L255" s="493"/>
      <c r="M255" s="47"/>
      <c r="N255" s="386"/>
      <c r="O255" s="497"/>
      <c r="P255" s="494"/>
    </row>
    <row r="256" spans="1:16" ht="15.75" customHeight="1">
      <c r="A256" s="1"/>
      <c r="B256" s="103"/>
      <c r="C256" s="8"/>
      <c r="E256" s="29"/>
      <c r="F256" s="47"/>
      <c r="J256" s="407"/>
      <c r="K256" s="493"/>
      <c r="L256" s="493"/>
      <c r="M256" s="47"/>
      <c r="N256" s="386"/>
      <c r="O256" s="497"/>
      <c r="P256" s="494"/>
    </row>
    <row r="257" spans="1:16" ht="15.75" customHeight="1">
      <c r="A257" s="1"/>
      <c r="B257" s="103"/>
      <c r="C257" s="8"/>
      <c r="E257" s="29"/>
      <c r="F257" s="47"/>
      <c r="J257" s="407"/>
      <c r="K257" s="493"/>
      <c r="L257" s="493"/>
      <c r="M257" s="47"/>
      <c r="N257" s="386"/>
      <c r="O257" s="497"/>
      <c r="P257" s="494"/>
    </row>
    <row r="258" spans="1:16" ht="15.75" customHeight="1">
      <c r="A258" s="1"/>
      <c r="B258" s="103"/>
      <c r="C258" s="8"/>
      <c r="E258" s="29"/>
      <c r="F258" s="47"/>
      <c r="J258" s="407"/>
      <c r="K258" s="493"/>
      <c r="L258" s="493"/>
      <c r="M258" s="47"/>
      <c r="N258" s="386"/>
      <c r="O258" s="497"/>
      <c r="P258" s="494"/>
    </row>
    <row r="259" spans="1:16" ht="15.75" customHeight="1">
      <c r="A259" s="1"/>
      <c r="B259" s="103"/>
      <c r="C259" s="8"/>
      <c r="E259" s="29"/>
      <c r="F259" s="47"/>
      <c r="J259" s="407"/>
      <c r="K259" s="493"/>
      <c r="L259" s="493"/>
      <c r="M259" s="47"/>
      <c r="N259" s="386"/>
      <c r="O259" s="497"/>
      <c r="P259" s="494"/>
    </row>
    <row r="260" spans="1:16" ht="15.75" customHeight="1">
      <c r="A260" s="1"/>
      <c r="B260" s="103"/>
      <c r="C260" s="8"/>
      <c r="E260" s="29"/>
      <c r="F260" s="47"/>
      <c r="J260" s="407"/>
      <c r="K260" s="493"/>
      <c r="L260" s="493"/>
      <c r="M260" s="47"/>
      <c r="N260" s="386"/>
      <c r="O260" s="497"/>
      <c r="P260" s="494"/>
    </row>
    <row r="261" spans="1:16" ht="15.75" customHeight="1">
      <c r="A261" s="1"/>
      <c r="B261" s="103"/>
      <c r="C261" s="8"/>
      <c r="E261" s="29"/>
      <c r="F261" s="47"/>
      <c r="J261" s="407"/>
      <c r="K261" s="493"/>
      <c r="L261" s="493"/>
      <c r="M261" s="47"/>
      <c r="N261" s="386"/>
      <c r="O261" s="497"/>
      <c r="P261" s="494"/>
    </row>
    <row r="262" spans="1:16" ht="15.75" customHeight="1">
      <c r="A262" s="1"/>
      <c r="B262" s="103"/>
      <c r="C262" s="8"/>
      <c r="E262" s="29"/>
      <c r="F262" s="47"/>
      <c r="J262" s="407"/>
      <c r="K262" s="493"/>
      <c r="L262" s="493"/>
      <c r="M262" s="47"/>
      <c r="N262" s="386"/>
      <c r="O262" s="497"/>
      <c r="P262" s="494"/>
    </row>
    <row r="263" spans="1:16" ht="15.75" customHeight="1">
      <c r="A263" s="1"/>
      <c r="B263" s="103"/>
      <c r="C263" s="8"/>
      <c r="E263" s="29"/>
      <c r="F263" s="47"/>
      <c r="J263" s="407"/>
      <c r="K263" s="493"/>
      <c r="L263" s="493"/>
      <c r="M263" s="47"/>
      <c r="N263" s="386"/>
      <c r="O263" s="497"/>
      <c r="P263" s="494"/>
    </row>
    <row r="264" spans="1:16" ht="15.75" customHeight="1">
      <c r="A264" s="1"/>
      <c r="B264" s="103"/>
      <c r="C264" s="8"/>
      <c r="E264" s="29"/>
      <c r="F264" s="47"/>
      <c r="J264" s="407"/>
      <c r="K264" s="493"/>
      <c r="L264" s="493"/>
      <c r="M264" s="47"/>
      <c r="N264" s="386"/>
      <c r="O264" s="497"/>
      <c r="P264" s="494"/>
    </row>
    <row r="265" spans="1:16" ht="15.75" customHeight="1">
      <c r="A265" s="1"/>
      <c r="B265" s="103"/>
      <c r="C265" s="8"/>
      <c r="E265" s="29"/>
      <c r="F265" s="47"/>
      <c r="J265" s="407"/>
      <c r="K265" s="493"/>
      <c r="L265" s="493"/>
      <c r="M265" s="47"/>
      <c r="N265" s="386"/>
      <c r="O265" s="497"/>
      <c r="P265" s="494"/>
    </row>
    <row r="266" spans="1:16" ht="15.75" customHeight="1">
      <c r="A266" s="1"/>
      <c r="B266" s="103"/>
      <c r="C266" s="8"/>
      <c r="E266" s="29"/>
      <c r="F266" s="47"/>
      <c r="J266" s="407"/>
      <c r="K266" s="493"/>
      <c r="L266" s="493"/>
      <c r="M266" s="47"/>
      <c r="N266" s="386"/>
      <c r="O266" s="497"/>
      <c r="P266" s="494"/>
    </row>
    <row r="267" spans="1:16" ht="15.75" customHeight="1">
      <c r="A267" s="1"/>
      <c r="B267" s="103"/>
      <c r="C267" s="8"/>
      <c r="E267" s="29"/>
      <c r="F267" s="47"/>
      <c r="J267" s="407"/>
      <c r="K267" s="493"/>
      <c r="L267" s="493"/>
      <c r="M267" s="47"/>
      <c r="N267" s="386"/>
      <c r="O267" s="497"/>
      <c r="P267" s="494"/>
    </row>
    <row r="268" spans="1:16" ht="15.75" customHeight="1">
      <c r="A268" s="1"/>
      <c r="B268" s="103"/>
      <c r="C268" s="8"/>
      <c r="E268" s="29"/>
      <c r="F268" s="47"/>
      <c r="J268" s="407"/>
      <c r="K268" s="493"/>
      <c r="L268" s="493"/>
      <c r="M268" s="47"/>
      <c r="N268" s="386"/>
      <c r="O268" s="497"/>
      <c r="P268" s="494"/>
    </row>
    <row r="269" spans="1:16" ht="15.75" customHeight="1">
      <c r="A269" s="1"/>
      <c r="B269" s="103"/>
      <c r="C269" s="8"/>
      <c r="E269" s="29"/>
      <c r="F269" s="47"/>
      <c r="J269" s="407"/>
      <c r="K269" s="493"/>
      <c r="L269" s="493"/>
      <c r="M269" s="47"/>
      <c r="N269" s="386"/>
      <c r="O269" s="497"/>
      <c r="P269" s="494"/>
    </row>
    <row r="270" spans="1:16" ht="15.75" customHeight="1">
      <c r="A270" s="1"/>
      <c r="B270" s="103"/>
      <c r="C270" s="8"/>
      <c r="E270" s="29"/>
      <c r="F270" s="47"/>
      <c r="J270" s="407"/>
      <c r="K270" s="493"/>
      <c r="L270" s="493"/>
      <c r="M270" s="47"/>
      <c r="N270" s="386"/>
      <c r="O270" s="497"/>
      <c r="P270" s="494"/>
    </row>
    <row r="271" spans="1:16" ht="15.75" customHeight="1">
      <c r="A271" s="1"/>
      <c r="B271" s="103"/>
      <c r="C271" s="8"/>
      <c r="E271" s="29"/>
      <c r="F271" s="47"/>
      <c r="J271" s="407"/>
      <c r="K271" s="493"/>
      <c r="L271" s="493"/>
      <c r="M271" s="47"/>
      <c r="N271" s="386"/>
      <c r="O271" s="497"/>
      <c r="P271" s="494"/>
    </row>
    <row r="272" spans="1:16" ht="15.75" customHeight="1">
      <c r="A272" s="1"/>
      <c r="B272" s="103"/>
      <c r="C272" s="8"/>
      <c r="E272" s="29"/>
      <c r="F272" s="47"/>
      <c r="J272" s="407"/>
      <c r="K272" s="493"/>
      <c r="L272" s="493"/>
      <c r="M272" s="47"/>
      <c r="N272" s="386"/>
      <c r="O272" s="497"/>
      <c r="P272" s="494"/>
    </row>
    <row r="273" spans="1:16" ht="15.75" customHeight="1">
      <c r="A273" s="1"/>
      <c r="B273" s="103"/>
      <c r="C273" s="8"/>
      <c r="E273" s="29"/>
      <c r="F273" s="47"/>
      <c r="J273" s="407"/>
      <c r="K273" s="493"/>
      <c r="L273" s="493"/>
      <c r="M273" s="47"/>
      <c r="N273" s="386"/>
      <c r="O273" s="497"/>
      <c r="P273" s="494"/>
    </row>
    <row r="274" spans="1:16" ht="15.75" customHeight="1">
      <c r="A274" s="1"/>
      <c r="B274" s="103"/>
      <c r="C274" s="8"/>
      <c r="E274" s="29"/>
      <c r="F274" s="47"/>
      <c r="J274" s="407"/>
      <c r="K274" s="493"/>
      <c r="L274" s="493"/>
      <c r="M274" s="47"/>
      <c r="N274" s="386"/>
      <c r="O274" s="497"/>
      <c r="P274" s="494"/>
    </row>
    <row r="275" spans="1:16" ht="15.75" customHeight="1">
      <c r="A275" s="1"/>
      <c r="B275" s="103"/>
      <c r="C275" s="8"/>
      <c r="E275" s="29"/>
      <c r="F275" s="47"/>
      <c r="J275" s="407"/>
      <c r="K275" s="493"/>
      <c r="L275" s="493"/>
      <c r="M275" s="47"/>
      <c r="N275" s="386"/>
      <c r="O275" s="497"/>
      <c r="P275" s="494"/>
    </row>
    <row r="276" spans="1:16" ht="15.75" customHeight="1">
      <c r="A276" s="1"/>
      <c r="B276" s="103"/>
      <c r="C276" s="8"/>
      <c r="E276" s="29"/>
      <c r="F276" s="47"/>
      <c r="J276" s="407"/>
      <c r="K276" s="493"/>
      <c r="L276" s="493"/>
      <c r="M276" s="47"/>
      <c r="N276" s="386"/>
      <c r="O276" s="497"/>
      <c r="P276" s="494"/>
    </row>
    <row r="277" spans="1:16" ht="15.75" customHeight="1">
      <c r="A277" s="1"/>
      <c r="B277" s="103"/>
      <c r="C277" s="8"/>
      <c r="E277" s="29"/>
      <c r="F277" s="47"/>
      <c r="J277" s="407"/>
      <c r="K277" s="493"/>
      <c r="L277" s="493"/>
      <c r="M277" s="47"/>
      <c r="N277" s="386"/>
      <c r="O277" s="497"/>
      <c r="P277" s="494"/>
    </row>
    <row r="278" spans="1:16" ht="15.75" customHeight="1">
      <c r="A278" s="1"/>
      <c r="B278" s="103"/>
      <c r="C278" s="8"/>
      <c r="E278" s="29"/>
      <c r="F278" s="47"/>
      <c r="J278" s="407"/>
      <c r="K278" s="493"/>
      <c r="L278" s="493"/>
      <c r="M278" s="47"/>
      <c r="N278" s="386"/>
      <c r="O278" s="497"/>
      <c r="P278" s="494"/>
    </row>
    <row r="279" spans="1:16" ht="15.75" customHeight="1">
      <c r="A279" s="1"/>
      <c r="B279" s="103"/>
      <c r="C279" s="8"/>
      <c r="E279" s="29"/>
      <c r="F279" s="47"/>
      <c r="J279" s="407"/>
      <c r="K279" s="493"/>
      <c r="L279" s="493"/>
      <c r="M279" s="47"/>
      <c r="N279" s="386"/>
      <c r="O279" s="497"/>
      <c r="P279" s="494"/>
    </row>
    <row r="280" spans="1:16" ht="15.75" customHeight="1">
      <c r="A280" s="1"/>
      <c r="B280" s="103"/>
      <c r="C280" s="8"/>
      <c r="E280" s="29"/>
      <c r="F280" s="47"/>
      <c r="J280" s="407"/>
      <c r="K280" s="493"/>
      <c r="L280" s="493"/>
      <c r="M280" s="47"/>
      <c r="N280" s="386"/>
      <c r="O280" s="497"/>
      <c r="P280" s="494"/>
    </row>
    <row r="281" spans="1:16" ht="15.75" customHeight="1">
      <c r="A281" s="1"/>
      <c r="B281" s="103"/>
      <c r="C281" s="8"/>
      <c r="E281" s="29"/>
      <c r="F281" s="47"/>
      <c r="J281" s="407"/>
      <c r="K281" s="493"/>
      <c r="L281" s="493"/>
      <c r="M281" s="47"/>
      <c r="N281" s="386"/>
      <c r="O281" s="497"/>
      <c r="P281" s="494"/>
    </row>
    <row r="282" spans="1:16" ht="15.75" customHeight="1">
      <c r="A282" s="1"/>
      <c r="B282" s="103"/>
      <c r="C282" s="8"/>
      <c r="E282" s="29"/>
      <c r="F282" s="47"/>
      <c r="J282" s="407"/>
      <c r="K282" s="493"/>
      <c r="L282" s="493"/>
      <c r="M282" s="47"/>
      <c r="N282" s="386"/>
      <c r="O282" s="497"/>
      <c r="P282" s="494"/>
    </row>
    <row r="283" spans="1:16" ht="15.75" customHeight="1">
      <c r="A283" s="1"/>
      <c r="B283" s="103"/>
      <c r="C283" s="8"/>
      <c r="E283" s="29"/>
      <c r="F283" s="47"/>
      <c r="J283" s="407"/>
      <c r="K283" s="493"/>
      <c r="L283" s="493"/>
      <c r="M283" s="47"/>
      <c r="N283" s="386"/>
      <c r="O283" s="497"/>
      <c r="P283" s="494"/>
    </row>
    <row r="284" spans="1:16" ht="15.75" customHeight="1">
      <c r="A284" s="1"/>
      <c r="B284" s="103"/>
      <c r="C284" s="8"/>
      <c r="E284" s="29"/>
      <c r="F284" s="47"/>
      <c r="J284" s="407"/>
      <c r="K284" s="493"/>
      <c r="L284" s="493"/>
      <c r="M284" s="47"/>
      <c r="N284" s="386"/>
      <c r="O284" s="497"/>
      <c r="P284" s="494"/>
    </row>
    <row r="285" spans="1:16" ht="15.75" customHeight="1">
      <c r="A285" s="1"/>
      <c r="B285" s="103"/>
      <c r="C285" s="8"/>
      <c r="E285" s="29"/>
      <c r="F285" s="47"/>
      <c r="J285" s="407"/>
      <c r="K285" s="493"/>
      <c r="L285" s="493"/>
      <c r="M285" s="47"/>
      <c r="N285" s="386"/>
      <c r="O285" s="497"/>
      <c r="P285" s="494"/>
    </row>
    <row r="286" spans="1:16" ht="15.75" customHeight="1">
      <c r="A286" s="1"/>
      <c r="B286" s="103"/>
      <c r="C286" s="8"/>
      <c r="E286" s="29"/>
      <c r="F286" s="47"/>
      <c r="J286" s="407"/>
      <c r="K286" s="493"/>
      <c r="L286" s="493"/>
      <c r="M286" s="47"/>
      <c r="N286" s="386"/>
      <c r="O286" s="497"/>
      <c r="P286" s="494"/>
    </row>
    <row r="287" spans="1:16" ht="15.75" customHeight="1">
      <c r="A287" s="1"/>
      <c r="B287" s="103"/>
      <c r="C287" s="8"/>
      <c r="E287" s="29"/>
      <c r="F287" s="47"/>
      <c r="J287" s="407"/>
      <c r="K287" s="493"/>
      <c r="L287" s="493"/>
      <c r="M287" s="47"/>
      <c r="N287" s="386"/>
      <c r="O287" s="497"/>
      <c r="P287" s="494"/>
    </row>
    <row r="288" spans="1:16" ht="15.75" customHeight="1">
      <c r="A288" s="1"/>
      <c r="B288" s="103"/>
      <c r="C288" s="8"/>
      <c r="E288" s="29"/>
      <c r="F288" s="47"/>
      <c r="J288" s="407"/>
      <c r="K288" s="493"/>
      <c r="L288" s="493"/>
      <c r="M288" s="47"/>
      <c r="N288" s="386"/>
      <c r="O288" s="497"/>
      <c r="P288" s="494"/>
    </row>
    <row r="289" spans="1:16" ht="15.75" customHeight="1">
      <c r="A289" s="1"/>
      <c r="B289" s="103"/>
      <c r="C289" s="8"/>
      <c r="E289" s="29"/>
      <c r="F289" s="47"/>
      <c r="J289" s="407"/>
      <c r="K289" s="493"/>
      <c r="L289" s="493"/>
      <c r="M289" s="47"/>
      <c r="N289" s="386"/>
      <c r="O289" s="497"/>
      <c r="P289" s="494"/>
    </row>
    <row r="290" spans="1:16" ht="15.75" customHeight="1">
      <c r="A290" s="1"/>
      <c r="B290" s="103"/>
      <c r="C290" s="8"/>
      <c r="E290" s="29"/>
      <c r="F290" s="47"/>
      <c r="J290" s="407"/>
      <c r="K290" s="493"/>
      <c r="L290" s="493"/>
      <c r="M290" s="47"/>
      <c r="N290" s="386"/>
      <c r="O290" s="497"/>
      <c r="P290" s="494"/>
    </row>
    <row r="291" spans="1:16" ht="15.75" customHeight="1">
      <c r="A291" s="1"/>
      <c r="B291" s="103"/>
      <c r="C291" s="8"/>
      <c r="E291" s="29"/>
      <c r="F291" s="47"/>
      <c r="J291" s="407"/>
      <c r="K291" s="493"/>
      <c r="L291" s="493"/>
      <c r="M291" s="47"/>
      <c r="N291" s="386"/>
      <c r="O291" s="497"/>
      <c r="P291" s="494"/>
    </row>
    <row r="292" spans="1:16" ht="15.75" customHeight="1">
      <c r="A292" s="1"/>
      <c r="B292" s="103"/>
      <c r="C292" s="8"/>
      <c r="E292" s="29"/>
      <c r="F292" s="47"/>
      <c r="J292" s="407"/>
      <c r="K292" s="493"/>
      <c r="L292" s="493"/>
      <c r="M292" s="47"/>
      <c r="N292" s="386"/>
      <c r="O292" s="497"/>
      <c r="P292" s="494"/>
    </row>
    <row r="293" spans="1:16" ht="15.75" customHeight="1">
      <c r="A293" s="1"/>
      <c r="B293" s="103"/>
      <c r="C293" s="8"/>
      <c r="E293" s="29"/>
      <c r="F293" s="47"/>
      <c r="J293" s="407"/>
      <c r="K293" s="493"/>
      <c r="L293" s="493"/>
      <c r="M293" s="47"/>
      <c r="N293" s="386"/>
      <c r="O293" s="497"/>
      <c r="P293" s="494"/>
    </row>
    <row r="294" spans="1:16" ht="15.75" customHeight="1">
      <c r="A294" s="1"/>
      <c r="B294" s="103"/>
      <c r="C294" s="8"/>
      <c r="E294" s="29"/>
      <c r="F294" s="47"/>
      <c r="J294" s="407"/>
      <c r="K294" s="493"/>
      <c r="L294" s="493"/>
      <c r="M294" s="47"/>
      <c r="N294" s="386"/>
      <c r="O294" s="497"/>
      <c r="P294" s="494"/>
    </row>
    <row r="295" spans="1:16" ht="15.75" customHeight="1">
      <c r="A295" s="1"/>
      <c r="B295" s="103"/>
      <c r="C295" s="8"/>
      <c r="E295" s="29"/>
      <c r="F295" s="47"/>
      <c r="J295" s="407"/>
      <c r="K295" s="493"/>
      <c r="L295" s="493"/>
      <c r="M295" s="47"/>
      <c r="N295" s="386"/>
      <c r="O295" s="497"/>
      <c r="P295" s="494"/>
    </row>
    <row r="296" spans="1:16" ht="15.75" customHeight="1">
      <c r="A296" s="1"/>
      <c r="B296" s="103"/>
      <c r="C296" s="8"/>
      <c r="E296" s="29"/>
      <c r="F296" s="47"/>
      <c r="J296" s="407"/>
      <c r="K296" s="493"/>
      <c r="L296" s="493"/>
      <c r="M296" s="47"/>
      <c r="N296" s="386"/>
      <c r="O296" s="497"/>
      <c r="P296" s="494"/>
    </row>
    <row r="297" spans="1:16" ht="15.75" customHeight="1">
      <c r="A297" s="1"/>
      <c r="B297" s="103"/>
      <c r="C297" s="8"/>
      <c r="E297" s="29"/>
      <c r="F297" s="47"/>
      <c r="J297" s="407"/>
      <c r="K297" s="493"/>
      <c r="L297" s="493"/>
      <c r="M297" s="47"/>
      <c r="N297" s="386"/>
      <c r="O297" s="497"/>
      <c r="P297" s="494"/>
    </row>
    <row r="298" spans="1:16" ht="15.75" customHeight="1">
      <c r="A298" s="1"/>
      <c r="B298" s="103"/>
      <c r="C298" s="8"/>
      <c r="E298" s="29"/>
      <c r="F298" s="47"/>
      <c r="J298" s="407"/>
      <c r="K298" s="493"/>
      <c r="L298" s="493"/>
      <c r="M298" s="47"/>
      <c r="N298" s="386"/>
      <c r="O298" s="497"/>
      <c r="P298" s="494"/>
    </row>
    <row r="299" spans="1:16" ht="15.75" customHeight="1">
      <c r="A299" s="1"/>
      <c r="B299" s="103"/>
      <c r="C299" s="8"/>
      <c r="E299" s="29"/>
      <c r="F299" s="47"/>
      <c r="J299" s="407"/>
      <c r="K299" s="493"/>
      <c r="L299" s="493"/>
      <c r="M299" s="47"/>
      <c r="N299" s="386"/>
      <c r="O299" s="497"/>
      <c r="P299" s="494"/>
    </row>
    <row r="300" spans="1:16" ht="15.75" customHeight="1">
      <c r="A300" s="1"/>
      <c r="B300" s="103"/>
      <c r="C300" s="8"/>
      <c r="E300" s="29"/>
      <c r="F300" s="47"/>
      <c r="J300" s="407"/>
      <c r="K300" s="493"/>
      <c r="L300" s="493"/>
      <c r="M300" s="47"/>
      <c r="N300" s="386"/>
      <c r="O300" s="497"/>
      <c r="P300" s="494"/>
    </row>
    <row r="301" spans="1:16" ht="15.75" customHeight="1">
      <c r="A301" s="1"/>
      <c r="B301" s="103"/>
      <c r="C301" s="8"/>
      <c r="E301" s="29"/>
      <c r="F301" s="47"/>
      <c r="J301" s="407"/>
      <c r="K301" s="493"/>
      <c r="L301" s="493"/>
      <c r="M301" s="47"/>
      <c r="N301" s="386"/>
      <c r="O301" s="497"/>
      <c r="P301" s="494"/>
    </row>
    <row r="302" spans="1:16" ht="15.75" customHeight="1">
      <c r="A302" s="1"/>
      <c r="B302" s="103"/>
      <c r="C302" s="8"/>
      <c r="E302" s="29"/>
      <c r="F302" s="47"/>
      <c r="J302" s="407"/>
      <c r="K302" s="493"/>
      <c r="L302" s="493"/>
      <c r="M302" s="47"/>
      <c r="N302" s="386"/>
      <c r="O302" s="497"/>
      <c r="P302" s="494"/>
    </row>
    <row r="303" spans="1:16" ht="15.75" customHeight="1">
      <c r="A303" s="1"/>
      <c r="B303" s="103"/>
      <c r="C303" s="8"/>
      <c r="E303" s="29"/>
      <c r="F303" s="47"/>
      <c r="J303" s="407"/>
      <c r="K303" s="493"/>
      <c r="L303" s="493"/>
      <c r="M303" s="47"/>
      <c r="N303" s="386"/>
      <c r="O303" s="497"/>
      <c r="P303" s="494"/>
    </row>
    <row r="304" spans="1:16" ht="15.75" customHeight="1">
      <c r="A304" s="1"/>
      <c r="B304" s="103"/>
      <c r="C304" s="8"/>
      <c r="E304" s="29"/>
      <c r="F304" s="47"/>
      <c r="J304" s="407"/>
      <c r="K304" s="493"/>
      <c r="L304" s="493"/>
      <c r="M304" s="47"/>
      <c r="N304" s="386"/>
      <c r="O304" s="497"/>
      <c r="P304" s="494"/>
    </row>
    <row r="305" spans="1:16" ht="15.75" customHeight="1">
      <c r="A305" s="1"/>
      <c r="B305" s="103"/>
      <c r="C305" s="8"/>
      <c r="E305" s="29"/>
      <c r="F305" s="47"/>
      <c r="J305" s="407"/>
      <c r="K305" s="493"/>
      <c r="L305" s="493"/>
      <c r="M305" s="47"/>
      <c r="N305" s="386"/>
      <c r="O305" s="497"/>
      <c r="P305" s="494"/>
    </row>
    <row r="306" spans="1:16" ht="15.75" customHeight="1">
      <c r="A306" s="1"/>
      <c r="B306" s="103"/>
      <c r="C306" s="8"/>
      <c r="E306" s="29"/>
      <c r="F306" s="47"/>
      <c r="J306" s="407"/>
      <c r="K306" s="493"/>
      <c r="L306" s="493"/>
      <c r="M306" s="47"/>
      <c r="N306" s="386"/>
      <c r="O306" s="497"/>
      <c r="P306" s="494"/>
    </row>
    <row r="307" spans="1:16" ht="15.75" customHeight="1">
      <c r="A307" s="1"/>
      <c r="B307" s="103"/>
      <c r="C307" s="8"/>
      <c r="E307" s="29"/>
      <c r="F307" s="47"/>
      <c r="J307" s="407"/>
      <c r="K307" s="493"/>
      <c r="L307" s="493"/>
      <c r="M307" s="47"/>
      <c r="N307" s="386"/>
      <c r="O307" s="497"/>
      <c r="P307" s="494"/>
    </row>
    <row r="308" spans="1:16" ht="15.75" customHeight="1">
      <c r="A308" s="1"/>
      <c r="B308" s="103"/>
      <c r="C308" s="8"/>
      <c r="E308" s="29"/>
      <c r="F308" s="47"/>
      <c r="J308" s="407"/>
      <c r="K308" s="493"/>
      <c r="L308" s="493"/>
      <c r="M308" s="47"/>
      <c r="N308" s="386"/>
      <c r="O308" s="497"/>
      <c r="P308" s="494"/>
    </row>
    <row r="309" spans="1:16" ht="15.75" customHeight="1">
      <c r="A309" s="1"/>
      <c r="B309" s="103"/>
      <c r="C309" s="8"/>
      <c r="E309" s="29"/>
      <c r="F309" s="47"/>
      <c r="J309" s="407"/>
      <c r="K309" s="493"/>
      <c r="L309" s="493"/>
      <c r="M309" s="47"/>
      <c r="N309" s="386"/>
      <c r="O309" s="497"/>
      <c r="P309" s="494"/>
    </row>
    <row r="310" spans="1:16" ht="15.75" customHeight="1">
      <c r="A310" s="1"/>
      <c r="B310" s="103"/>
      <c r="C310" s="8"/>
      <c r="E310" s="29"/>
      <c r="F310" s="47"/>
      <c r="J310" s="407"/>
      <c r="K310" s="493"/>
      <c r="L310" s="493"/>
      <c r="M310" s="47"/>
      <c r="N310" s="386"/>
      <c r="O310" s="497"/>
      <c r="P310" s="494"/>
    </row>
    <row r="311" spans="1:16" ht="15.75" customHeight="1">
      <c r="A311" s="1"/>
      <c r="B311" s="103"/>
      <c r="C311" s="8"/>
      <c r="E311" s="29"/>
      <c r="F311" s="47"/>
      <c r="J311" s="407"/>
      <c r="K311" s="493"/>
      <c r="L311" s="493"/>
      <c r="M311" s="47"/>
      <c r="N311" s="386"/>
      <c r="O311" s="497"/>
      <c r="P311" s="494"/>
    </row>
    <row r="312" spans="1:16" ht="15.75" customHeight="1">
      <c r="A312" s="1"/>
      <c r="B312" s="103"/>
      <c r="C312" s="8"/>
      <c r="E312" s="29"/>
      <c r="F312" s="47"/>
      <c r="J312" s="407"/>
      <c r="K312" s="493"/>
      <c r="L312" s="493"/>
      <c r="M312" s="47"/>
      <c r="N312" s="386"/>
      <c r="O312" s="497"/>
      <c r="P312" s="494"/>
    </row>
    <row r="313" spans="1:16" ht="15.75" customHeight="1">
      <c r="A313" s="1"/>
      <c r="B313" s="103"/>
      <c r="C313" s="8"/>
      <c r="E313" s="29"/>
      <c r="F313" s="47"/>
      <c r="J313" s="407"/>
      <c r="K313" s="493"/>
      <c r="L313" s="493"/>
      <c r="M313" s="47"/>
      <c r="N313" s="386"/>
      <c r="O313" s="497"/>
      <c r="P313" s="494"/>
    </row>
    <row r="314" spans="1:16" ht="15.75" customHeight="1">
      <c r="A314" s="1"/>
      <c r="B314" s="103"/>
      <c r="C314" s="8"/>
      <c r="E314" s="29"/>
      <c r="F314" s="47"/>
      <c r="J314" s="407"/>
      <c r="K314" s="493"/>
      <c r="L314" s="493"/>
      <c r="M314" s="47"/>
      <c r="N314" s="386"/>
      <c r="O314" s="497"/>
      <c r="P314" s="494"/>
    </row>
    <row r="315" spans="1:16" ht="15.75" customHeight="1">
      <c r="A315" s="1"/>
      <c r="B315" s="103"/>
      <c r="C315" s="8"/>
      <c r="E315" s="29"/>
      <c r="F315" s="47"/>
      <c r="J315" s="407"/>
      <c r="K315" s="493"/>
      <c r="L315" s="493"/>
      <c r="M315" s="47"/>
      <c r="N315" s="386"/>
      <c r="O315" s="497"/>
      <c r="P315" s="494"/>
    </row>
    <row r="316" spans="1:16" ht="15.75" customHeight="1">
      <c r="A316" s="1"/>
      <c r="B316" s="103"/>
      <c r="C316" s="8"/>
      <c r="E316" s="29"/>
      <c r="F316" s="47"/>
      <c r="J316" s="407"/>
      <c r="K316" s="493"/>
      <c r="L316" s="493"/>
      <c r="M316" s="47"/>
      <c r="N316" s="386"/>
      <c r="O316" s="497"/>
      <c r="P316" s="494"/>
    </row>
    <row r="317" spans="1:16" ht="15.75" customHeight="1">
      <c r="A317" s="1"/>
      <c r="B317" s="103"/>
      <c r="C317" s="8"/>
      <c r="E317" s="29"/>
      <c r="F317" s="47"/>
      <c r="J317" s="407"/>
      <c r="K317" s="493"/>
      <c r="L317" s="493"/>
      <c r="M317" s="47"/>
      <c r="N317" s="386"/>
      <c r="O317" s="497"/>
      <c r="P317" s="494"/>
    </row>
    <row r="318" spans="1:16" ht="15.75" customHeight="1">
      <c r="A318" s="1"/>
      <c r="B318" s="103"/>
      <c r="C318" s="8"/>
      <c r="E318" s="29"/>
      <c r="F318" s="47"/>
      <c r="J318" s="407"/>
      <c r="K318" s="493"/>
      <c r="L318" s="493"/>
      <c r="M318" s="47"/>
      <c r="N318" s="386"/>
      <c r="O318" s="497"/>
      <c r="P318" s="494"/>
    </row>
    <row r="319" spans="1:16" ht="15.75" customHeight="1">
      <c r="A319" s="1"/>
      <c r="B319" s="103"/>
      <c r="C319" s="8"/>
      <c r="E319" s="29"/>
      <c r="F319" s="47"/>
      <c r="J319" s="407"/>
      <c r="K319" s="493"/>
      <c r="L319" s="493"/>
      <c r="M319" s="47"/>
      <c r="N319" s="386"/>
      <c r="O319" s="497"/>
      <c r="P319" s="494"/>
    </row>
    <row r="320" spans="1:16" ht="15.75" customHeight="1">
      <c r="A320" s="1"/>
      <c r="B320" s="103"/>
      <c r="C320" s="8"/>
      <c r="E320" s="29"/>
      <c r="F320" s="47"/>
      <c r="J320" s="407"/>
      <c r="K320" s="493"/>
      <c r="L320" s="493"/>
      <c r="M320" s="47"/>
      <c r="N320" s="386"/>
      <c r="O320" s="497"/>
      <c r="P320" s="494"/>
    </row>
    <row r="321" spans="1:16" ht="15.75" customHeight="1">
      <c r="A321" s="1"/>
      <c r="B321" s="103"/>
      <c r="C321" s="8"/>
      <c r="E321" s="29"/>
      <c r="F321" s="47"/>
      <c r="J321" s="407"/>
      <c r="K321" s="493"/>
      <c r="L321" s="493"/>
      <c r="M321" s="47"/>
      <c r="N321" s="386"/>
      <c r="O321" s="497"/>
      <c r="P321" s="494"/>
    </row>
    <row r="322" spans="1:16" ht="15.75" customHeight="1">
      <c r="A322" s="1"/>
      <c r="B322" s="103"/>
      <c r="C322" s="8"/>
      <c r="E322" s="29"/>
      <c r="F322" s="47"/>
      <c r="J322" s="407"/>
      <c r="K322" s="493"/>
      <c r="L322" s="493"/>
      <c r="M322" s="47"/>
      <c r="N322" s="386"/>
      <c r="O322" s="497"/>
      <c r="P322" s="494"/>
    </row>
    <row r="323" spans="1:16" ht="15.75" customHeight="1">
      <c r="A323" s="1"/>
      <c r="B323" s="103"/>
      <c r="C323" s="8"/>
      <c r="E323" s="29"/>
      <c r="F323" s="47"/>
      <c r="J323" s="407"/>
      <c r="K323" s="493"/>
      <c r="L323" s="493"/>
      <c r="M323" s="47"/>
      <c r="N323" s="386"/>
      <c r="O323" s="497"/>
      <c r="P323" s="494"/>
    </row>
    <row r="324" spans="1:16" ht="15.75" customHeight="1">
      <c r="A324" s="1"/>
      <c r="B324" s="103"/>
      <c r="C324" s="8"/>
      <c r="E324" s="29"/>
      <c r="F324" s="47"/>
      <c r="J324" s="407"/>
      <c r="K324" s="493"/>
      <c r="L324" s="493"/>
      <c r="M324" s="47"/>
      <c r="N324" s="386"/>
      <c r="O324" s="497"/>
      <c r="P324" s="494"/>
    </row>
    <row r="325" spans="1:16" ht="15.75" customHeight="1">
      <c r="A325" s="1"/>
      <c r="B325" s="103"/>
      <c r="C325" s="8"/>
      <c r="E325" s="29"/>
      <c r="F325" s="47"/>
      <c r="J325" s="407"/>
      <c r="K325" s="493"/>
      <c r="L325" s="493"/>
      <c r="M325" s="47"/>
      <c r="N325" s="386"/>
      <c r="O325" s="497"/>
      <c r="P325" s="494"/>
    </row>
    <row r="326" spans="1:16" ht="15.75" customHeight="1">
      <c r="A326" s="1"/>
      <c r="B326" s="103"/>
      <c r="C326" s="8"/>
      <c r="E326" s="29"/>
      <c r="F326" s="47"/>
      <c r="J326" s="407"/>
      <c r="K326" s="493"/>
      <c r="L326" s="493"/>
      <c r="M326" s="47"/>
      <c r="N326" s="386"/>
      <c r="O326" s="497"/>
      <c r="P326" s="494"/>
    </row>
    <row r="327" spans="1:16" ht="15.75" customHeight="1">
      <c r="A327" s="1"/>
      <c r="B327" s="103"/>
      <c r="C327" s="8"/>
      <c r="E327" s="29"/>
      <c r="F327" s="47"/>
      <c r="J327" s="407"/>
      <c r="K327" s="493"/>
      <c r="L327" s="493"/>
      <c r="M327" s="47"/>
      <c r="N327" s="386"/>
      <c r="O327" s="497"/>
      <c r="P327" s="494"/>
    </row>
    <row r="328" spans="1:16" ht="15.75" customHeight="1">
      <c r="A328" s="1"/>
      <c r="B328" s="103"/>
      <c r="C328" s="8"/>
      <c r="E328" s="29"/>
      <c r="F328" s="47"/>
      <c r="J328" s="407"/>
      <c r="K328" s="493"/>
      <c r="L328" s="493"/>
      <c r="M328" s="47"/>
      <c r="N328" s="386"/>
      <c r="O328" s="497"/>
      <c r="P328" s="494"/>
    </row>
    <row r="329" spans="1:16" ht="15.75" customHeight="1">
      <c r="A329" s="1"/>
      <c r="B329" s="103"/>
      <c r="C329" s="8"/>
      <c r="E329" s="29"/>
      <c r="F329" s="47"/>
      <c r="J329" s="407"/>
      <c r="K329" s="493"/>
      <c r="L329" s="493"/>
      <c r="M329" s="47"/>
      <c r="N329" s="386"/>
      <c r="O329" s="497"/>
      <c r="P329" s="494"/>
    </row>
    <row r="330" spans="1:16" ht="15.75" customHeight="1">
      <c r="A330" s="1"/>
      <c r="B330" s="103"/>
      <c r="C330" s="8"/>
      <c r="E330" s="29"/>
      <c r="F330" s="47"/>
      <c r="J330" s="407"/>
      <c r="K330" s="493"/>
      <c r="L330" s="493"/>
      <c r="M330" s="47"/>
      <c r="N330" s="386"/>
      <c r="O330" s="497"/>
      <c r="P330" s="494"/>
    </row>
    <row r="331" spans="1:16" ht="15.75" customHeight="1">
      <c r="A331" s="1"/>
      <c r="B331" s="103"/>
      <c r="C331" s="8"/>
      <c r="E331" s="29"/>
      <c r="F331" s="47"/>
      <c r="J331" s="407"/>
      <c r="K331" s="493"/>
      <c r="L331" s="493"/>
      <c r="M331" s="47"/>
      <c r="N331" s="386"/>
      <c r="O331" s="497"/>
      <c r="P331" s="494"/>
    </row>
    <row r="332" spans="1:16" ht="15.75" customHeight="1">
      <c r="A332" s="1"/>
      <c r="B332" s="103"/>
      <c r="C332" s="8"/>
      <c r="E332" s="29"/>
      <c r="F332" s="47"/>
      <c r="J332" s="407"/>
      <c r="K332" s="493"/>
      <c r="L332" s="493"/>
      <c r="M332" s="47"/>
      <c r="N332" s="386"/>
      <c r="O332" s="497"/>
      <c r="P332" s="494"/>
    </row>
    <row r="333" spans="1:16" ht="15.75" customHeight="1">
      <c r="A333" s="1"/>
      <c r="B333" s="103"/>
      <c r="C333" s="8"/>
      <c r="E333" s="29"/>
      <c r="F333" s="47"/>
      <c r="J333" s="407"/>
      <c r="K333" s="493"/>
      <c r="L333" s="493"/>
      <c r="M333" s="47"/>
      <c r="N333" s="386"/>
      <c r="O333" s="497"/>
      <c r="P333" s="494"/>
    </row>
    <row r="334" spans="1:16" ht="15.75" customHeight="1">
      <c r="A334" s="1"/>
      <c r="B334" s="103"/>
      <c r="C334" s="8"/>
      <c r="E334" s="29"/>
      <c r="F334" s="47"/>
      <c r="J334" s="407"/>
      <c r="K334" s="493"/>
      <c r="L334" s="493"/>
      <c r="M334" s="47"/>
      <c r="N334" s="386"/>
      <c r="O334" s="497"/>
      <c r="P334" s="494"/>
    </row>
    <row r="335" spans="1:16" ht="15.75" customHeight="1">
      <c r="A335" s="1"/>
      <c r="B335" s="103"/>
      <c r="C335" s="8"/>
      <c r="E335" s="29"/>
      <c r="F335" s="47"/>
      <c r="J335" s="407"/>
      <c r="K335" s="493"/>
      <c r="L335" s="493"/>
      <c r="M335" s="47"/>
      <c r="N335" s="386"/>
      <c r="O335" s="497"/>
      <c r="P335" s="494"/>
    </row>
    <row r="336" spans="1:16" ht="15.75" customHeight="1">
      <c r="A336" s="1"/>
      <c r="B336" s="103"/>
      <c r="C336" s="8"/>
      <c r="E336" s="29"/>
      <c r="F336" s="47"/>
      <c r="J336" s="407"/>
      <c r="K336" s="493"/>
      <c r="L336" s="493"/>
      <c r="M336" s="47"/>
      <c r="N336" s="386"/>
      <c r="O336" s="497"/>
      <c r="P336" s="494"/>
    </row>
    <row r="337" spans="1:16" ht="15.75" customHeight="1">
      <c r="A337" s="1"/>
      <c r="B337" s="103"/>
      <c r="C337" s="8"/>
      <c r="E337" s="29"/>
      <c r="F337" s="47"/>
      <c r="J337" s="407"/>
      <c r="K337" s="493"/>
      <c r="L337" s="493"/>
      <c r="M337" s="47"/>
      <c r="N337" s="386"/>
      <c r="O337" s="497"/>
      <c r="P337" s="494"/>
    </row>
    <row r="338" spans="1:16" ht="15.75" customHeight="1">
      <c r="A338" s="1"/>
      <c r="B338" s="103"/>
      <c r="C338" s="8"/>
      <c r="E338" s="29"/>
      <c r="F338" s="47"/>
      <c r="J338" s="407"/>
      <c r="K338" s="493"/>
      <c r="L338" s="493"/>
      <c r="M338" s="47"/>
      <c r="N338" s="386"/>
      <c r="O338" s="497"/>
      <c r="P338" s="494"/>
    </row>
    <row r="339" spans="1:16" ht="15.75" customHeight="1">
      <c r="A339" s="1"/>
      <c r="B339" s="103"/>
      <c r="C339" s="8"/>
      <c r="E339" s="29"/>
      <c r="F339" s="47"/>
      <c r="J339" s="407"/>
      <c r="K339" s="493"/>
      <c r="L339" s="493"/>
      <c r="M339" s="47"/>
      <c r="N339" s="386"/>
      <c r="O339" s="497"/>
      <c r="P339" s="494"/>
    </row>
    <row r="340" spans="1:16" ht="15.75" customHeight="1">
      <c r="A340" s="1"/>
      <c r="B340" s="103"/>
      <c r="C340" s="8"/>
      <c r="E340" s="29"/>
      <c r="F340" s="47"/>
      <c r="J340" s="407"/>
      <c r="K340" s="493"/>
      <c r="L340" s="493"/>
      <c r="M340" s="47"/>
      <c r="N340" s="386"/>
      <c r="O340" s="497"/>
      <c r="P340" s="494"/>
    </row>
    <row r="341" spans="1:16" ht="15.75" customHeight="1">
      <c r="A341" s="1"/>
      <c r="B341" s="103"/>
      <c r="C341" s="8"/>
      <c r="E341" s="29"/>
      <c r="F341" s="47"/>
      <c r="J341" s="407"/>
      <c r="K341" s="493"/>
      <c r="L341" s="493"/>
      <c r="M341" s="47"/>
      <c r="N341" s="386"/>
      <c r="O341" s="497"/>
      <c r="P341" s="494"/>
    </row>
    <row r="342" spans="1:16" ht="15.75" customHeight="1">
      <c r="A342" s="1"/>
      <c r="B342" s="103"/>
      <c r="C342" s="8"/>
      <c r="E342" s="29"/>
      <c r="F342" s="47"/>
      <c r="J342" s="407"/>
      <c r="K342" s="493"/>
      <c r="L342" s="493"/>
      <c r="M342" s="47"/>
      <c r="N342" s="386"/>
      <c r="O342" s="497"/>
      <c r="P342" s="494"/>
    </row>
    <row r="343" spans="1:16" ht="15.75" customHeight="1">
      <c r="A343" s="1"/>
      <c r="B343" s="103"/>
      <c r="C343" s="8"/>
      <c r="E343" s="29"/>
      <c r="F343" s="47"/>
      <c r="J343" s="407"/>
      <c r="K343" s="493"/>
      <c r="L343" s="493"/>
      <c r="M343" s="47"/>
      <c r="N343" s="386"/>
      <c r="O343" s="497"/>
      <c r="P343" s="494"/>
    </row>
    <row r="344" spans="1:16" ht="15.75" customHeight="1">
      <c r="A344" s="1"/>
      <c r="B344" s="103"/>
      <c r="C344" s="8"/>
      <c r="E344" s="29"/>
      <c r="F344" s="47"/>
      <c r="J344" s="407"/>
      <c r="K344" s="493"/>
      <c r="L344" s="493"/>
      <c r="M344" s="47"/>
      <c r="N344" s="386"/>
      <c r="O344" s="497"/>
      <c r="P344" s="494"/>
    </row>
    <row r="345" spans="1:16" ht="15.75" customHeight="1">
      <c r="A345" s="1"/>
      <c r="B345" s="103"/>
      <c r="C345" s="8"/>
      <c r="E345" s="29"/>
      <c r="F345" s="47"/>
      <c r="J345" s="407"/>
      <c r="K345" s="493"/>
      <c r="L345" s="493"/>
      <c r="M345" s="47"/>
      <c r="N345" s="386"/>
      <c r="O345" s="497"/>
      <c r="P345" s="494"/>
    </row>
    <row r="346" spans="1:16" ht="15.75" customHeight="1">
      <c r="A346" s="1"/>
      <c r="B346" s="103"/>
      <c r="C346" s="8"/>
      <c r="E346" s="29"/>
      <c r="F346" s="47"/>
      <c r="J346" s="407"/>
      <c r="K346" s="493"/>
      <c r="L346" s="493"/>
      <c r="M346" s="47"/>
      <c r="N346" s="386"/>
      <c r="O346" s="497"/>
      <c r="P346" s="494"/>
    </row>
    <row r="347" spans="1:16" ht="15.75" customHeight="1">
      <c r="A347" s="1"/>
      <c r="B347" s="103"/>
      <c r="C347" s="8"/>
      <c r="E347" s="29"/>
      <c r="F347" s="47"/>
      <c r="J347" s="407"/>
      <c r="K347" s="493"/>
      <c r="L347" s="493"/>
      <c r="M347" s="47"/>
      <c r="N347" s="386"/>
      <c r="O347" s="497"/>
      <c r="P347" s="494"/>
    </row>
    <row r="348" spans="1:16" ht="15.75" customHeight="1">
      <c r="A348" s="1"/>
      <c r="B348" s="103"/>
      <c r="C348" s="8"/>
      <c r="E348" s="29"/>
      <c r="F348" s="47"/>
      <c r="J348" s="407"/>
      <c r="K348" s="493"/>
      <c r="L348" s="493"/>
      <c r="M348" s="47"/>
      <c r="N348" s="386"/>
      <c r="O348" s="497"/>
      <c r="P348" s="494"/>
    </row>
    <row r="349" spans="1:16" ht="15.75" customHeight="1">
      <c r="A349" s="1"/>
      <c r="B349" s="103"/>
      <c r="C349" s="8"/>
      <c r="E349" s="29"/>
      <c r="F349" s="47"/>
      <c r="J349" s="407"/>
      <c r="K349" s="493"/>
      <c r="L349" s="493"/>
      <c r="M349" s="47"/>
      <c r="N349" s="386"/>
      <c r="O349" s="497"/>
      <c r="P349" s="494"/>
    </row>
    <row r="350" spans="1:16" ht="15.75" customHeight="1">
      <c r="A350" s="1"/>
      <c r="B350" s="103"/>
      <c r="C350" s="8"/>
      <c r="E350" s="29"/>
      <c r="F350" s="47"/>
      <c r="J350" s="407"/>
      <c r="K350" s="493"/>
      <c r="L350" s="493"/>
      <c r="M350" s="47"/>
      <c r="N350" s="386"/>
      <c r="O350" s="497"/>
      <c r="P350" s="494"/>
    </row>
    <row r="351" spans="1:16" ht="15.75" customHeight="1">
      <c r="A351" s="1"/>
      <c r="B351" s="103"/>
      <c r="C351" s="8"/>
      <c r="E351" s="29"/>
      <c r="F351" s="47"/>
      <c r="J351" s="407"/>
      <c r="K351" s="493"/>
      <c r="L351" s="493"/>
      <c r="M351" s="47"/>
      <c r="N351" s="386"/>
      <c r="O351" s="497"/>
      <c r="P351" s="494"/>
    </row>
    <row r="352" spans="1:16" ht="15.75" customHeight="1">
      <c r="A352" s="1"/>
      <c r="B352" s="103"/>
      <c r="C352" s="8"/>
      <c r="E352" s="29"/>
      <c r="F352" s="47"/>
      <c r="J352" s="407"/>
      <c r="K352" s="493"/>
      <c r="L352" s="493"/>
      <c r="M352" s="47"/>
      <c r="N352" s="386"/>
      <c r="O352" s="497"/>
      <c r="P352" s="494"/>
    </row>
    <row r="353" spans="1:16" ht="15.75" customHeight="1">
      <c r="A353" s="1"/>
      <c r="B353" s="103"/>
      <c r="C353" s="8"/>
      <c r="E353" s="29"/>
      <c r="F353" s="47"/>
      <c r="J353" s="407"/>
      <c r="K353" s="493"/>
      <c r="L353" s="493"/>
      <c r="M353" s="47"/>
      <c r="N353" s="386"/>
      <c r="O353" s="497"/>
      <c r="P353" s="494"/>
    </row>
    <row r="354" spans="1:16" ht="15.75" customHeight="1">
      <c r="A354" s="1"/>
      <c r="B354" s="103"/>
      <c r="C354" s="8"/>
      <c r="E354" s="29"/>
      <c r="F354" s="47"/>
      <c r="J354" s="407"/>
      <c r="K354" s="493"/>
      <c r="L354" s="493"/>
      <c r="M354" s="47"/>
      <c r="N354" s="386"/>
      <c r="O354" s="497"/>
      <c r="P354" s="494"/>
    </row>
    <row r="355" spans="1:16" ht="15.75" customHeight="1">
      <c r="A355" s="1"/>
      <c r="B355" s="103"/>
      <c r="C355" s="8"/>
      <c r="E355" s="29"/>
      <c r="F355" s="47"/>
      <c r="J355" s="407"/>
      <c r="K355" s="493"/>
      <c r="L355" s="493"/>
      <c r="M355" s="47"/>
      <c r="N355" s="386"/>
      <c r="O355" s="497"/>
      <c r="P355" s="494"/>
    </row>
    <row r="356" spans="1:16" ht="15.75" customHeight="1">
      <c r="A356" s="1"/>
      <c r="B356" s="103"/>
      <c r="C356" s="8"/>
      <c r="E356" s="29"/>
      <c r="F356" s="47"/>
      <c r="J356" s="407"/>
      <c r="K356" s="493"/>
      <c r="L356" s="493"/>
      <c r="M356" s="47"/>
      <c r="N356" s="386"/>
      <c r="O356" s="497"/>
      <c r="P356" s="494"/>
    </row>
    <row r="357" spans="1:16" ht="15.75" customHeight="1">
      <c r="A357" s="1"/>
      <c r="B357" s="103"/>
      <c r="C357" s="8"/>
      <c r="E357" s="29"/>
      <c r="F357" s="47"/>
      <c r="J357" s="407"/>
      <c r="K357" s="493"/>
      <c r="L357" s="493"/>
      <c r="M357" s="47"/>
      <c r="N357" s="386"/>
      <c r="O357" s="497"/>
      <c r="P357" s="494"/>
    </row>
    <row r="358" spans="1:16" ht="15.75" customHeight="1">
      <c r="A358" s="1"/>
      <c r="B358" s="103"/>
      <c r="C358" s="8"/>
      <c r="E358" s="29"/>
      <c r="F358" s="47"/>
      <c r="J358" s="407"/>
      <c r="K358" s="493"/>
      <c r="L358" s="493"/>
      <c r="M358" s="47"/>
      <c r="N358" s="386"/>
      <c r="O358" s="497"/>
      <c r="P358" s="494"/>
    </row>
    <row r="359" spans="1:16" ht="15.75" customHeight="1">
      <c r="A359" s="1"/>
      <c r="B359" s="103"/>
      <c r="C359" s="8"/>
      <c r="E359" s="29"/>
      <c r="F359" s="47"/>
      <c r="J359" s="407"/>
      <c r="K359" s="493"/>
      <c r="L359" s="493"/>
      <c r="M359" s="47"/>
      <c r="N359" s="386"/>
      <c r="O359" s="497"/>
      <c r="P359" s="494"/>
    </row>
    <row r="360" spans="1:16" ht="15.75" customHeight="1">
      <c r="A360" s="1"/>
      <c r="B360" s="103"/>
      <c r="C360" s="8"/>
      <c r="E360" s="29"/>
      <c r="F360" s="47"/>
      <c r="J360" s="407"/>
      <c r="K360" s="493"/>
      <c r="L360" s="493"/>
      <c r="M360" s="47"/>
      <c r="N360" s="386"/>
      <c r="O360" s="497"/>
      <c r="P360" s="494"/>
    </row>
    <row r="361" spans="1:16" ht="15.75" customHeight="1">
      <c r="A361" s="1"/>
      <c r="B361" s="103"/>
      <c r="C361" s="8"/>
      <c r="E361" s="29"/>
      <c r="F361" s="47"/>
      <c r="J361" s="407"/>
      <c r="K361" s="493"/>
      <c r="L361" s="493"/>
      <c r="M361" s="47"/>
      <c r="N361" s="386"/>
      <c r="O361" s="497"/>
      <c r="P361" s="494"/>
    </row>
    <row r="362" spans="1:16" ht="15.75" customHeight="1">
      <c r="A362" s="1"/>
      <c r="B362" s="103"/>
      <c r="C362" s="8"/>
      <c r="E362" s="29"/>
      <c r="F362" s="47"/>
      <c r="J362" s="407"/>
      <c r="K362" s="493"/>
      <c r="L362" s="493"/>
      <c r="M362" s="47"/>
      <c r="N362" s="386"/>
      <c r="O362" s="497"/>
      <c r="P362" s="494"/>
    </row>
    <row r="363" spans="1:16" ht="15.75" customHeight="1">
      <c r="A363" s="1"/>
      <c r="B363" s="103"/>
      <c r="C363" s="8"/>
      <c r="E363" s="29"/>
      <c r="F363" s="47"/>
      <c r="J363" s="407"/>
      <c r="K363" s="493"/>
      <c r="L363" s="493"/>
      <c r="M363" s="47"/>
      <c r="N363" s="386"/>
      <c r="O363" s="497"/>
      <c r="P363" s="494"/>
    </row>
    <row r="364" spans="1:16" ht="15.75" customHeight="1">
      <c r="A364" s="1"/>
      <c r="B364" s="103"/>
      <c r="C364" s="8"/>
      <c r="E364" s="29"/>
      <c r="F364" s="47"/>
      <c r="J364" s="407"/>
      <c r="K364" s="493"/>
      <c r="L364" s="493"/>
      <c r="M364" s="47"/>
      <c r="N364" s="386"/>
      <c r="O364" s="497"/>
      <c r="P364" s="494"/>
    </row>
    <row r="365" spans="1:16" ht="15.75" customHeight="1">
      <c r="A365" s="1"/>
      <c r="B365" s="103"/>
      <c r="C365" s="8"/>
      <c r="E365" s="29"/>
      <c r="F365" s="47"/>
      <c r="J365" s="407"/>
      <c r="K365" s="493"/>
      <c r="L365" s="493"/>
      <c r="M365" s="47"/>
      <c r="N365" s="386"/>
      <c r="O365" s="497"/>
      <c r="P365" s="494"/>
    </row>
    <row r="366" spans="1:16" ht="15.75" customHeight="1">
      <c r="A366" s="1"/>
      <c r="B366" s="103"/>
      <c r="C366" s="8"/>
      <c r="E366" s="29"/>
      <c r="F366" s="47"/>
      <c r="J366" s="407"/>
      <c r="K366" s="493"/>
      <c r="L366" s="493"/>
      <c r="M366" s="47"/>
      <c r="N366" s="386"/>
      <c r="O366" s="497"/>
      <c r="P366" s="494"/>
    </row>
    <row r="367" spans="1:16" ht="15.75" customHeight="1">
      <c r="A367" s="1"/>
      <c r="B367" s="103"/>
      <c r="C367" s="8"/>
      <c r="E367" s="29"/>
      <c r="F367" s="47"/>
      <c r="J367" s="407"/>
      <c r="K367" s="493"/>
      <c r="L367" s="493"/>
      <c r="M367" s="47"/>
      <c r="N367" s="386"/>
      <c r="O367" s="497"/>
      <c r="P367" s="494"/>
    </row>
    <row r="368" spans="1:16" ht="15.75" customHeight="1">
      <c r="A368" s="1"/>
      <c r="B368" s="103"/>
      <c r="C368" s="8"/>
      <c r="E368" s="29"/>
      <c r="F368" s="47"/>
      <c r="J368" s="407"/>
      <c r="K368" s="493"/>
      <c r="L368" s="493"/>
      <c r="M368" s="47"/>
      <c r="N368" s="386"/>
      <c r="O368" s="497"/>
      <c r="P368" s="494"/>
    </row>
    <row r="369" spans="1:16" ht="15.75" customHeight="1">
      <c r="A369" s="1"/>
      <c r="B369" s="103"/>
      <c r="C369" s="8"/>
      <c r="E369" s="29"/>
      <c r="F369" s="47"/>
      <c r="J369" s="407"/>
      <c r="K369" s="493"/>
      <c r="L369" s="493"/>
      <c r="M369" s="47"/>
      <c r="N369" s="386"/>
      <c r="O369" s="497"/>
      <c r="P369" s="494"/>
    </row>
    <row r="370" spans="1:16" ht="15.75" customHeight="1">
      <c r="A370" s="1"/>
      <c r="B370" s="103"/>
      <c r="C370" s="8"/>
      <c r="E370" s="29"/>
      <c r="F370" s="47"/>
      <c r="J370" s="407"/>
      <c r="K370" s="493"/>
      <c r="L370" s="493"/>
      <c r="M370" s="47"/>
      <c r="N370" s="386"/>
      <c r="O370" s="497"/>
      <c r="P370" s="494"/>
    </row>
    <row r="371" spans="1:16" ht="15.75" customHeight="1">
      <c r="A371" s="1"/>
      <c r="B371" s="103"/>
      <c r="C371" s="8"/>
      <c r="E371" s="29"/>
      <c r="F371" s="47"/>
      <c r="J371" s="407"/>
      <c r="K371" s="493"/>
      <c r="L371" s="493"/>
      <c r="M371" s="47"/>
      <c r="N371" s="386"/>
      <c r="O371" s="497"/>
      <c r="P371" s="494"/>
    </row>
    <row r="372" spans="1:16" ht="15.75" customHeight="1">
      <c r="A372" s="1"/>
      <c r="B372" s="103"/>
      <c r="C372" s="8"/>
      <c r="E372" s="29"/>
      <c r="F372" s="47"/>
      <c r="J372" s="407"/>
      <c r="K372" s="493"/>
      <c r="L372" s="493"/>
      <c r="M372" s="47"/>
      <c r="N372" s="386"/>
      <c r="O372" s="497"/>
      <c r="P372" s="494"/>
    </row>
    <row r="373" spans="1:16" ht="15.75" customHeight="1">
      <c r="A373" s="1"/>
      <c r="B373" s="103"/>
      <c r="C373" s="8"/>
      <c r="E373" s="29"/>
      <c r="F373" s="47"/>
      <c r="J373" s="407"/>
      <c r="K373" s="493"/>
      <c r="L373" s="493"/>
      <c r="M373" s="47"/>
      <c r="N373" s="386"/>
      <c r="O373" s="497"/>
      <c r="P373" s="494"/>
    </row>
    <row r="374" spans="1:16" ht="15.75" customHeight="1">
      <c r="A374" s="1"/>
      <c r="B374" s="103"/>
      <c r="C374" s="8"/>
      <c r="E374" s="29"/>
      <c r="F374" s="47"/>
      <c r="J374" s="407"/>
      <c r="K374" s="493"/>
      <c r="L374" s="493"/>
      <c r="M374" s="47"/>
      <c r="N374" s="386"/>
      <c r="O374" s="497"/>
      <c r="P374" s="494"/>
    </row>
    <row r="375" spans="1:16" ht="15.75" customHeight="1">
      <c r="A375" s="1"/>
      <c r="B375" s="103"/>
      <c r="C375" s="8"/>
      <c r="E375" s="29"/>
      <c r="F375" s="47"/>
      <c r="J375" s="407"/>
      <c r="K375" s="493"/>
      <c r="L375" s="493"/>
      <c r="M375" s="47"/>
      <c r="N375" s="386"/>
      <c r="O375" s="497"/>
      <c r="P375" s="494"/>
    </row>
    <row r="376" spans="1:16" ht="15.75" customHeight="1">
      <c r="A376" s="1"/>
      <c r="B376" s="103"/>
      <c r="C376" s="8"/>
      <c r="E376" s="29"/>
      <c r="F376" s="47"/>
      <c r="J376" s="407"/>
      <c r="K376" s="493"/>
      <c r="L376" s="493"/>
      <c r="M376" s="47"/>
      <c r="N376" s="386"/>
      <c r="O376" s="497"/>
      <c r="P376" s="494"/>
    </row>
    <row r="377" spans="1:16" ht="15.75" customHeight="1">
      <c r="A377" s="1"/>
      <c r="B377" s="103"/>
      <c r="C377" s="8"/>
      <c r="E377" s="29"/>
      <c r="F377" s="47"/>
      <c r="J377" s="407"/>
      <c r="K377" s="493"/>
      <c r="L377" s="493"/>
      <c r="M377" s="47"/>
      <c r="N377" s="386"/>
      <c r="O377" s="497"/>
      <c r="P377" s="494"/>
    </row>
    <row r="378" spans="1:16" ht="15.75" customHeight="1">
      <c r="A378" s="1"/>
      <c r="B378" s="103"/>
      <c r="C378" s="8"/>
      <c r="E378" s="29"/>
      <c r="F378" s="47"/>
      <c r="J378" s="407"/>
      <c r="K378" s="493"/>
      <c r="L378" s="493"/>
      <c r="M378" s="47"/>
      <c r="N378" s="386"/>
      <c r="O378" s="497"/>
      <c r="P378" s="494"/>
    </row>
    <row r="379" spans="1:16" ht="15.75" customHeight="1">
      <c r="A379" s="1"/>
      <c r="B379" s="103"/>
      <c r="C379" s="8"/>
      <c r="E379" s="29"/>
      <c r="F379" s="47"/>
      <c r="J379" s="407"/>
      <c r="K379" s="493"/>
      <c r="L379" s="493"/>
      <c r="M379" s="47"/>
      <c r="N379" s="386"/>
      <c r="O379" s="497"/>
      <c r="P379" s="494"/>
    </row>
    <row r="380" spans="1:16" ht="15.75" customHeight="1">
      <c r="A380" s="1"/>
      <c r="B380" s="103"/>
      <c r="C380" s="8"/>
      <c r="E380" s="29"/>
      <c r="F380" s="47"/>
      <c r="J380" s="407"/>
      <c r="K380" s="493"/>
      <c r="L380" s="493"/>
      <c r="M380" s="47"/>
      <c r="N380" s="386"/>
      <c r="O380" s="497"/>
      <c r="P380" s="494"/>
    </row>
    <row r="381" spans="1:16" ht="15.75" customHeight="1">
      <c r="A381" s="1"/>
      <c r="B381" s="103"/>
      <c r="C381" s="8"/>
      <c r="E381" s="29"/>
      <c r="F381" s="47"/>
      <c r="J381" s="407"/>
      <c r="K381" s="493"/>
      <c r="L381" s="493"/>
      <c r="M381" s="47"/>
      <c r="N381" s="386"/>
      <c r="O381" s="497"/>
      <c r="P381" s="494"/>
    </row>
    <row r="382" spans="1:16" ht="15.75" customHeight="1">
      <c r="A382" s="1"/>
      <c r="B382" s="103"/>
      <c r="C382" s="8"/>
      <c r="E382" s="29"/>
      <c r="F382" s="47"/>
      <c r="J382" s="407"/>
      <c r="K382" s="493"/>
      <c r="L382" s="493"/>
      <c r="M382" s="47"/>
      <c r="N382" s="386"/>
      <c r="O382" s="497"/>
      <c r="P382" s="494"/>
    </row>
    <row r="383" spans="1:16" ht="15.75" customHeight="1">
      <c r="A383" s="1"/>
      <c r="B383" s="103"/>
      <c r="C383" s="8"/>
      <c r="E383" s="29"/>
      <c r="F383" s="47"/>
      <c r="J383" s="407"/>
      <c r="K383" s="493"/>
      <c r="L383" s="493"/>
      <c r="M383" s="47"/>
      <c r="N383" s="386"/>
      <c r="O383" s="497"/>
      <c r="P383" s="494"/>
    </row>
    <row r="384" spans="1:16" ht="15.75" customHeight="1">
      <c r="A384" s="1"/>
      <c r="B384" s="103"/>
      <c r="C384" s="8"/>
      <c r="E384" s="29"/>
      <c r="F384" s="47"/>
      <c r="J384" s="407"/>
      <c r="K384" s="493"/>
      <c r="L384" s="493"/>
      <c r="M384" s="47"/>
      <c r="N384" s="386"/>
      <c r="O384" s="497"/>
      <c r="P384" s="494"/>
    </row>
    <row r="385" spans="1:16" ht="15.75" customHeight="1">
      <c r="A385" s="1"/>
      <c r="B385" s="103"/>
      <c r="C385" s="8"/>
      <c r="E385" s="29"/>
      <c r="F385" s="47"/>
      <c r="J385" s="407"/>
      <c r="K385" s="493"/>
      <c r="L385" s="493"/>
      <c r="M385" s="47"/>
      <c r="N385" s="386"/>
      <c r="O385" s="497"/>
      <c r="P385" s="494"/>
    </row>
    <row r="386" spans="1:16" ht="15.75" customHeight="1">
      <c r="A386" s="1"/>
      <c r="B386" s="103"/>
      <c r="C386" s="8"/>
      <c r="E386" s="29"/>
      <c r="F386" s="47"/>
      <c r="J386" s="407"/>
      <c r="K386" s="493"/>
      <c r="L386" s="493"/>
      <c r="M386" s="47"/>
      <c r="N386" s="386"/>
      <c r="O386" s="497"/>
      <c r="P386" s="494"/>
    </row>
    <row r="387" spans="1:16" ht="15.75" customHeight="1">
      <c r="A387" s="1"/>
      <c r="B387" s="103"/>
      <c r="C387" s="8"/>
      <c r="E387" s="29"/>
      <c r="F387" s="47"/>
      <c r="J387" s="407"/>
      <c r="K387" s="493"/>
      <c r="L387" s="493"/>
      <c r="M387" s="47"/>
      <c r="N387" s="386"/>
      <c r="O387" s="497"/>
      <c r="P387" s="494"/>
    </row>
    <row r="388" spans="1:16" ht="15.75" customHeight="1">
      <c r="A388" s="1"/>
      <c r="B388" s="103"/>
      <c r="C388" s="8"/>
      <c r="E388" s="29"/>
      <c r="F388" s="47"/>
      <c r="J388" s="407"/>
      <c r="K388" s="493"/>
      <c r="L388" s="493"/>
      <c r="M388" s="47"/>
      <c r="N388" s="386"/>
      <c r="O388" s="497"/>
      <c r="P388" s="494"/>
    </row>
    <row r="389" spans="1:16" ht="15.75" customHeight="1">
      <c r="A389" s="1"/>
      <c r="B389" s="103"/>
      <c r="C389" s="8"/>
      <c r="E389" s="29"/>
      <c r="F389" s="47"/>
      <c r="J389" s="407"/>
      <c r="K389" s="493"/>
      <c r="L389" s="493"/>
      <c r="M389" s="47"/>
      <c r="N389" s="386"/>
      <c r="O389" s="497"/>
      <c r="P389" s="494"/>
    </row>
    <row r="390" spans="1:16" ht="15.75" customHeight="1">
      <c r="A390" s="1"/>
      <c r="B390" s="103"/>
      <c r="C390" s="8"/>
      <c r="E390" s="29"/>
      <c r="F390" s="47"/>
      <c r="J390" s="407"/>
      <c r="K390" s="493"/>
      <c r="L390" s="493"/>
      <c r="M390" s="47"/>
      <c r="N390" s="386"/>
      <c r="O390" s="497"/>
      <c r="P390" s="494"/>
    </row>
    <row r="391" spans="1:16" ht="15.75" customHeight="1">
      <c r="A391" s="1"/>
      <c r="B391" s="103"/>
      <c r="C391" s="8"/>
      <c r="E391" s="29"/>
      <c r="F391" s="47"/>
      <c r="J391" s="407"/>
      <c r="K391" s="493"/>
      <c r="L391" s="493"/>
      <c r="M391" s="47"/>
      <c r="N391" s="386"/>
      <c r="O391" s="497"/>
      <c r="P391" s="494"/>
    </row>
    <row r="392" spans="1:16" ht="15.75" customHeight="1">
      <c r="A392" s="1"/>
      <c r="B392" s="103"/>
      <c r="C392" s="8"/>
      <c r="E392" s="29"/>
      <c r="F392" s="47"/>
      <c r="J392" s="407"/>
      <c r="K392" s="493"/>
      <c r="L392" s="493"/>
      <c r="M392" s="47"/>
      <c r="N392" s="386"/>
      <c r="O392" s="497"/>
      <c r="P392" s="494"/>
    </row>
    <row r="393" spans="1:16" ht="15.75" customHeight="1">
      <c r="A393" s="1"/>
      <c r="B393" s="103"/>
      <c r="C393" s="8"/>
      <c r="E393" s="29"/>
      <c r="F393" s="47"/>
      <c r="J393" s="407"/>
      <c r="K393" s="493"/>
      <c r="L393" s="493"/>
      <c r="M393" s="47"/>
      <c r="N393" s="386"/>
      <c r="O393" s="497"/>
      <c r="P393" s="494"/>
    </row>
    <row r="394" spans="1:16" ht="15.75" customHeight="1">
      <c r="A394" s="1"/>
      <c r="B394" s="103"/>
      <c r="C394" s="8"/>
      <c r="E394" s="29"/>
      <c r="F394" s="47"/>
      <c r="J394" s="407"/>
      <c r="K394" s="493"/>
      <c r="L394" s="493"/>
      <c r="M394" s="47"/>
      <c r="N394" s="386"/>
      <c r="O394" s="497"/>
      <c r="P394" s="494"/>
    </row>
    <row r="395" spans="1:16" ht="15.75" customHeight="1">
      <c r="A395" s="1"/>
      <c r="B395" s="103"/>
      <c r="C395" s="8"/>
      <c r="E395" s="29"/>
      <c r="F395" s="47"/>
      <c r="J395" s="407"/>
      <c r="K395" s="493"/>
      <c r="L395" s="493"/>
      <c r="M395" s="47"/>
      <c r="N395" s="386"/>
      <c r="O395" s="497"/>
      <c r="P395" s="494"/>
    </row>
    <row r="396" spans="1:16" ht="15.75" customHeight="1">
      <c r="A396" s="1"/>
      <c r="B396" s="103"/>
      <c r="C396" s="8"/>
      <c r="E396" s="29"/>
      <c r="F396" s="47"/>
      <c r="J396" s="407"/>
      <c r="K396" s="493"/>
      <c r="L396" s="493"/>
      <c r="M396" s="47"/>
      <c r="N396" s="386"/>
      <c r="O396" s="497"/>
      <c r="P396" s="494"/>
    </row>
    <row r="397" spans="1:16" ht="15.75" customHeight="1">
      <c r="A397" s="1"/>
      <c r="B397" s="103"/>
      <c r="C397" s="8"/>
      <c r="E397" s="29"/>
      <c r="F397" s="47"/>
      <c r="J397" s="407"/>
      <c r="K397" s="493"/>
      <c r="L397" s="493"/>
      <c r="M397" s="47"/>
      <c r="N397" s="386"/>
      <c r="O397" s="497"/>
      <c r="P397" s="494"/>
    </row>
    <row r="398" spans="1:16" ht="15.75" customHeight="1">
      <c r="A398" s="1"/>
      <c r="B398" s="103"/>
      <c r="C398" s="8"/>
      <c r="E398" s="29"/>
      <c r="F398" s="47"/>
      <c r="J398" s="407"/>
      <c r="K398" s="493"/>
      <c r="L398" s="493"/>
      <c r="M398" s="47"/>
      <c r="N398" s="386"/>
      <c r="O398" s="497"/>
      <c r="P398" s="494"/>
    </row>
    <row r="399" spans="1:16" ht="15.75" customHeight="1">
      <c r="A399" s="1"/>
      <c r="B399" s="103"/>
      <c r="C399" s="8"/>
      <c r="E399" s="29"/>
      <c r="F399" s="47"/>
      <c r="J399" s="407"/>
      <c r="K399" s="493"/>
      <c r="L399" s="493"/>
      <c r="M399" s="47"/>
      <c r="N399" s="386"/>
      <c r="O399" s="497"/>
      <c r="P399" s="494"/>
    </row>
    <row r="400" spans="1:16" ht="15.75" customHeight="1">
      <c r="A400" s="1"/>
      <c r="B400" s="103"/>
      <c r="C400" s="8"/>
      <c r="E400" s="29"/>
      <c r="F400" s="47"/>
      <c r="J400" s="407"/>
      <c r="K400" s="493"/>
      <c r="L400" s="493"/>
      <c r="M400" s="47"/>
      <c r="N400" s="386"/>
      <c r="O400" s="497"/>
      <c r="P400" s="494"/>
    </row>
    <row r="401" spans="1:16" ht="15.75" customHeight="1">
      <c r="A401" s="1"/>
      <c r="B401" s="103"/>
      <c r="C401" s="8"/>
      <c r="E401" s="29"/>
      <c r="F401" s="47"/>
      <c r="J401" s="407"/>
      <c r="K401" s="493"/>
      <c r="L401" s="493"/>
      <c r="M401" s="47"/>
      <c r="N401" s="386"/>
      <c r="O401" s="497"/>
      <c r="P401" s="494"/>
    </row>
    <row r="402" spans="1:16" ht="15.75" customHeight="1">
      <c r="A402" s="1"/>
      <c r="B402" s="103"/>
      <c r="C402" s="8"/>
      <c r="E402" s="29"/>
      <c r="F402" s="47"/>
      <c r="J402" s="407"/>
      <c r="K402" s="493"/>
      <c r="L402" s="493"/>
      <c r="M402" s="47"/>
      <c r="N402" s="386"/>
      <c r="O402" s="497"/>
      <c r="P402" s="494"/>
    </row>
    <row r="403" spans="1:16" ht="15.75" customHeight="1">
      <c r="A403" s="1"/>
      <c r="B403" s="103"/>
      <c r="C403" s="8"/>
      <c r="E403" s="29"/>
      <c r="F403" s="47"/>
      <c r="J403" s="407"/>
      <c r="K403" s="493"/>
      <c r="L403" s="493"/>
      <c r="M403" s="47"/>
      <c r="N403" s="386"/>
      <c r="O403" s="497"/>
      <c r="P403" s="494"/>
    </row>
    <row r="404" spans="1:16" ht="15.75" customHeight="1">
      <c r="A404" s="1"/>
      <c r="B404" s="103"/>
      <c r="C404" s="8"/>
      <c r="E404" s="29"/>
      <c r="F404" s="47"/>
      <c r="J404" s="407"/>
      <c r="K404" s="493"/>
      <c r="L404" s="493"/>
      <c r="M404" s="47"/>
      <c r="N404" s="386"/>
      <c r="O404" s="497"/>
      <c r="P404" s="494"/>
    </row>
    <row r="405" spans="1:16" ht="15.75" customHeight="1">
      <c r="A405" s="1"/>
      <c r="B405" s="103"/>
      <c r="C405" s="8"/>
      <c r="E405" s="29"/>
      <c r="F405" s="47"/>
      <c r="J405" s="407"/>
      <c r="K405" s="493"/>
      <c r="L405" s="493"/>
      <c r="M405" s="47"/>
      <c r="N405" s="386"/>
      <c r="O405" s="497"/>
      <c r="P405" s="494"/>
    </row>
    <row r="406" spans="1:16" ht="15.75" customHeight="1">
      <c r="A406" s="1"/>
      <c r="B406" s="103"/>
      <c r="C406" s="8"/>
      <c r="E406" s="29"/>
      <c r="F406" s="47"/>
      <c r="J406" s="407"/>
      <c r="K406" s="493"/>
      <c r="L406" s="493"/>
      <c r="M406" s="47"/>
      <c r="N406" s="386"/>
      <c r="O406" s="497"/>
      <c r="P406" s="494"/>
    </row>
    <row r="407" spans="1:16" ht="15.75" customHeight="1">
      <c r="A407" s="1"/>
      <c r="B407" s="103"/>
      <c r="C407" s="8"/>
      <c r="E407" s="29"/>
      <c r="F407" s="47"/>
      <c r="J407" s="407"/>
      <c r="K407" s="493"/>
      <c r="L407" s="493"/>
      <c r="M407" s="47"/>
      <c r="N407" s="386"/>
      <c r="O407" s="497"/>
      <c r="P407" s="494"/>
    </row>
    <row r="408" spans="1:16" ht="15.75" customHeight="1">
      <c r="A408" s="1"/>
      <c r="B408" s="103"/>
      <c r="C408" s="8"/>
      <c r="E408" s="29"/>
      <c r="F408" s="47"/>
      <c r="J408" s="407"/>
      <c r="K408" s="493"/>
      <c r="L408" s="493"/>
      <c r="M408" s="47"/>
      <c r="N408" s="386"/>
      <c r="O408" s="497"/>
      <c r="P408" s="494"/>
    </row>
    <row r="409" spans="1:16" ht="15.75" customHeight="1">
      <c r="A409" s="1"/>
      <c r="B409" s="103"/>
      <c r="C409" s="8"/>
      <c r="E409" s="29"/>
      <c r="F409" s="47"/>
      <c r="J409" s="407"/>
      <c r="K409" s="493"/>
      <c r="L409" s="493"/>
      <c r="M409" s="47"/>
      <c r="N409" s="386"/>
      <c r="O409" s="497"/>
      <c r="P409" s="494"/>
    </row>
    <row r="410" spans="1:16" ht="15.75" customHeight="1">
      <c r="A410" s="1"/>
      <c r="B410" s="103"/>
      <c r="C410" s="8"/>
      <c r="E410" s="29"/>
      <c r="F410" s="47"/>
      <c r="J410" s="407"/>
      <c r="K410" s="493"/>
      <c r="L410" s="493"/>
      <c r="M410" s="47"/>
      <c r="N410" s="386"/>
      <c r="O410" s="497"/>
      <c r="P410" s="494"/>
    </row>
    <row r="411" spans="1:16" ht="15.75" customHeight="1">
      <c r="A411" s="1"/>
      <c r="B411" s="103"/>
      <c r="C411" s="8"/>
      <c r="E411" s="29"/>
      <c r="F411" s="47"/>
      <c r="J411" s="407"/>
      <c r="K411" s="493"/>
      <c r="L411" s="493"/>
      <c r="M411" s="47"/>
      <c r="N411" s="386"/>
      <c r="O411" s="497"/>
      <c r="P411" s="494"/>
    </row>
    <row r="412" spans="1:16" ht="15.75" customHeight="1">
      <c r="A412" s="1"/>
      <c r="B412" s="103"/>
      <c r="C412" s="8"/>
      <c r="E412" s="29"/>
      <c r="F412" s="47"/>
      <c r="J412" s="407"/>
      <c r="K412" s="493"/>
      <c r="L412" s="493"/>
      <c r="M412" s="47"/>
      <c r="N412" s="386"/>
      <c r="O412" s="497"/>
      <c r="P412" s="494"/>
    </row>
    <row r="413" spans="1:16" ht="15.75" customHeight="1">
      <c r="A413" s="1"/>
      <c r="B413" s="103"/>
      <c r="C413" s="8"/>
      <c r="E413" s="29"/>
      <c r="F413" s="47"/>
      <c r="J413" s="407"/>
      <c r="K413" s="493"/>
      <c r="L413" s="493"/>
      <c r="M413" s="47"/>
      <c r="N413" s="386"/>
      <c r="O413" s="497"/>
      <c r="P413" s="494"/>
    </row>
    <row r="414" spans="1:16" ht="15.75" customHeight="1">
      <c r="A414" s="1"/>
      <c r="B414" s="103"/>
      <c r="C414" s="8"/>
      <c r="E414" s="29"/>
      <c r="F414" s="47"/>
      <c r="J414" s="407"/>
      <c r="K414" s="493"/>
      <c r="L414" s="493"/>
      <c r="M414" s="47"/>
      <c r="N414" s="386"/>
      <c r="O414" s="497"/>
      <c r="P414" s="494"/>
    </row>
    <row r="415" spans="1:16" ht="15.75" customHeight="1">
      <c r="A415" s="1"/>
      <c r="B415" s="103"/>
      <c r="C415" s="8"/>
      <c r="E415" s="29"/>
      <c r="F415" s="47"/>
      <c r="J415" s="407"/>
      <c r="K415" s="493"/>
      <c r="L415" s="493"/>
      <c r="M415" s="47"/>
      <c r="N415" s="386"/>
      <c r="O415" s="497"/>
      <c r="P415" s="494"/>
    </row>
    <row r="416" spans="1:16" ht="15.75" customHeight="1">
      <c r="A416" s="1"/>
      <c r="B416" s="103"/>
      <c r="C416" s="8"/>
      <c r="E416" s="29"/>
      <c r="F416" s="47"/>
      <c r="J416" s="407"/>
      <c r="K416" s="493"/>
      <c r="L416" s="493"/>
      <c r="M416" s="47"/>
      <c r="N416" s="386"/>
      <c r="O416" s="497"/>
      <c r="P416" s="494"/>
    </row>
    <row r="417" spans="1:16" ht="15.75" customHeight="1">
      <c r="A417" s="1"/>
      <c r="B417" s="103"/>
      <c r="C417" s="8"/>
      <c r="E417" s="29"/>
      <c r="F417" s="47"/>
      <c r="J417" s="407"/>
      <c r="K417" s="493"/>
      <c r="L417" s="493"/>
      <c r="M417" s="47"/>
      <c r="N417" s="386"/>
      <c r="O417" s="497"/>
      <c r="P417" s="494"/>
    </row>
    <row r="418" spans="1:16" ht="15.75" customHeight="1">
      <c r="A418" s="1"/>
      <c r="B418" s="103"/>
      <c r="C418" s="8"/>
      <c r="E418" s="29"/>
      <c r="F418" s="47"/>
      <c r="J418" s="407"/>
      <c r="K418" s="493"/>
      <c r="L418" s="493"/>
      <c r="M418" s="47"/>
      <c r="N418" s="386"/>
      <c r="O418" s="497"/>
      <c r="P418" s="494"/>
    </row>
    <row r="419" spans="1:16" ht="15.75" customHeight="1">
      <c r="A419" s="1"/>
      <c r="B419" s="103"/>
      <c r="C419" s="8"/>
      <c r="E419" s="29"/>
      <c r="F419" s="47"/>
      <c r="J419" s="407"/>
      <c r="K419" s="493"/>
      <c r="L419" s="493"/>
      <c r="M419" s="47"/>
      <c r="N419" s="386"/>
      <c r="O419" s="497"/>
      <c r="P419" s="494"/>
    </row>
  </sheetData>
  <mergeCells count="9">
    <mergeCell ref="J2:P2"/>
    <mergeCell ref="J4:P4"/>
    <mergeCell ref="O5:P5"/>
    <mergeCell ref="O6:P6"/>
    <mergeCell ref="J52:O52"/>
    <mergeCell ref="J3:M3"/>
    <mergeCell ref="J11:J13"/>
    <mergeCell ref="J14:J16"/>
    <mergeCell ref="J6:K6"/>
  </mergeCells>
  <phoneticPr fontId="34" type="noConversion"/>
  <pageMargins left="0.23622047244094491" right="0.23622047244094491" top="0.31496062992125984" bottom="0.19685039370078741" header="0.31496062992125984" footer="0.31496062992125984"/>
  <pageSetup paperSize="9" scale="5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97"/>
  <sheetViews>
    <sheetView showGridLines="0" zoomScale="60" zoomScaleNormal="60" workbookViewId="0">
      <pane xSplit="2" ySplit="7" topLeftCell="C60" activePane="bottomRight" state="frozen"/>
      <selection pane="topRight" activeCell="C1" sqref="C1"/>
      <selection pane="bottomLeft" activeCell="A8" sqref="A8"/>
      <selection pane="bottomRight" activeCell="A74" sqref="A74"/>
    </sheetView>
  </sheetViews>
  <sheetFormatPr defaultColWidth="14.42578125" defaultRowHeight="15" customHeight="1"/>
  <cols>
    <col min="1" max="1" width="44.42578125" style="443" bestFit="1" customWidth="1"/>
    <col min="2" max="2" width="123.140625" style="200" customWidth="1"/>
    <col min="3" max="3" width="7.7109375" style="200" bestFit="1" customWidth="1"/>
    <col min="4" max="4" width="13.42578125" style="200" customWidth="1"/>
    <col min="5" max="5" width="13.5703125" style="200" customWidth="1"/>
    <col min="6" max="7" width="17.5703125" style="200" customWidth="1"/>
    <col min="8" max="8" width="17.85546875" style="200" bestFit="1" customWidth="1"/>
    <col min="9" max="9" width="30.42578125" style="200" bestFit="1" customWidth="1"/>
    <col min="10" max="12" width="8.85546875" style="200" customWidth="1"/>
    <col min="13" max="16384" width="14.42578125" style="200"/>
  </cols>
  <sheetData>
    <row r="1" spans="1:12" ht="36">
      <c r="A1" s="668" t="s">
        <v>611</v>
      </c>
      <c r="B1" s="669"/>
      <c r="C1" s="669"/>
      <c r="D1" s="669"/>
      <c r="E1" s="669"/>
      <c r="F1" s="669"/>
      <c r="G1" s="670"/>
      <c r="H1" s="669"/>
      <c r="I1" s="671"/>
      <c r="J1" s="199"/>
      <c r="K1" s="199"/>
      <c r="L1" s="199"/>
    </row>
    <row r="2" spans="1:12" ht="20.25" customHeight="1">
      <c r="A2" s="201"/>
      <c r="B2" s="202"/>
      <c r="C2" s="672"/>
      <c r="D2" s="673"/>
      <c r="E2" s="673"/>
      <c r="F2" s="673"/>
      <c r="G2" s="673"/>
      <c r="H2" s="673"/>
      <c r="I2" s="674"/>
      <c r="J2" s="199"/>
      <c r="K2" s="199"/>
      <c r="L2" s="199"/>
    </row>
    <row r="3" spans="1:12" ht="21" customHeight="1">
      <c r="A3" s="203"/>
      <c r="B3" s="204"/>
      <c r="C3" s="675" t="s">
        <v>612</v>
      </c>
      <c r="D3" s="669"/>
      <c r="E3" s="669"/>
      <c r="F3" s="669"/>
      <c r="G3" s="670"/>
      <c r="H3" s="669"/>
      <c r="I3" s="671"/>
      <c r="J3" s="199"/>
      <c r="K3" s="199"/>
      <c r="L3" s="199"/>
    </row>
    <row r="4" spans="1:12">
      <c r="A4" s="203"/>
      <c r="B4" s="204"/>
      <c r="C4" s="675" t="s">
        <v>613</v>
      </c>
      <c r="D4" s="669"/>
      <c r="E4" s="669"/>
      <c r="F4" s="669"/>
      <c r="G4" s="670"/>
      <c r="H4" s="669"/>
      <c r="I4" s="671"/>
      <c r="J4" s="199"/>
      <c r="K4" s="199"/>
      <c r="L4" s="199"/>
    </row>
    <row r="5" spans="1:12" ht="21" customHeight="1">
      <c r="A5" s="203"/>
      <c r="B5" s="204"/>
      <c r="C5" s="675"/>
      <c r="D5" s="669"/>
      <c r="E5" s="669"/>
      <c r="F5" s="669"/>
      <c r="G5" s="670"/>
      <c r="H5" s="669"/>
      <c r="I5" s="671"/>
      <c r="J5" s="199"/>
      <c r="K5" s="199"/>
      <c r="L5" s="199"/>
    </row>
    <row r="6" spans="1:12" ht="46.5">
      <c r="A6" s="205" t="s">
        <v>614</v>
      </c>
      <c r="B6" s="205" t="s">
        <v>615</v>
      </c>
      <c r="C6" s="205" t="s">
        <v>616</v>
      </c>
      <c r="D6" s="206" t="s">
        <v>617</v>
      </c>
      <c r="E6" s="205" t="s">
        <v>618</v>
      </c>
      <c r="F6" s="205" t="s">
        <v>619</v>
      </c>
      <c r="G6" s="205" t="s">
        <v>1106</v>
      </c>
      <c r="H6" s="207" t="s">
        <v>28</v>
      </c>
      <c r="I6" s="205" t="s">
        <v>26</v>
      </c>
      <c r="J6" s="199"/>
      <c r="K6" s="199"/>
      <c r="L6" s="199"/>
    </row>
    <row r="7" spans="1:12" ht="21">
      <c r="A7" s="414"/>
      <c r="B7" s="208"/>
      <c r="C7" s="208"/>
      <c r="D7" s="209"/>
      <c r="E7" s="210"/>
      <c r="F7" s="211"/>
      <c r="G7" s="211"/>
      <c r="H7" s="212"/>
      <c r="I7" s="213"/>
      <c r="J7" s="199"/>
      <c r="K7" s="199"/>
      <c r="L7" s="199"/>
    </row>
    <row r="8" spans="1:12" ht="409.5">
      <c r="A8" s="214" t="s">
        <v>919</v>
      </c>
      <c r="B8" s="215" t="s">
        <v>693</v>
      </c>
      <c r="C8" s="208"/>
      <c r="D8" s="209"/>
      <c r="E8" s="210"/>
      <c r="F8" s="211"/>
      <c r="G8" s="211"/>
      <c r="H8" s="212"/>
      <c r="I8" s="213"/>
      <c r="J8" s="199"/>
      <c r="K8" s="199"/>
      <c r="L8" s="199"/>
    </row>
    <row r="9" spans="1:12" ht="409.5">
      <c r="A9" s="345" t="s">
        <v>37</v>
      </c>
      <c r="B9" s="356" t="s">
        <v>989</v>
      </c>
      <c r="C9" s="354"/>
      <c r="D9" s="354"/>
      <c r="E9" s="354"/>
      <c r="F9" s="348" t="s">
        <v>620</v>
      </c>
      <c r="G9" s="348"/>
      <c r="H9" s="349">
        <f>H10/10.764</f>
        <v>833.77276105536998</v>
      </c>
      <c r="I9" s="355" t="s">
        <v>328</v>
      </c>
      <c r="J9" s="199"/>
      <c r="K9" s="199"/>
      <c r="L9" s="199"/>
    </row>
    <row r="10" spans="1:12" ht="24" customHeight="1">
      <c r="A10" s="225"/>
      <c r="B10" s="194"/>
      <c r="C10" s="220"/>
      <c r="D10" s="221"/>
      <c r="E10" s="220"/>
      <c r="F10" s="217" t="s">
        <v>620</v>
      </c>
      <c r="G10" s="217"/>
      <c r="H10" s="218">
        <f>SUM(H12:H114)</f>
        <v>8974.7300000000014</v>
      </c>
      <c r="I10" s="219" t="s">
        <v>621</v>
      </c>
      <c r="J10" s="222"/>
      <c r="K10" s="199"/>
      <c r="L10" s="199"/>
    </row>
    <row r="11" spans="1:12" ht="24" customHeight="1">
      <c r="A11" s="225"/>
      <c r="B11" s="223" t="s">
        <v>622</v>
      </c>
      <c r="C11" s="220"/>
      <c r="D11" s="221"/>
      <c r="E11" s="220"/>
      <c r="F11" s="217"/>
      <c r="G11" s="217"/>
      <c r="H11" s="212"/>
      <c r="I11" s="219"/>
      <c r="J11" s="222"/>
      <c r="K11" s="199"/>
      <c r="L11" s="199"/>
    </row>
    <row r="12" spans="1:12" ht="24" customHeight="1">
      <c r="A12" s="225"/>
      <c r="B12" s="224" t="s">
        <v>623</v>
      </c>
      <c r="C12" s="220">
        <v>1</v>
      </c>
      <c r="D12" s="221">
        <v>19</v>
      </c>
      <c r="E12" s="220">
        <v>12.75</v>
      </c>
      <c r="F12" s="217"/>
      <c r="G12" s="217"/>
      <c r="H12" s="212">
        <f t="shared" ref="H12:H28" si="0">C12*D12*E12</f>
        <v>242.25</v>
      </c>
      <c r="I12" s="219"/>
      <c r="J12" s="222"/>
      <c r="K12" s="199"/>
      <c r="L12" s="199"/>
    </row>
    <row r="13" spans="1:12" ht="24" customHeight="1">
      <c r="A13" s="225"/>
      <c r="B13" s="224" t="s">
        <v>624</v>
      </c>
      <c r="C13" s="220">
        <v>-1</v>
      </c>
      <c r="D13" s="221">
        <v>8</v>
      </c>
      <c r="E13" s="220">
        <v>5</v>
      </c>
      <c r="F13" s="217"/>
      <c r="G13" s="217"/>
      <c r="H13" s="212">
        <f t="shared" si="0"/>
        <v>-40</v>
      </c>
      <c r="I13" s="219"/>
      <c r="J13" s="222"/>
      <c r="K13" s="199"/>
      <c r="L13" s="199"/>
    </row>
    <row r="14" spans="1:12" ht="24" customHeight="1">
      <c r="A14" s="225"/>
      <c r="B14" s="224" t="s">
        <v>625</v>
      </c>
      <c r="C14" s="220">
        <v>1</v>
      </c>
      <c r="D14" s="221">
        <v>10.75</v>
      </c>
      <c r="E14" s="220">
        <v>12.5</v>
      </c>
      <c r="F14" s="217"/>
      <c r="G14" s="217"/>
      <c r="H14" s="212">
        <f t="shared" si="0"/>
        <v>134.375</v>
      </c>
      <c r="I14" s="219"/>
      <c r="J14" s="222"/>
      <c r="K14" s="199"/>
      <c r="L14" s="199"/>
    </row>
    <row r="15" spans="1:12" ht="24" customHeight="1">
      <c r="A15" s="225"/>
      <c r="B15" s="224" t="s">
        <v>770</v>
      </c>
      <c r="C15" s="220">
        <v>1</v>
      </c>
      <c r="D15" s="221">
        <v>13.25</v>
      </c>
      <c r="E15" s="220">
        <v>12.5</v>
      </c>
      <c r="F15" s="217"/>
      <c r="G15" s="217"/>
      <c r="H15" s="212">
        <f t="shared" si="0"/>
        <v>165.625</v>
      </c>
      <c r="I15" s="219"/>
      <c r="J15" s="222"/>
      <c r="K15" s="199"/>
      <c r="L15" s="199"/>
    </row>
    <row r="16" spans="1:12" ht="24" customHeight="1">
      <c r="A16" s="225"/>
      <c r="B16" s="224" t="s">
        <v>771</v>
      </c>
      <c r="C16" s="220">
        <v>1</v>
      </c>
      <c r="D16" s="221">
        <v>12.5</v>
      </c>
      <c r="E16" s="220">
        <v>12.5</v>
      </c>
      <c r="F16" s="217"/>
      <c r="G16" s="217"/>
      <c r="H16" s="212">
        <f t="shared" si="0"/>
        <v>156.25</v>
      </c>
      <c r="I16" s="219"/>
      <c r="J16" s="222"/>
      <c r="K16" s="199"/>
      <c r="L16" s="199"/>
    </row>
    <row r="17" spans="1:12" ht="24" customHeight="1">
      <c r="A17" s="225"/>
      <c r="B17" s="224" t="s">
        <v>626</v>
      </c>
      <c r="C17" s="220">
        <v>1</v>
      </c>
      <c r="D17" s="221">
        <v>5</v>
      </c>
      <c r="E17" s="220">
        <v>8</v>
      </c>
      <c r="F17" s="217"/>
      <c r="G17" s="217"/>
      <c r="H17" s="212">
        <f t="shared" si="0"/>
        <v>40</v>
      </c>
      <c r="I17" s="219"/>
      <c r="J17" s="222"/>
      <c r="K17" s="199"/>
      <c r="L17" s="199"/>
    </row>
    <row r="18" spans="1:12" ht="24" customHeight="1">
      <c r="A18" s="225"/>
      <c r="B18" s="224" t="s">
        <v>658</v>
      </c>
      <c r="C18" s="220">
        <v>1</v>
      </c>
      <c r="D18" s="221">
        <v>25.5</v>
      </c>
      <c r="E18" s="220">
        <v>16</v>
      </c>
      <c r="F18" s="217"/>
      <c r="G18" s="217"/>
      <c r="H18" s="212">
        <f t="shared" si="0"/>
        <v>408</v>
      </c>
      <c r="I18" s="219"/>
      <c r="J18" s="222"/>
      <c r="K18" s="199"/>
      <c r="L18" s="199"/>
    </row>
    <row r="19" spans="1:12" ht="24" customHeight="1">
      <c r="A19" s="225"/>
      <c r="B19" s="224" t="s">
        <v>759</v>
      </c>
      <c r="C19" s="220">
        <v>-1</v>
      </c>
      <c r="D19" s="221">
        <v>13.5</v>
      </c>
      <c r="E19" s="220">
        <v>5</v>
      </c>
      <c r="F19" s="217"/>
      <c r="G19" s="217"/>
      <c r="H19" s="212">
        <f t="shared" si="0"/>
        <v>-67.5</v>
      </c>
      <c r="I19" s="219"/>
      <c r="J19" s="222"/>
      <c r="K19" s="199"/>
      <c r="L19" s="199"/>
    </row>
    <row r="20" spans="1:12" ht="24" customHeight="1">
      <c r="A20" s="225"/>
      <c r="B20" s="224" t="s">
        <v>1008</v>
      </c>
      <c r="C20" s="220">
        <v>1</v>
      </c>
      <c r="D20" s="221">
        <v>23.25</v>
      </c>
      <c r="E20" s="220">
        <v>16</v>
      </c>
      <c r="F20" s="225"/>
      <c r="G20" s="225"/>
      <c r="H20" s="212">
        <f t="shared" si="0"/>
        <v>372</v>
      </c>
      <c r="I20" s="219"/>
      <c r="J20" s="222"/>
      <c r="K20" s="199"/>
      <c r="L20" s="199"/>
    </row>
    <row r="21" spans="1:12" ht="24" customHeight="1">
      <c r="A21" s="225"/>
      <c r="B21" s="224" t="s">
        <v>628</v>
      </c>
      <c r="C21" s="220">
        <v>1</v>
      </c>
      <c r="D21" s="221">
        <v>6.75</v>
      </c>
      <c r="E21" s="220">
        <v>6</v>
      </c>
      <c r="F21" s="225"/>
      <c r="G21" s="225"/>
      <c r="H21" s="212">
        <f t="shared" si="0"/>
        <v>40.5</v>
      </c>
      <c r="I21" s="219"/>
      <c r="J21" s="222"/>
      <c r="K21" s="199"/>
      <c r="L21" s="199"/>
    </row>
    <row r="22" spans="1:12" ht="24" customHeight="1">
      <c r="A22" s="433"/>
      <c r="B22" s="226" t="s">
        <v>778</v>
      </c>
      <c r="C22" s="226">
        <v>1</v>
      </c>
      <c r="D22" s="227">
        <v>8.5</v>
      </c>
      <c r="E22" s="226">
        <v>11.25</v>
      </c>
      <c r="F22" s="226"/>
      <c r="G22" s="226"/>
      <c r="H22" s="228">
        <f t="shared" si="0"/>
        <v>95.625</v>
      </c>
      <c r="I22" s="226"/>
      <c r="J22" s="199"/>
      <c r="K22" s="199"/>
      <c r="L22" s="199"/>
    </row>
    <row r="23" spans="1:12" ht="24" customHeight="1">
      <c r="A23" s="433"/>
      <c r="B23" s="226" t="s">
        <v>629</v>
      </c>
      <c r="C23" s="226">
        <v>1</v>
      </c>
      <c r="D23" s="227">
        <v>7.5</v>
      </c>
      <c r="E23" s="226">
        <v>11.75</v>
      </c>
      <c r="F23" s="226"/>
      <c r="G23" s="226"/>
      <c r="H23" s="228">
        <f t="shared" si="0"/>
        <v>88.125</v>
      </c>
      <c r="I23" s="226"/>
      <c r="J23" s="199"/>
      <c r="K23" s="199"/>
      <c r="L23" s="199"/>
    </row>
    <row r="24" spans="1:12" ht="24" customHeight="1">
      <c r="A24" s="433"/>
      <c r="B24" s="226" t="s">
        <v>779</v>
      </c>
      <c r="C24" s="226">
        <v>1</v>
      </c>
      <c r="D24" s="227">
        <v>8.75</v>
      </c>
      <c r="E24" s="226">
        <v>11.25</v>
      </c>
      <c r="F24" s="226"/>
      <c r="G24" s="226"/>
      <c r="H24" s="228">
        <f t="shared" si="0"/>
        <v>98.4375</v>
      </c>
      <c r="I24" s="226"/>
      <c r="J24" s="199"/>
      <c r="K24" s="199"/>
      <c r="L24" s="199"/>
    </row>
    <row r="25" spans="1:12" ht="24" customHeight="1">
      <c r="A25" s="433"/>
      <c r="B25" s="226" t="s">
        <v>630</v>
      </c>
      <c r="C25" s="226">
        <v>1</v>
      </c>
      <c r="D25" s="227">
        <v>13.5</v>
      </c>
      <c r="E25" s="226">
        <v>28.5</v>
      </c>
      <c r="F25" s="226"/>
      <c r="G25" s="226"/>
      <c r="H25" s="228">
        <f t="shared" si="0"/>
        <v>384.75</v>
      </c>
      <c r="I25" s="226"/>
      <c r="J25" s="199"/>
      <c r="K25" s="199"/>
      <c r="L25" s="199"/>
    </row>
    <row r="26" spans="1:12" ht="24" customHeight="1">
      <c r="A26" s="433"/>
      <c r="B26" s="226" t="s">
        <v>760</v>
      </c>
      <c r="C26" s="226">
        <v>1</v>
      </c>
      <c r="D26" s="227">
        <v>22.25</v>
      </c>
      <c r="E26" s="226">
        <v>8</v>
      </c>
      <c r="F26" s="226"/>
      <c r="G26" s="226"/>
      <c r="H26" s="228">
        <f t="shared" si="0"/>
        <v>178</v>
      </c>
      <c r="I26" s="226"/>
      <c r="J26" s="199"/>
      <c r="K26" s="199"/>
      <c r="L26" s="199"/>
    </row>
    <row r="27" spans="1:12" ht="24" customHeight="1">
      <c r="A27" s="433"/>
      <c r="B27" s="226" t="s">
        <v>631</v>
      </c>
      <c r="C27" s="226">
        <v>1</v>
      </c>
      <c r="D27" s="227">
        <v>12.5</v>
      </c>
      <c r="E27" s="226">
        <v>8</v>
      </c>
      <c r="F27" s="226"/>
      <c r="G27" s="226"/>
      <c r="H27" s="228">
        <f t="shared" si="0"/>
        <v>100</v>
      </c>
      <c r="I27" s="226"/>
      <c r="J27" s="199"/>
      <c r="K27" s="199"/>
      <c r="L27" s="199"/>
    </row>
    <row r="28" spans="1:12" ht="24" customHeight="1">
      <c r="A28" s="433"/>
      <c r="B28" s="226" t="s">
        <v>761</v>
      </c>
      <c r="C28" s="226">
        <v>1</v>
      </c>
      <c r="D28" s="227">
        <v>7.75</v>
      </c>
      <c r="E28" s="226">
        <v>5.25</v>
      </c>
      <c r="F28" s="226"/>
      <c r="G28" s="226"/>
      <c r="H28" s="228">
        <f t="shared" si="0"/>
        <v>40.6875</v>
      </c>
      <c r="I28" s="226"/>
      <c r="J28" s="199"/>
      <c r="K28" s="199"/>
      <c r="L28" s="199"/>
    </row>
    <row r="29" spans="1:12" ht="24" customHeight="1">
      <c r="A29" s="433"/>
      <c r="B29" s="226" t="s">
        <v>765</v>
      </c>
      <c r="C29" s="226"/>
      <c r="D29" s="227"/>
      <c r="E29" s="226"/>
      <c r="F29" s="226"/>
      <c r="G29" s="226"/>
      <c r="H29" s="228">
        <f>C29*D29*E29</f>
        <v>0</v>
      </c>
      <c r="I29" s="226"/>
      <c r="J29" s="199"/>
      <c r="K29" s="199"/>
      <c r="L29" s="199"/>
    </row>
    <row r="30" spans="1:12" ht="24" customHeight="1">
      <c r="A30" s="433"/>
      <c r="B30" s="226" t="s">
        <v>762</v>
      </c>
      <c r="C30" s="226">
        <v>1</v>
      </c>
      <c r="D30" s="227">
        <v>3.75</v>
      </c>
      <c r="E30" s="226">
        <v>3.25</v>
      </c>
      <c r="F30" s="226"/>
      <c r="G30" s="226"/>
      <c r="H30" s="228">
        <f t="shared" ref="H30:H37" si="1">C30*D30*E30</f>
        <v>12.1875</v>
      </c>
      <c r="I30" s="226"/>
      <c r="J30" s="199"/>
      <c r="K30" s="199"/>
      <c r="L30" s="199"/>
    </row>
    <row r="31" spans="1:12" ht="24" customHeight="1">
      <c r="A31" s="433"/>
      <c r="B31" s="226"/>
      <c r="C31" s="226">
        <v>1</v>
      </c>
      <c r="D31" s="227">
        <v>4</v>
      </c>
      <c r="E31" s="226">
        <v>3.75</v>
      </c>
      <c r="F31" s="226"/>
      <c r="G31" s="226"/>
      <c r="H31" s="228">
        <f t="shared" si="1"/>
        <v>15</v>
      </c>
      <c r="I31" s="226"/>
      <c r="J31" s="199"/>
      <c r="K31" s="199"/>
      <c r="L31" s="199"/>
    </row>
    <row r="32" spans="1:12" ht="24" customHeight="1">
      <c r="A32" s="433"/>
      <c r="B32" s="226" t="s">
        <v>763</v>
      </c>
      <c r="C32" s="226">
        <v>1</v>
      </c>
      <c r="D32" s="227">
        <v>3.25</v>
      </c>
      <c r="E32" s="226">
        <v>4</v>
      </c>
      <c r="F32" s="226"/>
      <c r="G32" s="226"/>
      <c r="H32" s="228">
        <f t="shared" si="1"/>
        <v>13</v>
      </c>
      <c r="I32" s="226"/>
      <c r="J32" s="199"/>
      <c r="K32" s="199"/>
      <c r="L32" s="199"/>
    </row>
    <row r="33" spans="1:12" ht="24" customHeight="1">
      <c r="A33" s="433"/>
      <c r="B33" s="226" t="s">
        <v>764</v>
      </c>
      <c r="C33" s="226">
        <v>1</v>
      </c>
      <c r="D33" s="227">
        <v>8.25</v>
      </c>
      <c r="E33" s="226">
        <v>4</v>
      </c>
      <c r="F33" s="226"/>
      <c r="G33" s="226"/>
      <c r="H33" s="228">
        <f t="shared" si="1"/>
        <v>33</v>
      </c>
      <c r="I33" s="226"/>
      <c r="J33" s="199"/>
      <c r="K33" s="199"/>
      <c r="L33" s="199"/>
    </row>
    <row r="34" spans="1:12" ht="24" customHeight="1">
      <c r="A34" s="433"/>
      <c r="B34" s="226" t="s">
        <v>766</v>
      </c>
      <c r="C34" s="226"/>
      <c r="D34" s="227"/>
      <c r="E34" s="226"/>
      <c r="F34" s="226"/>
      <c r="G34" s="226"/>
      <c r="H34" s="228">
        <f t="shared" si="1"/>
        <v>0</v>
      </c>
      <c r="I34" s="226"/>
      <c r="J34" s="199"/>
      <c r="K34" s="199"/>
      <c r="L34" s="199"/>
    </row>
    <row r="35" spans="1:12" ht="24" customHeight="1">
      <c r="A35" s="433"/>
      <c r="B35" s="226" t="s">
        <v>762</v>
      </c>
      <c r="C35" s="226">
        <v>1</v>
      </c>
      <c r="D35" s="227">
        <v>3.75</v>
      </c>
      <c r="E35" s="226">
        <v>6.75</v>
      </c>
      <c r="F35" s="226"/>
      <c r="G35" s="226"/>
      <c r="H35" s="228">
        <f t="shared" si="1"/>
        <v>25.3125</v>
      </c>
      <c r="I35" s="226"/>
      <c r="J35" s="199"/>
      <c r="K35" s="199"/>
      <c r="L35" s="199"/>
    </row>
    <row r="36" spans="1:12" ht="24" customHeight="1">
      <c r="A36" s="433"/>
      <c r="B36" s="226"/>
      <c r="C36" s="226">
        <v>1</v>
      </c>
      <c r="D36" s="227">
        <v>3.25</v>
      </c>
      <c r="E36" s="226">
        <v>8.5</v>
      </c>
      <c r="F36" s="226"/>
      <c r="G36" s="226"/>
      <c r="H36" s="228">
        <f t="shared" si="1"/>
        <v>27.625</v>
      </c>
      <c r="I36" s="226"/>
      <c r="J36" s="199"/>
      <c r="K36" s="199"/>
      <c r="L36" s="199"/>
    </row>
    <row r="37" spans="1:12" ht="24" customHeight="1">
      <c r="A37" s="433"/>
      <c r="B37" s="226" t="s">
        <v>763</v>
      </c>
      <c r="C37" s="226">
        <v>1</v>
      </c>
      <c r="D37" s="227">
        <v>4</v>
      </c>
      <c r="E37" s="226">
        <v>4</v>
      </c>
      <c r="F37" s="226"/>
      <c r="G37" s="226"/>
      <c r="H37" s="228">
        <f t="shared" si="1"/>
        <v>16</v>
      </c>
      <c r="I37" s="226"/>
      <c r="J37" s="199"/>
      <c r="K37" s="199"/>
      <c r="L37" s="199"/>
    </row>
    <row r="38" spans="1:12" ht="24" customHeight="1">
      <c r="A38" s="433"/>
      <c r="B38" s="226"/>
      <c r="C38" s="226"/>
      <c r="D38" s="227"/>
      <c r="E38" s="226"/>
      <c r="F38" s="226"/>
      <c r="G38" s="226"/>
      <c r="H38" s="228"/>
      <c r="I38" s="226"/>
      <c r="J38" s="199"/>
      <c r="K38" s="199"/>
      <c r="L38" s="199"/>
    </row>
    <row r="39" spans="1:12" ht="24" customHeight="1">
      <c r="A39" s="433"/>
      <c r="B39" s="226"/>
      <c r="C39" s="226"/>
      <c r="D39" s="227"/>
      <c r="E39" s="226"/>
      <c r="F39" s="226"/>
      <c r="G39" s="226"/>
      <c r="H39" s="228"/>
      <c r="I39" s="226"/>
      <c r="J39" s="199"/>
      <c r="K39" s="199"/>
      <c r="L39" s="199"/>
    </row>
    <row r="40" spans="1:12" ht="24" customHeight="1">
      <c r="A40" s="433"/>
      <c r="B40" s="223" t="s">
        <v>637</v>
      </c>
      <c r="C40" s="226"/>
      <c r="D40" s="227"/>
      <c r="E40" s="226"/>
      <c r="F40" s="226"/>
      <c r="G40" s="226"/>
      <c r="H40" s="228"/>
      <c r="I40" s="226"/>
      <c r="J40" s="199"/>
      <c r="K40" s="199"/>
      <c r="L40" s="199"/>
    </row>
    <row r="41" spans="1:12" ht="24" customHeight="1">
      <c r="A41" s="433"/>
      <c r="B41" s="226" t="s">
        <v>767</v>
      </c>
      <c r="C41" s="226">
        <v>1</v>
      </c>
      <c r="D41" s="227">
        <v>11.33</v>
      </c>
      <c r="E41" s="226">
        <v>16</v>
      </c>
      <c r="F41" s="226"/>
      <c r="G41" s="226"/>
      <c r="H41" s="228">
        <f t="shared" ref="H41:H55" si="2">C41*D41*E41</f>
        <v>181.28</v>
      </c>
      <c r="I41" s="226"/>
      <c r="J41" s="199"/>
      <c r="K41" s="199"/>
      <c r="L41" s="199"/>
    </row>
    <row r="42" spans="1:12" ht="24" customHeight="1">
      <c r="A42" s="433"/>
      <c r="B42" s="226" t="s">
        <v>769</v>
      </c>
      <c r="C42" s="226">
        <v>1</v>
      </c>
      <c r="D42" s="227">
        <v>6.75</v>
      </c>
      <c r="E42" s="226">
        <v>6</v>
      </c>
      <c r="F42" s="226"/>
      <c r="G42" s="226"/>
      <c r="H42" s="228">
        <f t="shared" si="2"/>
        <v>40.5</v>
      </c>
      <c r="I42" s="226"/>
      <c r="J42" s="199"/>
      <c r="K42" s="199"/>
      <c r="L42" s="199"/>
    </row>
    <row r="43" spans="1:12" ht="24" customHeight="1">
      <c r="A43" s="433"/>
      <c r="B43" s="226" t="s">
        <v>768</v>
      </c>
      <c r="C43" s="226">
        <v>1</v>
      </c>
      <c r="D43" s="227">
        <v>11.75</v>
      </c>
      <c r="E43" s="226">
        <v>16</v>
      </c>
      <c r="F43" s="226"/>
      <c r="G43" s="226"/>
      <c r="H43" s="228">
        <f t="shared" si="2"/>
        <v>188</v>
      </c>
      <c r="I43" s="226"/>
      <c r="J43" s="199"/>
      <c r="K43" s="199"/>
      <c r="L43" s="199"/>
    </row>
    <row r="44" spans="1:12" ht="24" customHeight="1">
      <c r="A44" s="433"/>
      <c r="B44" s="226" t="s">
        <v>770</v>
      </c>
      <c r="C44" s="226">
        <v>1</v>
      </c>
      <c r="D44" s="227">
        <v>12.75</v>
      </c>
      <c r="E44" s="226">
        <v>16</v>
      </c>
      <c r="F44" s="226"/>
      <c r="G44" s="226"/>
      <c r="H44" s="228">
        <f t="shared" si="2"/>
        <v>204</v>
      </c>
      <c r="I44" s="226"/>
      <c r="J44" s="199"/>
      <c r="K44" s="199"/>
      <c r="L44" s="199"/>
    </row>
    <row r="45" spans="1:12" ht="24" customHeight="1">
      <c r="A45" s="433"/>
      <c r="B45" s="226" t="s">
        <v>771</v>
      </c>
      <c r="C45" s="226">
        <v>1</v>
      </c>
      <c r="D45" s="227">
        <v>12.5</v>
      </c>
      <c r="E45" s="226">
        <v>16</v>
      </c>
      <c r="F45" s="226"/>
      <c r="G45" s="226"/>
      <c r="H45" s="228">
        <f t="shared" si="2"/>
        <v>200</v>
      </c>
      <c r="I45" s="226"/>
      <c r="J45" s="199"/>
      <c r="K45" s="199"/>
      <c r="L45" s="199"/>
    </row>
    <row r="46" spans="1:12" ht="24" customHeight="1">
      <c r="A46" s="433"/>
      <c r="B46" s="226" t="s">
        <v>772</v>
      </c>
      <c r="C46" s="226">
        <v>1</v>
      </c>
      <c r="D46" s="227">
        <v>12.5</v>
      </c>
      <c r="E46" s="226">
        <v>12.5</v>
      </c>
      <c r="F46" s="226"/>
      <c r="G46" s="226"/>
      <c r="H46" s="228">
        <f t="shared" si="2"/>
        <v>156.25</v>
      </c>
      <c r="I46" s="226"/>
      <c r="J46" s="199"/>
      <c r="K46" s="199"/>
      <c r="L46" s="199"/>
    </row>
    <row r="47" spans="1:12" ht="24" customHeight="1">
      <c r="A47" s="433"/>
      <c r="B47" s="226" t="s">
        <v>773</v>
      </c>
      <c r="C47" s="226">
        <v>1</v>
      </c>
      <c r="D47" s="227">
        <v>12.75</v>
      </c>
      <c r="E47" s="226">
        <v>12.5</v>
      </c>
      <c r="F47" s="226"/>
      <c r="G47" s="226"/>
      <c r="H47" s="228">
        <f t="shared" si="2"/>
        <v>159.375</v>
      </c>
      <c r="I47" s="226"/>
      <c r="J47" s="199"/>
      <c r="K47" s="199"/>
      <c r="L47" s="199"/>
    </row>
    <row r="48" spans="1:12" ht="24" customHeight="1">
      <c r="A48" s="433"/>
      <c r="B48" s="226" t="s">
        <v>774</v>
      </c>
      <c r="C48" s="226">
        <v>1</v>
      </c>
      <c r="D48" s="227">
        <v>10.75</v>
      </c>
      <c r="E48" s="226">
        <v>12.5</v>
      </c>
      <c r="F48" s="226"/>
      <c r="G48" s="226"/>
      <c r="H48" s="228">
        <f t="shared" si="2"/>
        <v>134.375</v>
      </c>
      <c r="I48" s="226"/>
      <c r="J48" s="199"/>
      <c r="K48" s="199"/>
      <c r="L48" s="199"/>
    </row>
    <row r="49" spans="1:12" ht="24" customHeight="1">
      <c r="A49" s="433"/>
      <c r="B49" s="226" t="s">
        <v>775</v>
      </c>
      <c r="C49" s="226">
        <v>1</v>
      </c>
      <c r="D49" s="227">
        <v>8.5</v>
      </c>
      <c r="E49" s="226">
        <v>11.25</v>
      </c>
      <c r="F49" s="226"/>
      <c r="G49" s="226"/>
      <c r="H49" s="228">
        <f t="shared" si="2"/>
        <v>95.625</v>
      </c>
      <c r="I49" s="226"/>
      <c r="J49" s="199"/>
      <c r="K49" s="199"/>
      <c r="L49" s="199"/>
    </row>
    <row r="50" spans="1:12" ht="24" customHeight="1">
      <c r="A50" s="433"/>
      <c r="B50" s="226" t="s">
        <v>776</v>
      </c>
      <c r="C50" s="226">
        <v>1</v>
      </c>
      <c r="D50" s="227">
        <v>8.75</v>
      </c>
      <c r="E50" s="226">
        <v>11.25</v>
      </c>
      <c r="F50" s="226"/>
      <c r="G50" s="226"/>
      <c r="H50" s="228">
        <f t="shared" si="2"/>
        <v>98.4375</v>
      </c>
      <c r="I50" s="226"/>
      <c r="J50" s="199"/>
      <c r="K50" s="199"/>
      <c r="L50" s="199"/>
    </row>
    <row r="51" spans="1:12" ht="24" customHeight="1">
      <c r="A51" s="433"/>
      <c r="B51" s="226" t="s">
        <v>777</v>
      </c>
      <c r="C51" s="226">
        <v>1</v>
      </c>
      <c r="D51" s="227">
        <v>8.25</v>
      </c>
      <c r="E51" s="226">
        <v>11.25</v>
      </c>
      <c r="F51" s="226"/>
      <c r="G51" s="226"/>
      <c r="H51" s="228">
        <f t="shared" si="2"/>
        <v>92.8125</v>
      </c>
      <c r="I51" s="226"/>
      <c r="J51" s="199"/>
      <c r="K51" s="199"/>
      <c r="L51" s="199"/>
    </row>
    <row r="52" spans="1:12" ht="24" customHeight="1">
      <c r="A52" s="433"/>
      <c r="B52" s="226" t="s">
        <v>630</v>
      </c>
      <c r="C52" s="226">
        <v>1</v>
      </c>
      <c r="D52" s="227">
        <v>13.5</v>
      </c>
      <c r="E52" s="226">
        <v>28.5</v>
      </c>
      <c r="F52" s="226"/>
      <c r="G52" s="226"/>
      <c r="H52" s="228">
        <f t="shared" si="2"/>
        <v>384.75</v>
      </c>
      <c r="I52" s="226"/>
      <c r="J52" s="199"/>
      <c r="K52" s="199"/>
      <c r="L52" s="199"/>
    </row>
    <row r="53" spans="1:12" ht="24" customHeight="1">
      <c r="A53" s="433"/>
      <c r="B53" s="226" t="s">
        <v>639</v>
      </c>
      <c r="C53" s="226">
        <v>1</v>
      </c>
      <c r="D53" s="227">
        <v>22.25</v>
      </c>
      <c r="E53" s="226">
        <v>8</v>
      </c>
      <c r="F53" s="226"/>
      <c r="G53" s="226"/>
      <c r="H53" s="228">
        <f t="shared" si="2"/>
        <v>178</v>
      </c>
      <c r="I53" s="226"/>
      <c r="J53" s="199"/>
      <c r="K53" s="199"/>
      <c r="L53" s="199"/>
    </row>
    <row r="54" spans="1:12" ht="24" customHeight="1">
      <c r="A54" s="433"/>
      <c r="B54" s="226" t="s">
        <v>639</v>
      </c>
      <c r="C54" s="226">
        <v>1</v>
      </c>
      <c r="D54" s="227">
        <v>12.5</v>
      </c>
      <c r="E54" s="226">
        <v>8</v>
      </c>
      <c r="F54" s="226"/>
      <c r="G54" s="226"/>
      <c r="H54" s="228">
        <f t="shared" si="2"/>
        <v>100</v>
      </c>
      <c r="I54" s="226"/>
      <c r="J54" s="199"/>
      <c r="K54" s="199"/>
      <c r="L54" s="199"/>
    </row>
    <row r="55" spans="1:12" ht="24" customHeight="1">
      <c r="A55" s="433"/>
      <c r="B55" s="226" t="s">
        <v>761</v>
      </c>
      <c r="C55" s="226">
        <v>1</v>
      </c>
      <c r="D55" s="227">
        <v>7.75</v>
      </c>
      <c r="E55" s="226">
        <v>4.5</v>
      </c>
      <c r="F55" s="226"/>
      <c r="G55" s="226"/>
      <c r="H55" s="228">
        <f t="shared" si="2"/>
        <v>34.875</v>
      </c>
      <c r="I55" s="226"/>
      <c r="J55" s="199"/>
      <c r="K55" s="199"/>
      <c r="L55" s="199"/>
    </row>
    <row r="56" spans="1:12" ht="24" customHeight="1">
      <c r="A56" s="433"/>
      <c r="B56" s="226" t="s">
        <v>765</v>
      </c>
      <c r="C56" s="226"/>
      <c r="D56" s="227"/>
      <c r="E56" s="226"/>
      <c r="F56" s="226"/>
      <c r="G56" s="226"/>
      <c r="H56" s="228">
        <f>C56*D56*E56</f>
        <v>0</v>
      </c>
      <c r="I56" s="226"/>
      <c r="J56" s="199"/>
      <c r="K56" s="199"/>
      <c r="L56" s="199"/>
    </row>
    <row r="57" spans="1:12" ht="24" customHeight="1">
      <c r="A57" s="433"/>
      <c r="B57" s="226" t="s">
        <v>762</v>
      </c>
      <c r="C57" s="226">
        <v>1</v>
      </c>
      <c r="D57" s="227">
        <v>3.75</v>
      </c>
      <c r="E57" s="226">
        <v>6.75</v>
      </c>
      <c r="F57" s="226"/>
      <c r="G57" s="226"/>
      <c r="H57" s="228">
        <f t="shared" ref="H57:H63" si="3">C57*D57*E57</f>
        <v>25.3125</v>
      </c>
      <c r="I57" s="226"/>
      <c r="J57" s="199"/>
      <c r="K57" s="199"/>
      <c r="L57" s="199"/>
    </row>
    <row r="58" spans="1:12" ht="24" customHeight="1">
      <c r="A58" s="433"/>
      <c r="B58" s="226" t="s">
        <v>763</v>
      </c>
      <c r="C58" s="226">
        <v>1</v>
      </c>
      <c r="D58" s="227">
        <v>3.75</v>
      </c>
      <c r="E58" s="226">
        <v>8</v>
      </c>
      <c r="F58" s="226"/>
      <c r="G58" s="226"/>
      <c r="H58" s="228">
        <f t="shared" si="3"/>
        <v>30</v>
      </c>
      <c r="I58" s="226"/>
      <c r="J58" s="199"/>
      <c r="K58" s="199"/>
      <c r="L58" s="199"/>
    </row>
    <row r="59" spans="1:12" ht="24" customHeight="1">
      <c r="A59" s="433"/>
      <c r="B59" s="226" t="s">
        <v>764</v>
      </c>
      <c r="C59" s="226">
        <v>1</v>
      </c>
      <c r="D59" s="227">
        <v>8.25</v>
      </c>
      <c r="E59" s="226">
        <v>4</v>
      </c>
      <c r="F59" s="226"/>
      <c r="G59" s="226"/>
      <c r="H59" s="228">
        <f t="shared" si="3"/>
        <v>33</v>
      </c>
      <c r="I59" s="226"/>
      <c r="J59" s="199"/>
      <c r="K59" s="199"/>
      <c r="L59" s="199"/>
    </row>
    <row r="60" spans="1:12" ht="24" customHeight="1">
      <c r="A60" s="433"/>
      <c r="B60" s="226" t="s">
        <v>766</v>
      </c>
      <c r="C60" s="226"/>
      <c r="D60" s="227"/>
      <c r="E60" s="226"/>
      <c r="F60" s="226"/>
      <c r="G60" s="226"/>
      <c r="H60" s="228">
        <f t="shared" si="3"/>
        <v>0</v>
      </c>
      <c r="I60" s="226"/>
      <c r="J60" s="199"/>
      <c r="K60" s="199"/>
      <c r="L60" s="199"/>
    </row>
    <row r="61" spans="1:12" ht="24" customHeight="1">
      <c r="A61" s="433"/>
      <c r="B61" s="226" t="s">
        <v>762</v>
      </c>
      <c r="C61" s="226">
        <v>1</v>
      </c>
      <c r="D61" s="227">
        <v>3.75</v>
      </c>
      <c r="E61" s="226">
        <v>3.25</v>
      </c>
      <c r="F61" s="226"/>
      <c r="G61" s="226"/>
      <c r="H61" s="228">
        <f t="shared" si="3"/>
        <v>12.1875</v>
      </c>
      <c r="I61" s="226"/>
      <c r="J61" s="199"/>
      <c r="K61" s="199"/>
      <c r="L61" s="199"/>
    </row>
    <row r="62" spans="1:12" ht="24" customHeight="1">
      <c r="A62" s="433"/>
      <c r="B62" s="226"/>
      <c r="C62" s="226">
        <v>1</v>
      </c>
      <c r="D62" s="227">
        <v>8.5</v>
      </c>
      <c r="E62" s="226">
        <v>3.5</v>
      </c>
      <c r="F62" s="226"/>
      <c r="G62" s="226"/>
      <c r="H62" s="228">
        <f t="shared" si="3"/>
        <v>29.75</v>
      </c>
      <c r="I62" s="226"/>
      <c r="J62" s="199"/>
      <c r="K62" s="199"/>
      <c r="L62" s="199"/>
    </row>
    <row r="63" spans="1:12" ht="24" customHeight="1">
      <c r="A63" s="433"/>
      <c r="B63" s="226" t="s">
        <v>763</v>
      </c>
      <c r="C63" s="226">
        <v>1</v>
      </c>
      <c r="D63" s="227">
        <v>4</v>
      </c>
      <c r="E63" s="226">
        <v>4</v>
      </c>
      <c r="F63" s="226"/>
      <c r="G63" s="226"/>
      <c r="H63" s="228">
        <f t="shared" si="3"/>
        <v>16</v>
      </c>
      <c r="I63" s="226"/>
      <c r="J63" s="199"/>
      <c r="K63" s="199"/>
      <c r="L63" s="199"/>
    </row>
    <row r="64" spans="1:12" ht="24" customHeight="1">
      <c r="A64" s="433"/>
      <c r="B64" s="226"/>
      <c r="C64" s="226"/>
      <c r="D64" s="227"/>
      <c r="E64" s="226"/>
      <c r="F64" s="226"/>
      <c r="G64" s="226"/>
      <c r="H64" s="228"/>
      <c r="I64" s="226"/>
      <c r="J64" s="199"/>
      <c r="K64" s="199"/>
      <c r="L64" s="199"/>
    </row>
    <row r="65" spans="1:12" ht="24" customHeight="1">
      <c r="A65" s="433"/>
      <c r="B65" s="226"/>
      <c r="C65" s="226"/>
      <c r="D65" s="227"/>
      <c r="E65" s="226"/>
      <c r="F65" s="226"/>
      <c r="G65" s="226"/>
      <c r="H65" s="228"/>
      <c r="I65" s="226"/>
      <c r="J65" s="199"/>
      <c r="K65" s="199"/>
      <c r="L65" s="199"/>
    </row>
    <row r="66" spans="1:12" ht="24" customHeight="1">
      <c r="A66" s="433"/>
      <c r="B66" s="223" t="s">
        <v>640</v>
      </c>
      <c r="C66" s="226"/>
      <c r="D66" s="227"/>
      <c r="E66" s="226"/>
      <c r="F66" s="226"/>
      <c r="G66" s="226"/>
      <c r="H66" s="228"/>
      <c r="I66" s="226"/>
      <c r="J66" s="199"/>
      <c r="K66" s="199"/>
      <c r="L66" s="199"/>
    </row>
    <row r="67" spans="1:12" ht="24" customHeight="1">
      <c r="A67" s="433"/>
      <c r="B67" s="226" t="s">
        <v>641</v>
      </c>
      <c r="C67" s="226">
        <v>1</v>
      </c>
      <c r="D67" s="227">
        <v>37.25</v>
      </c>
      <c r="E67" s="226">
        <v>24.75</v>
      </c>
      <c r="F67" s="226"/>
      <c r="G67" s="226"/>
      <c r="H67" s="228">
        <f t="shared" ref="H67:H85" si="4">C67*D67*E67</f>
        <v>921.9375</v>
      </c>
      <c r="I67" s="226"/>
      <c r="J67" s="199"/>
      <c r="K67" s="199"/>
      <c r="L67" s="199"/>
    </row>
    <row r="68" spans="1:12" ht="24" customHeight="1">
      <c r="A68" s="433"/>
      <c r="B68" s="226" t="s">
        <v>642</v>
      </c>
      <c r="C68" s="226">
        <v>-1</v>
      </c>
      <c r="D68" s="227">
        <v>12.25</v>
      </c>
      <c r="E68" s="226">
        <v>8.75</v>
      </c>
      <c r="F68" s="226"/>
      <c r="G68" s="226"/>
      <c r="H68" s="228">
        <f t="shared" si="4"/>
        <v>-107.1875</v>
      </c>
      <c r="I68" s="226"/>
      <c r="J68" s="199"/>
      <c r="K68" s="199"/>
      <c r="L68" s="199"/>
    </row>
    <row r="69" spans="1:12" ht="24" customHeight="1">
      <c r="A69" s="433"/>
      <c r="B69" s="226" t="s">
        <v>643</v>
      </c>
      <c r="C69" s="226">
        <v>1</v>
      </c>
      <c r="D69" s="227">
        <v>12</v>
      </c>
      <c r="E69" s="226">
        <v>8.5</v>
      </c>
      <c r="F69" s="226"/>
      <c r="G69" s="226"/>
      <c r="H69" s="228">
        <f t="shared" si="4"/>
        <v>102</v>
      </c>
      <c r="I69" s="226"/>
      <c r="J69" s="199"/>
      <c r="K69" s="199"/>
      <c r="L69" s="199"/>
    </row>
    <row r="70" spans="1:12" ht="24" customHeight="1">
      <c r="A70" s="433"/>
      <c r="B70" s="226" t="s">
        <v>644</v>
      </c>
      <c r="C70" s="226">
        <v>1</v>
      </c>
      <c r="D70" s="227">
        <v>12.5</v>
      </c>
      <c r="E70" s="226">
        <v>49</v>
      </c>
      <c r="F70" s="226"/>
      <c r="G70" s="226"/>
      <c r="H70" s="228">
        <f t="shared" si="4"/>
        <v>612.5</v>
      </c>
      <c r="I70" s="226"/>
      <c r="J70" s="199"/>
      <c r="K70" s="199"/>
      <c r="L70" s="199"/>
    </row>
    <row r="71" spans="1:12" ht="24" customHeight="1">
      <c r="A71" s="433"/>
      <c r="B71" s="226" t="s">
        <v>644</v>
      </c>
      <c r="C71" s="226">
        <v>1</v>
      </c>
      <c r="D71" s="227">
        <v>11.5</v>
      </c>
      <c r="E71" s="226">
        <v>25.75</v>
      </c>
      <c r="F71" s="226"/>
      <c r="G71" s="226"/>
      <c r="H71" s="228">
        <f t="shared" si="4"/>
        <v>296.125</v>
      </c>
      <c r="I71" s="226"/>
      <c r="J71" s="199"/>
      <c r="K71" s="199"/>
      <c r="L71" s="199"/>
    </row>
    <row r="72" spans="1:12" ht="24" customHeight="1">
      <c r="A72" s="433"/>
      <c r="B72" s="226" t="s">
        <v>645</v>
      </c>
      <c r="C72" s="226">
        <v>1</v>
      </c>
      <c r="D72" s="227">
        <v>7.5</v>
      </c>
      <c r="E72" s="226">
        <v>7.75</v>
      </c>
      <c r="F72" s="226"/>
      <c r="G72" s="226"/>
      <c r="H72" s="228">
        <f t="shared" si="4"/>
        <v>58.125</v>
      </c>
      <c r="I72" s="226"/>
      <c r="J72" s="199"/>
      <c r="K72" s="199"/>
      <c r="L72" s="199"/>
    </row>
    <row r="73" spans="1:12" ht="24" customHeight="1">
      <c r="A73" s="433"/>
      <c r="B73" s="226" t="s">
        <v>645</v>
      </c>
      <c r="C73" s="226">
        <v>1</v>
      </c>
      <c r="D73" s="227">
        <v>10.5</v>
      </c>
      <c r="E73" s="226">
        <v>10</v>
      </c>
      <c r="F73" s="226"/>
      <c r="G73" s="226"/>
      <c r="H73" s="228">
        <f t="shared" si="4"/>
        <v>105</v>
      </c>
      <c r="I73" s="226"/>
      <c r="J73" s="199"/>
      <c r="K73" s="199"/>
      <c r="L73" s="199"/>
    </row>
    <row r="74" spans="1:12" ht="24" customHeight="1">
      <c r="A74" s="433"/>
      <c r="B74" s="226" t="s">
        <v>646</v>
      </c>
      <c r="C74" s="226">
        <v>1</v>
      </c>
      <c r="D74" s="227">
        <v>10.5</v>
      </c>
      <c r="E74" s="226">
        <v>12</v>
      </c>
      <c r="F74" s="226"/>
      <c r="G74" s="226"/>
      <c r="H74" s="228">
        <f t="shared" si="4"/>
        <v>126</v>
      </c>
      <c r="I74" s="226"/>
      <c r="J74" s="199"/>
      <c r="K74" s="199"/>
      <c r="L74" s="199"/>
    </row>
    <row r="75" spans="1:12" ht="24" customHeight="1">
      <c r="A75" s="433"/>
      <c r="B75" s="226" t="s">
        <v>647</v>
      </c>
      <c r="C75" s="226">
        <v>1</v>
      </c>
      <c r="D75" s="227">
        <v>7.5</v>
      </c>
      <c r="E75" s="226">
        <v>7</v>
      </c>
      <c r="F75" s="226"/>
      <c r="G75" s="226"/>
      <c r="H75" s="228">
        <f t="shared" si="4"/>
        <v>52.5</v>
      </c>
      <c r="I75" s="226"/>
      <c r="J75" s="199"/>
      <c r="K75" s="199"/>
      <c r="L75" s="199"/>
    </row>
    <row r="76" spans="1:12" ht="24" customHeight="1">
      <c r="A76" s="433"/>
      <c r="B76" s="226" t="s">
        <v>647</v>
      </c>
      <c r="C76" s="226">
        <v>1</v>
      </c>
      <c r="D76" s="227">
        <v>17.5</v>
      </c>
      <c r="E76" s="226">
        <v>5</v>
      </c>
      <c r="F76" s="226"/>
      <c r="G76" s="226"/>
      <c r="H76" s="228">
        <f t="shared" si="4"/>
        <v>87.5</v>
      </c>
      <c r="I76" s="226"/>
      <c r="J76" s="199"/>
      <c r="K76" s="199"/>
      <c r="L76" s="199"/>
    </row>
    <row r="77" spans="1:12" ht="24" customHeight="1">
      <c r="A77" s="433"/>
      <c r="B77" s="226" t="s">
        <v>648</v>
      </c>
      <c r="C77" s="226">
        <v>1</v>
      </c>
      <c r="D77" s="227">
        <v>8.75</v>
      </c>
      <c r="E77" s="226">
        <v>11.25</v>
      </c>
      <c r="F77" s="226"/>
      <c r="G77" s="226"/>
      <c r="H77" s="228">
        <f t="shared" si="4"/>
        <v>98.4375</v>
      </c>
      <c r="I77" s="226"/>
      <c r="J77" s="199"/>
      <c r="K77" s="199"/>
      <c r="L77" s="199"/>
    </row>
    <row r="78" spans="1:12" ht="24" customHeight="1">
      <c r="A78" s="433"/>
      <c r="B78" s="226" t="s">
        <v>649</v>
      </c>
      <c r="C78" s="226">
        <v>1</v>
      </c>
      <c r="D78" s="227">
        <v>16.25</v>
      </c>
      <c r="E78" s="226">
        <v>11.25</v>
      </c>
      <c r="F78" s="226"/>
      <c r="G78" s="226"/>
      <c r="H78" s="228">
        <f t="shared" si="4"/>
        <v>182.8125</v>
      </c>
      <c r="I78" s="226"/>
      <c r="J78" s="199"/>
      <c r="K78" s="199"/>
      <c r="L78" s="199"/>
    </row>
    <row r="79" spans="1:12" ht="24" customHeight="1">
      <c r="A79" s="433"/>
      <c r="B79" s="226" t="s">
        <v>650</v>
      </c>
      <c r="C79" s="226">
        <v>1</v>
      </c>
      <c r="D79" s="227">
        <v>13</v>
      </c>
      <c r="E79" s="226">
        <v>15</v>
      </c>
      <c r="F79" s="226"/>
      <c r="G79" s="226"/>
      <c r="H79" s="228">
        <f t="shared" si="4"/>
        <v>195</v>
      </c>
      <c r="I79" s="226"/>
      <c r="J79" s="199"/>
      <c r="K79" s="199"/>
      <c r="L79" s="199"/>
    </row>
    <row r="80" spans="1:12" ht="24" customHeight="1">
      <c r="A80" s="433"/>
      <c r="B80" s="226" t="s">
        <v>651</v>
      </c>
      <c r="C80" s="226">
        <v>1</v>
      </c>
      <c r="D80" s="227">
        <v>13.25</v>
      </c>
      <c r="E80" s="226">
        <v>14.25</v>
      </c>
      <c r="F80" s="226"/>
      <c r="G80" s="226"/>
      <c r="H80" s="228">
        <f t="shared" si="4"/>
        <v>188.8125</v>
      </c>
      <c r="I80" s="226"/>
      <c r="J80" s="199"/>
      <c r="K80" s="199"/>
      <c r="L80" s="199"/>
    </row>
    <row r="81" spans="1:12" ht="24" customHeight="1">
      <c r="A81" s="433"/>
      <c r="B81" s="226" t="s">
        <v>652</v>
      </c>
      <c r="C81" s="226">
        <v>1</v>
      </c>
      <c r="D81" s="227">
        <v>13.5</v>
      </c>
      <c r="E81" s="226">
        <v>6</v>
      </c>
      <c r="F81" s="226"/>
      <c r="G81" s="226"/>
      <c r="H81" s="228">
        <f t="shared" si="4"/>
        <v>81</v>
      </c>
      <c r="I81" s="226"/>
      <c r="J81" s="199"/>
      <c r="K81" s="199"/>
      <c r="L81" s="199"/>
    </row>
    <row r="82" spans="1:12" ht="24" customHeight="1">
      <c r="A82" s="433"/>
      <c r="B82" s="226" t="s">
        <v>653</v>
      </c>
      <c r="C82" s="226">
        <v>1</v>
      </c>
      <c r="D82" s="227">
        <v>17</v>
      </c>
      <c r="E82" s="226">
        <v>18.5</v>
      </c>
      <c r="F82" s="226"/>
      <c r="G82" s="226"/>
      <c r="H82" s="228">
        <f t="shared" si="4"/>
        <v>314.5</v>
      </c>
      <c r="I82" s="226"/>
      <c r="J82" s="199"/>
      <c r="K82" s="199"/>
      <c r="L82" s="199"/>
    </row>
    <row r="83" spans="1:12" ht="24" customHeight="1">
      <c r="A83" s="433"/>
      <c r="B83" s="226" t="s">
        <v>654</v>
      </c>
      <c r="C83" s="226">
        <v>1</v>
      </c>
      <c r="D83" s="227">
        <v>7.25</v>
      </c>
      <c r="E83" s="226">
        <v>7.75</v>
      </c>
      <c r="F83" s="226"/>
      <c r="G83" s="226"/>
      <c r="H83" s="228">
        <f t="shared" si="4"/>
        <v>56.1875</v>
      </c>
      <c r="I83" s="226"/>
      <c r="J83" s="199"/>
      <c r="K83" s="199"/>
      <c r="L83" s="199"/>
    </row>
    <row r="84" spans="1:12" ht="24" customHeight="1">
      <c r="A84" s="433"/>
      <c r="B84" s="226" t="s">
        <v>655</v>
      </c>
      <c r="C84" s="226">
        <v>1</v>
      </c>
      <c r="D84" s="227">
        <v>4</v>
      </c>
      <c r="E84" s="226">
        <v>7.75</v>
      </c>
      <c r="F84" s="226"/>
      <c r="G84" s="226"/>
      <c r="H84" s="228">
        <f t="shared" si="4"/>
        <v>31</v>
      </c>
      <c r="I84" s="226"/>
      <c r="J84" s="199"/>
      <c r="K84" s="199"/>
      <c r="L84" s="199"/>
    </row>
    <row r="85" spans="1:12" ht="24" customHeight="1">
      <c r="A85" s="225"/>
      <c r="B85" s="226" t="s">
        <v>656</v>
      </c>
      <c r="C85" s="226">
        <v>1</v>
      </c>
      <c r="D85" s="227">
        <v>7</v>
      </c>
      <c r="E85" s="226">
        <v>6</v>
      </c>
      <c r="F85" s="226"/>
      <c r="G85" s="226"/>
      <c r="H85" s="228">
        <f t="shared" si="4"/>
        <v>42</v>
      </c>
      <c r="I85" s="219"/>
      <c r="J85" s="222"/>
      <c r="K85" s="199"/>
      <c r="L85" s="199"/>
    </row>
    <row r="86" spans="1:12" ht="24" customHeight="1">
      <c r="A86" s="433"/>
      <c r="B86" s="229" t="s">
        <v>657</v>
      </c>
      <c r="C86" s="226"/>
      <c r="D86" s="227"/>
      <c r="E86" s="226"/>
      <c r="F86" s="226"/>
      <c r="G86" s="226"/>
      <c r="H86" s="228"/>
      <c r="I86" s="226"/>
      <c r="J86" s="199"/>
      <c r="K86" s="199"/>
      <c r="L86" s="199"/>
    </row>
    <row r="87" spans="1:12" ht="24" customHeight="1">
      <c r="A87" s="225"/>
      <c r="B87" s="223" t="s">
        <v>622</v>
      </c>
      <c r="C87" s="220"/>
      <c r="D87" s="221"/>
      <c r="E87" s="220"/>
      <c r="F87" s="217"/>
      <c r="G87" s="217"/>
      <c r="H87" s="212"/>
      <c r="I87" s="219"/>
      <c r="J87" s="222"/>
      <c r="K87" s="199"/>
      <c r="L87" s="199"/>
    </row>
    <row r="88" spans="1:12" ht="24" customHeight="1">
      <c r="A88" s="225"/>
      <c r="B88" s="224" t="s">
        <v>625</v>
      </c>
      <c r="C88" s="220">
        <v>2</v>
      </c>
      <c r="D88" s="221">
        <v>10.25</v>
      </c>
      <c r="E88" s="220">
        <v>1</v>
      </c>
      <c r="F88" s="217"/>
      <c r="G88" s="217"/>
      <c r="H88" s="212">
        <f t="shared" ref="H88:H95" si="5">C88*D88*E88</f>
        <v>20.5</v>
      </c>
      <c r="I88" s="230"/>
      <c r="J88" s="222"/>
      <c r="K88" s="199"/>
      <c r="L88" s="199"/>
    </row>
    <row r="89" spans="1:12" ht="24" customHeight="1">
      <c r="A89" s="225"/>
      <c r="B89" s="224" t="s">
        <v>770</v>
      </c>
      <c r="C89" s="220">
        <v>2</v>
      </c>
      <c r="D89" s="221">
        <v>12</v>
      </c>
      <c r="E89" s="220">
        <v>1</v>
      </c>
      <c r="F89" s="217"/>
      <c r="G89" s="217"/>
      <c r="H89" s="212">
        <f t="shared" si="5"/>
        <v>24</v>
      </c>
      <c r="I89" s="219"/>
      <c r="J89" s="222"/>
      <c r="K89" s="199"/>
      <c r="L89" s="199"/>
    </row>
    <row r="90" spans="1:12" ht="24" customHeight="1">
      <c r="A90" s="225"/>
      <c r="B90" s="224" t="s">
        <v>771</v>
      </c>
      <c r="C90" s="220">
        <v>2</v>
      </c>
      <c r="D90" s="221">
        <v>12.25</v>
      </c>
      <c r="E90" s="220">
        <v>1</v>
      </c>
      <c r="F90" s="217"/>
      <c r="G90" s="217"/>
      <c r="H90" s="212">
        <f t="shared" si="5"/>
        <v>24.5</v>
      </c>
      <c r="I90" s="219"/>
      <c r="J90" s="222"/>
      <c r="K90" s="199"/>
      <c r="L90" s="199"/>
    </row>
    <row r="91" spans="1:12" ht="24" customHeight="1">
      <c r="A91" s="225"/>
      <c r="B91" s="224"/>
      <c r="C91" s="220">
        <v>2</v>
      </c>
      <c r="D91" s="221">
        <v>12.25</v>
      </c>
      <c r="E91" s="220">
        <v>1</v>
      </c>
      <c r="F91" s="217"/>
      <c r="G91" s="217"/>
      <c r="H91" s="212">
        <f t="shared" si="5"/>
        <v>24.5</v>
      </c>
      <c r="I91" s="219"/>
      <c r="J91" s="222"/>
      <c r="K91" s="199"/>
      <c r="L91" s="199"/>
    </row>
    <row r="92" spans="1:12" ht="24" customHeight="1">
      <c r="A92" s="225"/>
      <c r="B92" s="224" t="s">
        <v>627</v>
      </c>
      <c r="C92" s="220">
        <v>2</v>
      </c>
      <c r="D92" s="221">
        <v>10</v>
      </c>
      <c r="E92" s="220">
        <v>1</v>
      </c>
      <c r="F92" s="225"/>
      <c r="G92" s="225"/>
      <c r="H92" s="212">
        <f t="shared" si="5"/>
        <v>20</v>
      </c>
      <c r="I92" s="219"/>
      <c r="J92" s="222"/>
      <c r="K92" s="199"/>
      <c r="L92" s="199"/>
    </row>
    <row r="93" spans="1:12" ht="24" customHeight="1">
      <c r="A93" s="225"/>
      <c r="B93" s="224"/>
      <c r="C93" s="220">
        <v>2</v>
      </c>
      <c r="D93" s="221">
        <v>11.25</v>
      </c>
      <c r="E93" s="220">
        <v>1</v>
      </c>
      <c r="F93" s="225"/>
      <c r="G93" s="225"/>
      <c r="H93" s="212">
        <f t="shared" si="5"/>
        <v>22.5</v>
      </c>
      <c r="I93" s="219"/>
      <c r="J93" s="222"/>
      <c r="K93" s="199"/>
      <c r="L93" s="199"/>
    </row>
    <row r="94" spans="1:12" ht="24" customHeight="1">
      <c r="A94" s="433"/>
      <c r="B94" s="226" t="s">
        <v>767</v>
      </c>
      <c r="C94" s="220">
        <v>2</v>
      </c>
      <c r="D94" s="227">
        <v>8.5</v>
      </c>
      <c r="E94" s="220">
        <v>1</v>
      </c>
      <c r="F94" s="226"/>
      <c r="G94" s="226"/>
      <c r="H94" s="212">
        <f t="shared" si="5"/>
        <v>17</v>
      </c>
      <c r="I94" s="226"/>
      <c r="J94" s="199"/>
      <c r="K94" s="199"/>
      <c r="L94" s="199"/>
    </row>
    <row r="95" spans="1:12" ht="24" customHeight="1">
      <c r="A95" s="433"/>
      <c r="B95" s="226" t="s">
        <v>768</v>
      </c>
      <c r="C95" s="220">
        <v>2</v>
      </c>
      <c r="D95" s="227">
        <v>8.75</v>
      </c>
      <c r="E95" s="220">
        <v>1</v>
      </c>
      <c r="F95" s="226"/>
      <c r="G95" s="226"/>
      <c r="H95" s="212">
        <f t="shared" si="5"/>
        <v>17.5</v>
      </c>
      <c r="I95" s="226"/>
      <c r="J95" s="199"/>
      <c r="K95" s="199"/>
      <c r="L95" s="199"/>
    </row>
    <row r="96" spans="1:12" ht="24" customHeight="1">
      <c r="A96" s="433"/>
      <c r="B96" s="223" t="s">
        <v>637</v>
      </c>
      <c r="C96" s="226"/>
      <c r="D96" s="227"/>
      <c r="E96" s="220"/>
      <c r="F96" s="226"/>
      <c r="G96" s="226"/>
      <c r="H96" s="228"/>
      <c r="I96" s="226"/>
      <c r="J96" s="199"/>
      <c r="K96" s="199"/>
      <c r="L96" s="199"/>
    </row>
    <row r="97" spans="1:12" ht="24" customHeight="1">
      <c r="A97" s="433"/>
      <c r="B97" s="226" t="s">
        <v>767</v>
      </c>
      <c r="C97" s="226">
        <v>2</v>
      </c>
      <c r="D97" s="227">
        <v>11.25</v>
      </c>
      <c r="E97" s="220">
        <v>1</v>
      </c>
      <c r="F97" s="226"/>
      <c r="G97" s="226"/>
      <c r="H97" s="212">
        <f t="shared" ref="H97:H106" si="6">C97*D97*E97</f>
        <v>22.5</v>
      </c>
      <c r="I97" s="226"/>
      <c r="J97" s="199"/>
      <c r="K97" s="199"/>
      <c r="L97" s="199"/>
    </row>
    <row r="98" spans="1:12" ht="24" customHeight="1">
      <c r="A98" s="433"/>
      <c r="B98" s="226" t="s">
        <v>768</v>
      </c>
      <c r="C98" s="226">
        <v>2</v>
      </c>
      <c r="D98" s="227">
        <v>10</v>
      </c>
      <c r="E98" s="220">
        <v>1</v>
      </c>
      <c r="F98" s="226"/>
      <c r="G98" s="226"/>
      <c r="H98" s="212">
        <f t="shared" si="6"/>
        <v>20</v>
      </c>
      <c r="I98" s="226"/>
      <c r="J98" s="199"/>
      <c r="K98" s="199"/>
      <c r="L98" s="199"/>
    </row>
    <row r="99" spans="1:12" ht="24" customHeight="1">
      <c r="A99" s="433"/>
      <c r="B99" s="226" t="s">
        <v>770</v>
      </c>
      <c r="C99" s="226">
        <v>2</v>
      </c>
      <c r="D99" s="227">
        <v>11.75</v>
      </c>
      <c r="E99" s="220">
        <v>1</v>
      </c>
      <c r="F99" s="226"/>
      <c r="G99" s="226"/>
      <c r="H99" s="212">
        <f t="shared" si="6"/>
        <v>23.5</v>
      </c>
      <c r="I99" s="226"/>
      <c r="J99" s="199"/>
      <c r="K99" s="199"/>
      <c r="L99" s="199"/>
    </row>
    <row r="100" spans="1:12" ht="24" customHeight="1">
      <c r="A100" s="433"/>
      <c r="B100" s="226" t="s">
        <v>771</v>
      </c>
      <c r="C100" s="226">
        <v>2</v>
      </c>
      <c r="D100" s="227">
        <v>12.25</v>
      </c>
      <c r="E100" s="220">
        <v>1</v>
      </c>
      <c r="F100" s="226"/>
      <c r="G100" s="226"/>
      <c r="H100" s="212">
        <f t="shared" si="6"/>
        <v>24.5</v>
      </c>
      <c r="I100" s="226"/>
      <c r="J100" s="199"/>
      <c r="K100" s="199"/>
      <c r="L100" s="199"/>
    </row>
    <row r="101" spans="1:12" ht="24" customHeight="1">
      <c r="A101" s="433"/>
      <c r="B101" s="226" t="s">
        <v>772</v>
      </c>
      <c r="C101" s="226">
        <v>2</v>
      </c>
      <c r="D101" s="227">
        <v>12.25</v>
      </c>
      <c r="E101" s="220">
        <v>1</v>
      </c>
      <c r="F101" s="226"/>
      <c r="G101" s="226"/>
      <c r="H101" s="212">
        <f t="shared" si="6"/>
        <v>24.5</v>
      </c>
      <c r="I101" s="226"/>
      <c r="J101" s="199"/>
      <c r="K101" s="199"/>
      <c r="L101" s="199"/>
    </row>
    <row r="102" spans="1:12" ht="24" customHeight="1">
      <c r="A102" s="433"/>
      <c r="B102" s="226" t="s">
        <v>773</v>
      </c>
      <c r="C102" s="226">
        <v>2</v>
      </c>
      <c r="D102" s="227">
        <v>12</v>
      </c>
      <c r="E102" s="220">
        <v>1</v>
      </c>
      <c r="F102" s="226"/>
      <c r="G102" s="226"/>
      <c r="H102" s="212">
        <f t="shared" si="6"/>
        <v>24</v>
      </c>
      <c r="I102" s="226"/>
      <c r="J102" s="199"/>
      <c r="K102" s="199"/>
      <c r="L102" s="199"/>
    </row>
    <row r="103" spans="1:12" ht="24" customHeight="1">
      <c r="A103" s="433"/>
      <c r="B103" s="226" t="s">
        <v>774</v>
      </c>
      <c r="C103" s="226">
        <v>2</v>
      </c>
      <c r="D103" s="227">
        <v>10</v>
      </c>
      <c r="E103" s="220">
        <v>1</v>
      </c>
      <c r="F103" s="226"/>
      <c r="G103" s="226"/>
      <c r="H103" s="212">
        <f t="shared" si="6"/>
        <v>20</v>
      </c>
      <c r="I103" s="226"/>
      <c r="J103" s="199"/>
      <c r="K103" s="199"/>
      <c r="L103" s="199"/>
    </row>
    <row r="104" spans="1:12" ht="24" customHeight="1">
      <c r="A104" s="433"/>
      <c r="B104" s="226" t="s">
        <v>775</v>
      </c>
      <c r="C104" s="226">
        <v>2</v>
      </c>
      <c r="D104" s="227">
        <v>8.5</v>
      </c>
      <c r="E104" s="220">
        <v>1</v>
      </c>
      <c r="F104" s="226"/>
      <c r="G104" s="226"/>
      <c r="H104" s="212">
        <f t="shared" si="6"/>
        <v>17</v>
      </c>
      <c r="I104" s="226"/>
      <c r="J104" s="199"/>
      <c r="K104" s="199"/>
      <c r="L104" s="199"/>
    </row>
    <row r="105" spans="1:12" ht="24" customHeight="1">
      <c r="A105" s="433"/>
      <c r="B105" s="226" t="s">
        <v>776</v>
      </c>
      <c r="C105" s="226">
        <v>2</v>
      </c>
      <c r="D105" s="227">
        <v>7.5</v>
      </c>
      <c r="E105" s="220">
        <v>1</v>
      </c>
      <c r="F105" s="226"/>
      <c r="G105" s="226"/>
      <c r="H105" s="212">
        <f t="shared" si="6"/>
        <v>15</v>
      </c>
      <c r="I105" s="226"/>
      <c r="J105" s="199"/>
      <c r="K105" s="199"/>
      <c r="L105" s="199"/>
    </row>
    <row r="106" spans="1:12" ht="24" customHeight="1">
      <c r="A106" s="433"/>
      <c r="B106" s="226" t="s">
        <v>777</v>
      </c>
      <c r="C106" s="226">
        <v>2</v>
      </c>
      <c r="D106" s="227">
        <v>8.75</v>
      </c>
      <c r="E106" s="220">
        <v>1</v>
      </c>
      <c r="F106" s="226"/>
      <c r="G106" s="226"/>
      <c r="H106" s="212">
        <f t="shared" si="6"/>
        <v>17.5</v>
      </c>
      <c r="I106" s="226"/>
      <c r="J106" s="199"/>
      <c r="K106" s="199"/>
      <c r="L106" s="199"/>
    </row>
    <row r="107" spans="1:12" ht="24" customHeight="1">
      <c r="A107" s="433"/>
      <c r="B107" s="223" t="s">
        <v>640</v>
      </c>
      <c r="C107" s="226"/>
      <c r="D107" s="227"/>
      <c r="E107" s="220"/>
      <c r="F107" s="226"/>
      <c r="G107" s="226"/>
      <c r="H107" s="228"/>
      <c r="I107" s="226"/>
      <c r="J107" s="199"/>
      <c r="K107" s="199"/>
      <c r="L107" s="199"/>
    </row>
    <row r="108" spans="1:12" ht="24" customHeight="1">
      <c r="A108" s="433"/>
      <c r="B108" s="226" t="s">
        <v>646</v>
      </c>
      <c r="C108" s="226">
        <v>2</v>
      </c>
      <c r="D108" s="227">
        <v>10.35</v>
      </c>
      <c r="E108" s="220">
        <v>1</v>
      </c>
      <c r="F108" s="226"/>
      <c r="G108" s="226"/>
      <c r="H108" s="212">
        <f t="shared" ref="H108:H114" si="7">C108*D108*E108</f>
        <v>20.7</v>
      </c>
      <c r="I108" s="226"/>
      <c r="J108" s="199"/>
      <c r="K108" s="199"/>
      <c r="L108" s="199"/>
    </row>
    <row r="109" spans="1:12" ht="24" customHeight="1">
      <c r="A109" s="433"/>
      <c r="B109" s="226" t="s">
        <v>649</v>
      </c>
      <c r="C109" s="226">
        <v>2</v>
      </c>
      <c r="D109" s="227">
        <v>24.75</v>
      </c>
      <c r="E109" s="220">
        <v>1</v>
      </c>
      <c r="F109" s="226"/>
      <c r="G109" s="226"/>
      <c r="H109" s="212">
        <f t="shared" si="7"/>
        <v>49.5</v>
      </c>
      <c r="I109" s="226"/>
      <c r="J109" s="199"/>
      <c r="K109" s="199"/>
      <c r="L109" s="199"/>
    </row>
    <row r="110" spans="1:12" ht="24" customHeight="1">
      <c r="A110" s="433"/>
      <c r="B110" s="226" t="s">
        <v>650</v>
      </c>
      <c r="C110" s="226">
        <v>2</v>
      </c>
      <c r="D110" s="227">
        <v>15.5</v>
      </c>
      <c r="E110" s="220">
        <v>1</v>
      </c>
      <c r="F110" s="226"/>
      <c r="G110" s="226"/>
      <c r="H110" s="212">
        <f t="shared" si="7"/>
        <v>31</v>
      </c>
      <c r="I110" s="226"/>
      <c r="J110" s="199"/>
      <c r="K110" s="199"/>
      <c r="L110" s="199"/>
    </row>
    <row r="111" spans="1:12" ht="24" customHeight="1">
      <c r="A111" s="433"/>
      <c r="B111" s="226"/>
      <c r="C111" s="226">
        <v>2</v>
      </c>
      <c r="D111" s="227">
        <v>13</v>
      </c>
      <c r="E111" s="220">
        <v>1</v>
      </c>
      <c r="F111" s="226"/>
      <c r="G111" s="226"/>
      <c r="H111" s="212">
        <f t="shared" si="7"/>
        <v>26</v>
      </c>
      <c r="I111" s="226"/>
      <c r="J111" s="199"/>
      <c r="K111" s="199"/>
      <c r="L111" s="199"/>
    </row>
    <row r="112" spans="1:12" ht="24" customHeight="1">
      <c r="A112" s="433"/>
      <c r="B112" s="226" t="s">
        <v>651</v>
      </c>
      <c r="C112" s="226">
        <v>2</v>
      </c>
      <c r="D112" s="227">
        <v>9.25</v>
      </c>
      <c r="E112" s="220">
        <v>1</v>
      </c>
      <c r="F112" s="226"/>
      <c r="G112" s="226"/>
      <c r="H112" s="212">
        <f t="shared" si="7"/>
        <v>18.5</v>
      </c>
      <c r="I112" s="226"/>
      <c r="J112" s="199"/>
      <c r="K112" s="199"/>
      <c r="L112" s="199"/>
    </row>
    <row r="113" spans="1:12" ht="24" customHeight="1">
      <c r="A113" s="433"/>
      <c r="B113" s="226" t="s">
        <v>653</v>
      </c>
      <c r="C113" s="226">
        <v>2</v>
      </c>
      <c r="D113" s="227">
        <v>8</v>
      </c>
      <c r="E113" s="220">
        <v>1</v>
      </c>
      <c r="F113" s="226"/>
      <c r="G113" s="226"/>
      <c r="H113" s="212">
        <f t="shared" si="7"/>
        <v>16</v>
      </c>
      <c r="I113" s="226"/>
      <c r="J113" s="199"/>
      <c r="K113" s="199"/>
      <c r="L113" s="199"/>
    </row>
    <row r="114" spans="1:12" ht="24" customHeight="1">
      <c r="A114" s="433"/>
      <c r="B114" s="226"/>
      <c r="C114" s="226">
        <v>2</v>
      </c>
      <c r="D114" s="227">
        <v>8</v>
      </c>
      <c r="E114" s="220">
        <v>1</v>
      </c>
      <c r="F114" s="226"/>
      <c r="G114" s="226"/>
      <c r="H114" s="212">
        <f t="shared" si="7"/>
        <v>16</v>
      </c>
      <c r="I114" s="226"/>
      <c r="J114" s="199"/>
      <c r="K114" s="199"/>
      <c r="L114" s="199"/>
    </row>
    <row r="115" spans="1:12" ht="24" customHeight="1">
      <c r="A115" s="433"/>
      <c r="B115" s="226"/>
      <c r="C115" s="226"/>
      <c r="D115" s="227"/>
      <c r="E115" s="220"/>
      <c r="F115" s="226"/>
      <c r="G115" s="226"/>
      <c r="H115" s="212"/>
      <c r="I115" s="226"/>
      <c r="J115" s="199"/>
      <c r="K115" s="199"/>
      <c r="L115" s="199"/>
    </row>
    <row r="116" spans="1:12" ht="157.5">
      <c r="A116" s="345" t="s">
        <v>970</v>
      </c>
      <c r="B116" s="356" t="s">
        <v>971</v>
      </c>
      <c r="C116" s="354"/>
      <c r="D116" s="354"/>
      <c r="E116" s="354"/>
      <c r="F116" s="348" t="s">
        <v>620</v>
      </c>
      <c r="G116" s="348"/>
      <c r="H116" s="349">
        <f>H117/3.283</f>
        <v>174.5354858361255</v>
      </c>
      <c r="I116" s="355" t="s">
        <v>659</v>
      </c>
      <c r="J116" s="199"/>
      <c r="K116" s="199"/>
      <c r="L116" s="199"/>
    </row>
    <row r="117" spans="1:12" ht="24" customHeight="1">
      <c r="A117" s="225"/>
      <c r="B117" s="194"/>
      <c r="C117" s="220"/>
      <c r="D117" s="221"/>
      <c r="E117" s="220"/>
      <c r="F117" s="217" t="s">
        <v>620</v>
      </c>
      <c r="G117" s="217"/>
      <c r="H117" s="218">
        <f>SUM(H118:H119)</f>
        <v>573</v>
      </c>
      <c r="I117" s="219" t="s">
        <v>660</v>
      </c>
      <c r="J117" s="222"/>
      <c r="K117" s="199"/>
      <c r="L117" s="199"/>
    </row>
    <row r="118" spans="1:12" ht="24" customHeight="1">
      <c r="A118" s="225"/>
      <c r="B118" s="223" t="s">
        <v>661</v>
      </c>
      <c r="C118" s="220">
        <v>23</v>
      </c>
      <c r="D118" s="221">
        <v>11</v>
      </c>
      <c r="E118" s="220"/>
      <c r="F118" s="217"/>
      <c r="G118" s="217"/>
      <c r="H118" s="212">
        <f>C118*D118</f>
        <v>253</v>
      </c>
      <c r="I118" s="219"/>
      <c r="J118" s="222"/>
      <c r="K118" s="199"/>
      <c r="L118" s="199"/>
    </row>
    <row r="119" spans="1:12" ht="24" customHeight="1">
      <c r="A119" s="225"/>
      <c r="B119" s="223" t="s">
        <v>662</v>
      </c>
      <c r="C119" s="220">
        <v>40</v>
      </c>
      <c r="D119" s="221">
        <v>8</v>
      </c>
      <c r="E119" s="220"/>
      <c r="F119" s="217"/>
      <c r="G119" s="217"/>
      <c r="H119" s="212">
        <f>C119*D119</f>
        <v>320</v>
      </c>
      <c r="I119" s="219"/>
      <c r="J119" s="222"/>
      <c r="K119" s="199"/>
      <c r="L119" s="199"/>
    </row>
    <row r="120" spans="1:12" ht="24" customHeight="1">
      <c r="A120" s="433"/>
      <c r="B120" s="226"/>
      <c r="C120" s="226"/>
      <c r="D120" s="227"/>
      <c r="E120" s="220"/>
      <c r="F120" s="226"/>
      <c r="G120" s="226"/>
      <c r="H120" s="212"/>
      <c r="I120" s="226"/>
      <c r="J120" s="199"/>
      <c r="K120" s="199"/>
      <c r="L120" s="199"/>
    </row>
    <row r="121" spans="1:12" ht="210">
      <c r="A121" s="345" t="s">
        <v>663</v>
      </c>
      <c r="B121" s="356" t="s">
        <v>975</v>
      </c>
      <c r="C121" s="354"/>
      <c r="D121" s="354"/>
      <c r="E121" s="354"/>
      <c r="F121" s="348" t="s">
        <v>664</v>
      </c>
      <c r="G121" s="348"/>
      <c r="H121" s="349">
        <f>H122/10.764</f>
        <v>583.98364920104052</v>
      </c>
      <c r="I121" s="355" t="s">
        <v>328</v>
      </c>
      <c r="J121" s="199"/>
      <c r="K121" s="199"/>
      <c r="L121" s="199"/>
    </row>
    <row r="122" spans="1:12" ht="24" customHeight="1">
      <c r="A122" s="225"/>
      <c r="B122" s="194"/>
      <c r="C122" s="220"/>
      <c r="D122" s="221"/>
      <c r="E122" s="220"/>
      <c r="F122" s="217" t="s">
        <v>620</v>
      </c>
      <c r="G122" s="217"/>
      <c r="H122" s="218">
        <f>SUM(H124:H194)</f>
        <v>6286</v>
      </c>
      <c r="I122" s="219" t="s">
        <v>621</v>
      </c>
      <c r="J122" s="222"/>
      <c r="K122" s="199"/>
      <c r="L122" s="199"/>
    </row>
    <row r="123" spans="1:12" ht="24" customHeight="1">
      <c r="A123" s="225"/>
      <c r="B123" s="223" t="s">
        <v>622</v>
      </c>
      <c r="C123" s="220"/>
      <c r="D123" s="221"/>
      <c r="E123" s="220"/>
      <c r="F123" s="217"/>
      <c r="G123" s="217"/>
      <c r="H123" s="212"/>
      <c r="I123" s="219"/>
      <c r="J123" s="222"/>
      <c r="K123" s="199"/>
      <c r="L123" s="199"/>
    </row>
    <row r="124" spans="1:12" ht="24" customHeight="1">
      <c r="A124" s="225"/>
      <c r="B124" s="224" t="s">
        <v>623</v>
      </c>
      <c r="C124" s="220">
        <v>1</v>
      </c>
      <c r="D124" s="221">
        <v>18.75</v>
      </c>
      <c r="E124" s="220">
        <v>23</v>
      </c>
      <c r="F124" s="217"/>
      <c r="G124" s="217"/>
      <c r="H124" s="212">
        <f t="shared" ref="H124:H132" si="8">C124*D124*E124</f>
        <v>431.25</v>
      </c>
      <c r="I124" s="219"/>
      <c r="J124" s="222"/>
      <c r="K124" s="199"/>
      <c r="L124" s="199"/>
    </row>
    <row r="125" spans="1:12" ht="24" customHeight="1">
      <c r="A125" s="225"/>
      <c r="B125" s="224"/>
      <c r="C125" s="220">
        <v>1</v>
      </c>
      <c r="D125" s="221">
        <v>12.25</v>
      </c>
      <c r="E125" s="220">
        <v>23</v>
      </c>
      <c r="F125" s="217"/>
      <c r="G125" s="217"/>
      <c r="H125" s="212">
        <f t="shared" si="8"/>
        <v>281.75</v>
      </c>
      <c r="I125" s="219"/>
      <c r="J125" s="222"/>
      <c r="K125" s="199"/>
      <c r="L125" s="199"/>
    </row>
    <row r="126" spans="1:12" ht="24" customHeight="1">
      <c r="A126" s="225"/>
      <c r="B126" s="224" t="s">
        <v>665</v>
      </c>
      <c r="C126" s="220">
        <v>-1</v>
      </c>
      <c r="D126" s="221">
        <v>5</v>
      </c>
      <c r="E126" s="220">
        <v>8</v>
      </c>
      <c r="F126" s="217"/>
      <c r="G126" s="217"/>
      <c r="H126" s="212">
        <f t="shared" si="8"/>
        <v>-40</v>
      </c>
      <c r="I126" s="219"/>
      <c r="J126" s="222"/>
      <c r="K126" s="199"/>
      <c r="L126" s="199"/>
    </row>
    <row r="127" spans="1:12" ht="24" customHeight="1">
      <c r="A127" s="225"/>
      <c r="B127" s="224" t="s">
        <v>780</v>
      </c>
      <c r="C127" s="220">
        <v>-1</v>
      </c>
      <c r="D127" s="221">
        <v>8.25</v>
      </c>
      <c r="E127" s="220">
        <v>11.25</v>
      </c>
      <c r="F127" s="217"/>
      <c r="G127" s="217"/>
      <c r="H127" s="212">
        <f t="shared" si="8"/>
        <v>-92.8125</v>
      </c>
      <c r="I127" s="219"/>
      <c r="J127" s="222"/>
      <c r="K127" s="199"/>
      <c r="L127" s="199"/>
    </row>
    <row r="128" spans="1:12" ht="24" customHeight="1">
      <c r="A128" s="225"/>
      <c r="B128" s="224" t="s">
        <v>781</v>
      </c>
      <c r="C128" s="220">
        <v>-1</v>
      </c>
      <c r="D128" s="221">
        <v>10</v>
      </c>
      <c r="E128" s="220">
        <v>11.25</v>
      </c>
      <c r="F128" s="217"/>
      <c r="G128" s="217"/>
      <c r="H128" s="212">
        <f t="shared" si="8"/>
        <v>-112.5</v>
      </c>
      <c r="I128" s="219"/>
      <c r="J128" s="222"/>
      <c r="K128" s="199"/>
      <c r="L128" s="199"/>
    </row>
    <row r="129" spans="1:12" ht="24" customHeight="1">
      <c r="A129" s="225"/>
      <c r="B129" s="224" t="s">
        <v>625</v>
      </c>
      <c r="C129" s="220">
        <v>1</v>
      </c>
      <c r="D129" s="221">
        <v>11.75</v>
      </c>
      <c r="E129" s="220">
        <v>10</v>
      </c>
      <c r="F129" s="217"/>
      <c r="G129" s="217"/>
      <c r="H129" s="212">
        <f t="shared" si="8"/>
        <v>117.5</v>
      </c>
      <c r="I129" s="219"/>
      <c r="J129" s="222"/>
      <c r="K129" s="199"/>
      <c r="L129" s="199"/>
    </row>
    <row r="130" spans="1:12" ht="24" customHeight="1">
      <c r="A130" s="225"/>
      <c r="B130" s="224" t="s">
        <v>666</v>
      </c>
      <c r="C130" s="220">
        <v>1</v>
      </c>
      <c r="D130" s="221">
        <v>10.75</v>
      </c>
      <c r="E130" s="220">
        <v>1.75</v>
      </c>
      <c r="F130" s="217"/>
      <c r="G130" s="217"/>
      <c r="H130" s="212">
        <f t="shared" si="8"/>
        <v>18.8125</v>
      </c>
      <c r="I130" s="219"/>
      <c r="J130" s="222"/>
      <c r="K130" s="199"/>
      <c r="L130" s="199"/>
    </row>
    <row r="131" spans="1:12" ht="24" customHeight="1">
      <c r="A131" s="415"/>
      <c r="B131" s="231" t="s">
        <v>782</v>
      </c>
      <c r="C131" s="232">
        <v>1</v>
      </c>
      <c r="D131" s="233">
        <v>12</v>
      </c>
      <c r="E131" s="232">
        <v>1.75</v>
      </c>
      <c r="F131" s="234"/>
      <c r="G131" s="234"/>
      <c r="H131" s="235">
        <f t="shared" si="8"/>
        <v>21</v>
      </c>
      <c r="I131" s="236"/>
      <c r="J131" s="222"/>
      <c r="K131" s="199"/>
      <c r="L131" s="199"/>
    </row>
    <row r="132" spans="1:12" ht="24" customHeight="1">
      <c r="A132" s="243"/>
      <c r="B132" s="237" t="s">
        <v>783</v>
      </c>
      <c r="C132" s="238">
        <v>1</v>
      </c>
      <c r="D132" s="239">
        <f>11.75+12.5</f>
        <v>24.25</v>
      </c>
      <c r="E132" s="238">
        <v>1.75</v>
      </c>
      <c r="F132" s="240"/>
      <c r="G132" s="240"/>
      <c r="H132" s="241">
        <f t="shared" si="8"/>
        <v>42.4375</v>
      </c>
      <c r="I132" s="242"/>
      <c r="J132" s="222"/>
      <c r="K132" s="199"/>
      <c r="L132" s="199"/>
    </row>
    <row r="133" spans="1:12" ht="24" customHeight="1">
      <c r="A133" s="243"/>
      <c r="B133" s="237" t="s">
        <v>658</v>
      </c>
      <c r="C133" s="238">
        <v>1</v>
      </c>
      <c r="D133" s="239">
        <f>12.25+12</f>
        <v>24.25</v>
      </c>
      <c r="E133" s="238">
        <v>1.75</v>
      </c>
      <c r="F133" s="240"/>
      <c r="G133" s="240"/>
      <c r="H133" s="241">
        <f t="shared" ref="H133:H138" si="9">C133*D133*E133</f>
        <v>42.4375</v>
      </c>
      <c r="I133" s="242"/>
      <c r="J133" s="222"/>
      <c r="K133" s="199"/>
      <c r="L133" s="199"/>
    </row>
    <row r="134" spans="1:12" ht="24" customHeight="1">
      <c r="A134" s="243"/>
      <c r="B134" s="237" t="s">
        <v>627</v>
      </c>
      <c r="C134" s="238">
        <v>1</v>
      </c>
      <c r="D134" s="239">
        <f>10.75+11.25</f>
        <v>22</v>
      </c>
      <c r="E134" s="238">
        <v>1.75</v>
      </c>
      <c r="F134" s="243"/>
      <c r="G134" s="243"/>
      <c r="H134" s="241">
        <f t="shared" si="9"/>
        <v>38.5</v>
      </c>
      <c r="I134" s="242"/>
      <c r="J134" s="222"/>
      <c r="K134" s="199"/>
      <c r="L134" s="199"/>
    </row>
    <row r="135" spans="1:12" ht="24" customHeight="1">
      <c r="A135" s="243"/>
      <c r="B135" s="237" t="s">
        <v>865</v>
      </c>
      <c r="C135" s="238">
        <v>1</v>
      </c>
      <c r="D135" s="239">
        <f>5.5+16.75</f>
        <v>22.25</v>
      </c>
      <c r="E135" s="238">
        <v>10.25</v>
      </c>
      <c r="F135" s="243"/>
      <c r="G135" s="243"/>
      <c r="H135" s="241">
        <f t="shared" si="9"/>
        <v>228.0625</v>
      </c>
      <c r="I135" s="242"/>
      <c r="J135" s="222"/>
      <c r="K135" s="199"/>
      <c r="L135" s="199"/>
    </row>
    <row r="136" spans="1:12" ht="24" customHeight="1">
      <c r="A136" s="434"/>
      <c r="B136" s="245" t="s">
        <v>861</v>
      </c>
      <c r="C136" s="245">
        <v>1</v>
      </c>
      <c r="D136" s="245">
        <f>6.75+4.5+6.75</f>
        <v>18</v>
      </c>
      <c r="E136" s="245">
        <v>10.25</v>
      </c>
      <c r="F136" s="245"/>
      <c r="G136" s="245"/>
      <c r="H136" s="241">
        <f t="shared" si="9"/>
        <v>184.5</v>
      </c>
      <c r="I136" s="242"/>
      <c r="J136" s="222"/>
      <c r="K136" s="199"/>
      <c r="L136" s="199"/>
    </row>
    <row r="137" spans="1:12" ht="24" customHeight="1">
      <c r="A137" s="434"/>
      <c r="B137" s="245" t="s">
        <v>851</v>
      </c>
      <c r="C137" s="245">
        <v>-1</v>
      </c>
      <c r="D137" s="245">
        <v>3</v>
      </c>
      <c r="E137" s="245">
        <v>8</v>
      </c>
      <c r="F137" s="245"/>
      <c r="G137" s="245"/>
      <c r="H137" s="241">
        <f t="shared" si="9"/>
        <v>-24</v>
      </c>
      <c r="I137" s="242"/>
      <c r="J137" s="222"/>
      <c r="K137" s="199"/>
      <c r="L137" s="199"/>
    </row>
    <row r="138" spans="1:12" ht="24" customHeight="1">
      <c r="A138" s="434"/>
      <c r="B138" s="246" t="s">
        <v>631</v>
      </c>
      <c r="C138" s="246">
        <v>1</v>
      </c>
      <c r="D138" s="247">
        <f>8+8+12.5+12.5</f>
        <v>41</v>
      </c>
      <c r="E138" s="246">
        <v>10.25</v>
      </c>
      <c r="F138" s="246"/>
      <c r="G138" s="246"/>
      <c r="H138" s="248">
        <f t="shared" si="9"/>
        <v>420.25</v>
      </c>
      <c r="I138" s="242"/>
      <c r="J138" s="222"/>
      <c r="K138" s="199"/>
      <c r="L138" s="199"/>
    </row>
    <row r="139" spans="1:12" ht="24" customHeight="1">
      <c r="A139" s="434"/>
      <c r="B139" s="246" t="s">
        <v>851</v>
      </c>
      <c r="C139" s="246">
        <v>-1</v>
      </c>
      <c r="D139" s="247">
        <v>3</v>
      </c>
      <c r="E139" s="246">
        <v>8</v>
      </c>
      <c r="F139" s="246"/>
      <c r="G139" s="246"/>
      <c r="H139" s="248">
        <f>C139*D139*E139</f>
        <v>-24</v>
      </c>
      <c r="I139" s="242"/>
      <c r="J139" s="222"/>
      <c r="K139" s="199"/>
      <c r="L139" s="199"/>
    </row>
    <row r="140" spans="1:12" ht="24" customHeight="1">
      <c r="A140" s="435"/>
      <c r="B140" s="246" t="s">
        <v>630</v>
      </c>
      <c r="C140" s="246">
        <v>1</v>
      </c>
      <c r="D140" s="247">
        <f>8.5+8.5+12+13.5</f>
        <v>42.5</v>
      </c>
      <c r="E140" s="246">
        <v>10.25</v>
      </c>
      <c r="F140" s="246"/>
      <c r="G140" s="246"/>
      <c r="H140" s="248">
        <f t="shared" ref="H140:H145" si="10">C140*D140*E140</f>
        <v>435.625</v>
      </c>
      <c r="I140" s="246"/>
      <c r="J140" s="199"/>
      <c r="K140" s="199"/>
      <c r="L140" s="199"/>
    </row>
    <row r="141" spans="1:12" ht="24" customHeight="1">
      <c r="A141" s="435"/>
      <c r="B141" s="246" t="s">
        <v>667</v>
      </c>
      <c r="C141" s="246">
        <v>-1</v>
      </c>
      <c r="D141" s="247">
        <f>10.75+13.25</f>
        <v>24</v>
      </c>
      <c r="E141" s="246">
        <v>8.25</v>
      </c>
      <c r="F141" s="246"/>
      <c r="G141" s="246"/>
      <c r="H141" s="248">
        <f t="shared" si="10"/>
        <v>-198</v>
      </c>
      <c r="I141" s="246"/>
      <c r="J141" s="199"/>
      <c r="K141" s="199"/>
      <c r="L141" s="199"/>
    </row>
    <row r="142" spans="1:12" ht="24" customHeight="1">
      <c r="A142" s="435"/>
      <c r="B142" s="246" t="s">
        <v>862</v>
      </c>
      <c r="C142" s="246">
        <v>1</v>
      </c>
      <c r="D142" s="247">
        <f>9+8+22.25+7.5</f>
        <v>46.75</v>
      </c>
      <c r="E142" s="246">
        <v>10.25</v>
      </c>
      <c r="F142" s="246"/>
      <c r="G142" s="246"/>
      <c r="H142" s="248">
        <f t="shared" si="10"/>
        <v>479.1875</v>
      </c>
      <c r="I142" s="246"/>
      <c r="J142" s="199"/>
      <c r="K142" s="199"/>
      <c r="L142" s="199"/>
    </row>
    <row r="143" spans="1:12" ht="24" customHeight="1">
      <c r="A143" s="435"/>
      <c r="B143" s="246" t="s">
        <v>863</v>
      </c>
      <c r="C143" s="246">
        <v>-1</v>
      </c>
      <c r="D143" s="247">
        <f>5+5+7.5</f>
        <v>17.5</v>
      </c>
      <c r="E143" s="246">
        <v>8.25</v>
      </c>
      <c r="F143" s="246"/>
      <c r="G143" s="246"/>
      <c r="H143" s="248">
        <f t="shared" si="10"/>
        <v>-144.375</v>
      </c>
      <c r="I143" s="246"/>
      <c r="J143" s="199"/>
      <c r="K143" s="199"/>
      <c r="L143" s="199"/>
    </row>
    <row r="144" spans="1:12" ht="24" customHeight="1">
      <c r="A144" s="435"/>
      <c r="B144" s="246" t="s">
        <v>864</v>
      </c>
      <c r="C144" s="246">
        <v>1</v>
      </c>
      <c r="D144" s="247">
        <v>25.25</v>
      </c>
      <c r="E144" s="246">
        <v>10.25</v>
      </c>
      <c r="F144" s="246"/>
      <c r="G144" s="246"/>
      <c r="H144" s="248">
        <f t="shared" si="10"/>
        <v>258.8125</v>
      </c>
      <c r="I144" s="246"/>
      <c r="J144" s="199"/>
      <c r="K144" s="199"/>
      <c r="L144" s="199"/>
    </row>
    <row r="145" spans="1:12" ht="24" customHeight="1">
      <c r="A145" s="435"/>
      <c r="B145" s="246" t="s">
        <v>866</v>
      </c>
      <c r="C145" s="246">
        <v>-1</v>
      </c>
      <c r="D145" s="247">
        <f>8+7.25+7.75</f>
        <v>23</v>
      </c>
      <c r="E145" s="246">
        <v>8.25</v>
      </c>
      <c r="F145" s="246"/>
      <c r="G145" s="246"/>
      <c r="H145" s="248">
        <f t="shared" si="10"/>
        <v>-189.75</v>
      </c>
      <c r="I145" s="246"/>
      <c r="J145" s="199"/>
      <c r="K145" s="199"/>
      <c r="L145" s="199"/>
    </row>
    <row r="146" spans="1:12" ht="24" customHeight="1">
      <c r="A146" s="436"/>
      <c r="B146" s="249"/>
      <c r="C146" s="244"/>
      <c r="D146" s="244"/>
      <c r="E146" s="244"/>
      <c r="F146" s="244"/>
      <c r="G146" s="244"/>
      <c r="H146" s="244"/>
      <c r="I146" s="242"/>
      <c r="J146" s="222"/>
      <c r="K146" s="199"/>
      <c r="L146" s="199"/>
    </row>
    <row r="147" spans="1:12" ht="24" customHeight="1">
      <c r="A147" s="437"/>
      <c r="B147" s="453" t="s">
        <v>637</v>
      </c>
      <c r="C147" s="244"/>
      <c r="D147" s="244"/>
      <c r="E147" s="244"/>
      <c r="F147" s="244"/>
      <c r="G147" s="244"/>
      <c r="H147" s="244"/>
      <c r="I147" s="242"/>
      <c r="J147" s="222"/>
      <c r="K147" s="199"/>
      <c r="L147" s="199"/>
    </row>
    <row r="148" spans="1:12" ht="24" customHeight="1">
      <c r="A148" s="437"/>
      <c r="B148" s="246" t="s">
        <v>873</v>
      </c>
      <c r="C148" s="246">
        <v>1</v>
      </c>
      <c r="D148" s="247">
        <f>16.75+11.25</f>
        <v>28</v>
      </c>
      <c r="E148" s="246">
        <v>10.25</v>
      </c>
      <c r="F148" s="246"/>
      <c r="G148" s="246"/>
      <c r="H148" s="248">
        <f>C148*D148*E148</f>
        <v>287</v>
      </c>
      <c r="I148" s="242"/>
      <c r="J148" s="222"/>
      <c r="K148" s="199"/>
      <c r="L148" s="199"/>
    </row>
    <row r="149" spans="1:12" ht="24" customHeight="1">
      <c r="A149" s="438"/>
      <c r="B149" s="246" t="s">
        <v>866</v>
      </c>
      <c r="C149" s="246">
        <v>-1</v>
      </c>
      <c r="D149" s="247">
        <v>2.75</v>
      </c>
      <c r="E149" s="246">
        <v>8</v>
      </c>
      <c r="F149" s="246"/>
      <c r="G149" s="246"/>
      <c r="H149" s="248">
        <f>C149*D149*E149</f>
        <v>-22</v>
      </c>
      <c r="I149" s="242"/>
      <c r="J149" s="222"/>
      <c r="K149" s="199"/>
      <c r="L149" s="199"/>
    </row>
    <row r="150" spans="1:12" ht="24" customHeight="1">
      <c r="A150" s="438"/>
      <c r="B150" s="246" t="s">
        <v>866</v>
      </c>
      <c r="C150" s="246">
        <v>-1</v>
      </c>
      <c r="D150" s="247">
        <v>11.25</v>
      </c>
      <c r="E150" s="246">
        <v>8.25</v>
      </c>
      <c r="F150" s="246"/>
      <c r="G150" s="246"/>
      <c r="H150" s="248">
        <f>C150*D150*E150</f>
        <v>-92.8125</v>
      </c>
      <c r="I150" s="242"/>
      <c r="J150" s="222"/>
      <c r="K150" s="199"/>
      <c r="L150" s="199"/>
    </row>
    <row r="151" spans="1:12" ht="24" customHeight="1">
      <c r="A151" s="416"/>
      <c r="B151" s="246" t="s">
        <v>872</v>
      </c>
      <c r="C151" s="238">
        <v>1</v>
      </c>
      <c r="D151" s="239">
        <v>10</v>
      </c>
      <c r="E151" s="238">
        <v>1.75</v>
      </c>
      <c r="F151" s="240"/>
      <c r="G151" s="240"/>
      <c r="H151" s="248">
        <f t="shared" ref="H151:H166" si="11">C151*D151*E151</f>
        <v>17.5</v>
      </c>
      <c r="I151" s="242"/>
      <c r="J151" s="222"/>
      <c r="K151" s="199"/>
      <c r="L151" s="199"/>
    </row>
    <row r="152" spans="1:12" ht="24" customHeight="1">
      <c r="A152" s="417"/>
      <c r="B152" s="246" t="s">
        <v>867</v>
      </c>
      <c r="C152" s="238">
        <v>1</v>
      </c>
      <c r="D152" s="239">
        <v>12</v>
      </c>
      <c r="E152" s="238">
        <v>1.75</v>
      </c>
      <c r="F152" s="243"/>
      <c r="G152" s="243"/>
      <c r="H152" s="248">
        <f t="shared" si="11"/>
        <v>21</v>
      </c>
      <c r="I152" s="242"/>
      <c r="J152" s="222"/>
      <c r="K152" s="199"/>
      <c r="L152" s="199"/>
    </row>
    <row r="153" spans="1:12" ht="24" customHeight="1">
      <c r="A153" s="417"/>
      <c r="B153" s="246" t="s">
        <v>868</v>
      </c>
      <c r="C153" s="238">
        <v>1</v>
      </c>
      <c r="D153" s="239">
        <f>12.25+15.25</f>
        <v>27.5</v>
      </c>
      <c r="E153" s="238">
        <v>1.75</v>
      </c>
      <c r="F153" s="243"/>
      <c r="G153" s="243"/>
      <c r="H153" s="248">
        <f t="shared" si="11"/>
        <v>48.125</v>
      </c>
      <c r="I153" s="242"/>
      <c r="J153" s="222"/>
      <c r="K153" s="199"/>
      <c r="L153" s="199"/>
    </row>
    <row r="154" spans="1:12" ht="24" customHeight="1">
      <c r="A154" s="439"/>
      <c r="B154" s="246" t="s">
        <v>869</v>
      </c>
      <c r="C154" s="245">
        <v>1</v>
      </c>
      <c r="D154" s="245">
        <f>11.75+12.25</f>
        <v>24</v>
      </c>
      <c r="E154" s="245">
        <v>1.75</v>
      </c>
      <c r="F154" s="245"/>
      <c r="G154" s="245"/>
      <c r="H154" s="248">
        <f t="shared" si="11"/>
        <v>42</v>
      </c>
      <c r="I154" s="246"/>
      <c r="J154" s="199"/>
      <c r="K154" s="199"/>
      <c r="L154" s="199"/>
    </row>
    <row r="155" spans="1:12" ht="24" customHeight="1">
      <c r="A155" s="417"/>
      <c r="B155" s="246" t="s">
        <v>870</v>
      </c>
      <c r="C155" s="238">
        <v>1</v>
      </c>
      <c r="D155" s="239">
        <v>12</v>
      </c>
      <c r="E155" s="245">
        <v>1.75</v>
      </c>
      <c r="F155" s="240"/>
      <c r="G155" s="240"/>
      <c r="H155" s="248">
        <f t="shared" si="11"/>
        <v>21</v>
      </c>
      <c r="I155" s="242"/>
      <c r="J155" s="222"/>
      <c r="K155" s="199"/>
      <c r="L155" s="199"/>
    </row>
    <row r="156" spans="1:12" ht="24" customHeight="1">
      <c r="A156" s="417"/>
      <c r="B156" s="246" t="s">
        <v>871</v>
      </c>
      <c r="C156" s="238">
        <v>1</v>
      </c>
      <c r="D156" s="245">
        <v>12.75</v>
      </c>
      <c r="E156" s="245">
        <v>10.25</v>
      </c>
      <c r="F156" s="245"/>
      <c r="G156" s="245"/>
      <c r="H156" s="245">
        <f t="shared" si="11"/>
        <v>130.6875</v>
      </c>
      <c r="I156" s="242"/>
      <c r="J156" s="222"/>
      <c r="K156" s="199"/>
      <c r="L156" s="199"/>
    </row>
    <row r="157" spans="1:12" ht="24" customHeight="1">
      <c r="A157" s="417"/>
      <c r="B157" s="237"/>
      <c r="C157" s="238">
        <v>1</v>
      </c>
      <c r="D157" s="239">
        <v>10.25</v>
      </c>
      <c r="E157" s="238">
        <v>1.75</v>
      </c>
      <c r="F157" s="240"/>
      <c r="G157" s="240"/>
      <c r="H157" s="241">
        <f t="shared" si="11"/>
        <v>17.9375</v>
      </c>
      <c r="I157" s="242"/>
      <c r="J157" s="222"/>
      <c r="K157" s="199"/>
      <c r="L157" s="199"/>
    </row>
    <row r="158" spans="1:12" ht="24" customHeight="1">
      <c r="A158" s="417"/>
      <c r="B158" s="246" t="s">
        <v>874</v>
      </c>
      <c r="C158" s="238">
        <v>1</v>
      </c>
      <c r="D158" s="239">
        <v>11</v>
      </c>
      <c r="E158" s="238">
        <v>10.25</v>
      </c>
      <c r="F158" s="240"/>
      <c r="G158" s="240"/>
      <c r="H158" s="241">
        <f t="shared" si="11"/>
        <v>112.75</v>
      </c>
      <c r="I158" s="242"/>
      <c r="J158" s="222"/>
      <c r="K158" s="199"/>
      <c r="L158" s="199"/>
    </row>
    <row r="159" spans="1:12" ht="24" customHeight="1">
      <c r="A159" s="440"/>
      <c r="B159" s="252"/>
      <c r="C159" s="252">
        <v>1</v>
      </c>
      <c r="D159" s="252">
        <v>7.75</v>
      </c>
      <c r="E159" s="252">
        <v>1.75</v>
      </c>
      <c r="F159" s="252"/>
      <c r="G159" s="252"/>
      <c r="H159" s="241">
        <f t="shared" si="11"/>
        <v>13.5625</v>
      </c>
      <c r="I159" s="253"/>
      <c r="J159" s="199"/>
      <c r="K159" s="199"/>
      <c r="L159" s="199"/>
    </row>
    <row r="160" spans="1:12" ht="24" customHeight="1">
      <c r="A160" s="435"/>
      <c r="B160" s="246" t="s">
        <v>875</v>
      </c>
      <c r="C160" s="245">
        <v>1</v>
      </c>
      <c r="D160" s="245">
        <v>7.5</v>
      </c>
      <c r="E160" s="245">
        <v>1.75</v>
      </c>
      <c r="F160" s="245"/>
      <c r="G160" s="245"/>
      <c r="H160" s="245">
        <f t="shared" si="11"/>
        <v>13.125</v>
      </c>
      <c r="I160" s="246"/>
      <c r="J160" s="199"/>
      <c r="K160" s="199"/>
      <c r="L160" s="199"/>
    </row>
    <row r="161" spans="1:12" ht="24" customHeight="1">
      <c r="A161" s="435"/>
      <c r="B161" s="246" t="s">
        <v>876</v>
      </c>
      <c r="C161" s="245">
        <v>1</v>
      </c>
      <c r="D161" s="245">
        <v>8</v>
      </c>
      <c r="E161" s="245">
        <v>1.75</v>
      </c>
      <c r="F161" s="245"/>
      <c r="G161" s="245"/>
      <c r="H161" s="245">
        <f t="shared" si="11"/>
        <v>14</v>
      </c>
      <c r="I161" s="246"/>
      <c r="J161" s="199"/>
      <c r="K161" s="199"/>
      <c r="L161" s="199"/>
    </row>
    <row r="162" spans="1:12" ht="24" customHeight="1">
      <c r="A162" s="435"/>
      <c r="B162" s="245" t="s">
        <v>877</v>
      </c>
      <c r="C162" s="245">
        <v>1</v>
      </c>
      <c r="D162" s="245">
        <f>13.5+28.5+8.5</f>
        <v>50.5</v>
      </c>
      <c r="E162" s="245">
        <v>10.25</v>
      </c>
      <c r="F162" s="245"/>
      <c r="G162" s="245"/>
      <c r="H162" s="245">
        <f t="shared" si="11"/>
        <v>517.625</v>
      </c>
      <c r="I162" s="246"/>
      <c r="J162" s="199"/>
      <c r="K162" s="199"/>
      <c r="L162" s="199"/>
    </row>
    <row r="163" spans="1:12" ht="24" customHeight="1">
      <c r="A163" s="435"/>
      <c r="B163" s="245" t="s">
        <v>866</v>
      </c>
      <c r="C163" s="245">
        <v>-1</v>
      </c>
      <c r="D163" s="245">
        <f>7+7.75+10.75+13.25</f>
        <v>38.75</v>
      </c>
      <c r="E163" s="245">
        <v>8.25</v>
      </c>
      <c r="F163" s="245"/>
      <c r="G163" s="245"/>
      <c r="H163" s="245">
        <f t="shared" si="11"/>
        <v>-319.6875</v>
      </c>
      <c r="I163" s="246"/>
      <c r="J163" s="199"/>
      <c r="K163" s="199"/>
      <c r="L163" s="199"/>
    </row>
    <row r="164" spans="1:12" ht="23.45" customHeight="1">
      <c r="A164" s="435"/>
      <c r="B164" s="246" t="s">
        <v>862</v>
      </c>
      <c r="C164" s="246">
        <v>1</v>
      </c>
      <c r="D164" s="247">
        <f>9+8+22.25+7.5</f>
        <v>46.75</v>
      </c>
      <c r="E164" s="246">
        <v>10.25</v>
      </c>
      <c r="F164" s="246"/>
      <c r="G164" s="246"/>
      <c r="H164" s="248">
        <f t="shared" si="11"/>
        <v>479.1875</v>
      </c>
      <c r="I164" s="246"/>
      <c r="J164" s="199"/>
      <c r="K164" s="199"/>
      <c r="L164" s="199"/>
    </row>
    <row r="165" spans="1:12" ht="23.45" customHeight="1">
      <c r="A165" s="435"/>
      <c r="B165" s="246" t="s">
        <v>863</v>
      </c>
      <c r="C165" s="246">
        <v>-1</v>
      </c>
      <c r="D165" s="247">
        <f>5+5+7.5</f>
        <v>17.5</v>
      </c>
      <c r="E165" s="246">
        <v>8.25</v>
      </c>
      <c r="F165" s="246"/>
      <c r="G165" s="246"/>
      <c r="H165" s="248">
        <f t="shared" si="11"/>
        <v>-144.375</v>
      </c>
      <c r="I165" s="246"/>
      <c r="J165" s="199"/>
      <c r="K165" s="199"/>
      <c r="L165" s="199"/>
    </row>
    <row r="166" spans="1:12" ht="23.45" customHeight="1">
      <c r="A166" s="435"/>
      <c r="B166" s="246" t="s">
        <v>676</v>
      </c>
      <c r="C166" s="246">
        <v>1</v>
      </c>
      <c r="D166" s="247">
        <f>8+8+12.5+12.5</f>
        <v>41</v>
      </c>
      <c r="E166" s="246">
        <v>10.25</v>
      </c>
      <c r="F166" s="246"/>
      <c r="G166" s="246"/>
      <c r="H166" s="248">
        <f t="shared" si="11"/>
        <v>420.25</v>
      </c>
      <c r="I166" s="246"/>
      <c r="J166" s="199"/>
      <c r="K166" s="199"/>
      <c r="L166" s="199"/>
    </row>
    <row r="167" spans="1:12" ht="23.45" customHeight="1">
      <c r="A167" s="435"/>
      <c r="B167" s="246" t="s">
        <v>851</v>
      </c>
      <c r="C167" s="246">
        <v>-1</v>
      </c>
      <c r="D167" s="247">
        <v>3</v>
      </c>
      <c r="E167" s="246">
        <v>8</v>
      </c>
      <c r="F167" s="246"/>
      <c r="G167" s="246"/>
      <c r="H167" s="248">
        <f>C167*D167*E167</f>
        <v>-24</v>
      </c>
      <c r="I167" s="246"/>
      <c r="J167" s="199"/>
      <c r="K167" s="199"/>
      <c r="L167" s="199"/>
    </row>
    <row r="168" spans="1:12" ht="23.45" customHeight="1">
      <c r="A168" s="435"/>
      <c r="B168" s="245" t="s">
        <v>861</v>
      </c>
      <c r="C168" s="245">
        <v>1</v>
      </c>
      <c r="D168" s="245">
        <f>6.75+4.5+6.75</f>
        <v>18</v>
      </c>
      <c r="E168" s="245">
        <v>10.25</v>
      </c>
      <c r="F168" s="245"/>
      <c r="G168" s="245"/>
      <c r="H168" s="241">
        <f>C168*D168*E168</f>
        <v>184.5</v>
      </c>
      <c r="I168" s="246"/>
      <c r="J168" s="199"/>
      <c r="K168" s="199"/>
      <c r="L168" s="199"/>
    </row>
    <row r="169" spans="1:12" ht="23.45" customHeight="1">
      <c r="A169" s="435"/>
      <c r="B169" s="245" t="s">
        <v>851</v>
      </c>
      <c r="C169" s="245">
        <v>-1</v>
      </c>
      <c r="D169" s="245">
        <v>3</v>
      </c>
      <c r="E169" s="245">
        <v>8</v>
      </c>
      <c r="F169" s="245"/>
      <c r="G169" s="245"/>
      <c r="H169" s="241">
        <f>C169*D169*E169</f>
        <v>-24</v>
      </c>
      <c r="I169" s="246"/>
      <c r="J169" s="199"/>
      <c r="K169" s="199"/>
      <c r="L169" s="199"/>
    </row>
    <row r="170" spans="1:12" ht="23.45" customHeight="1">
      <c r="A170" s="435"/>
      <c r="B170" s="245"/>
      <c r="C170" s="245"/>
      <c r="D170" s="245"/>
      <c r="E170" s="245"/>
      <c r="F170" s="245"/>
      <c r="G170" s="245"/>
      <c r="H170" s="245"/>
      <c r="I170" s="246"/>
      <c r="J170" s="199"/>
      <c r="K170" s="199"/>
      <c r="L170" s="199"/>
    </row>
    <row r="171" spans="1:12" ht="24" customHeight="1">
      <c r="A171" s="441"/>
      <c r="B171" s="255" t="s">
        <v>640</v>
      </c>
      <c r="C171" s="254"/>
      <c r="D171" s="256"/>
      <c r="E171" s="254"/>
      <c r="F171" s="254"/>
      <c r="G171" s="254"/>
      <c r="H171" s="257"/>
      <c r="I171" s="254"/>
      <c r="J171" s="199"/>
      <c r="K171" s="199"/>
      <c r="L171" s="199"/>
    </row>
    <row r="172" spans="1:12" ht="24" customHeight="1">
      <c r="A172" s="435"/>
      <c r="B172" s="246" t="s">
        <v>645</v>
      </c>
      <c r="C172" s="246">
        <v>1</v>
      </c>
      <c r="D172" s="246">
        <f>7.5+8+3+10.75</f>
        <v>29.25</v>
      </c>
      <c r="E172" s="246">
        <v>10.25</v>
      </c>
      <c r="F172" s="246"/>
      <c r="G172" s="246"/>
      <c r="H172" s="241">
        <f>C172*D172*E172</f>
        <v>299.8125</v>
      </c>
      <c r="I172" s="246"/>
      <c r="J172" s="222"/>
      <c r="K172" s="199"/>
      <c r="L172" s="199"/>
    </row>
    <row r="173" spans="1:12" ht="24" customHeight="1">
      <c r="A173" s="435"/>
      <c r="B173" s="246" t="s">
        <v>866</v>
      </c>
      <c r="C173" s="246">
        <v>-1</v>
      </c>
      <c r="D173" s="246">
        <f>3.25+3.25</f>
        <v>6.5</v>
      </c>
      <c r="E173" s="246">
        <v>8</v>
      </c>
      <c r="F173" s="246"/>
      <c r="G173" s="246"/>
      <c r="H173" s="241">
        <f t="shared" ref="H173:H192" si="12">C173*D173*E173</f>
        <v>-52</v>
      </c>
      <c r="I173" s="246"/>
      <c r="J173" s="222"/>
      <c r="K173" s="199"/>
      <c r="L173" s="199"/>
    </row>
    <row r="174" spans="1:12" ht="24" customHeight="1">
      <c r="A174" s="435"/>
      <c r="B174" s="246" t="s">
        <v>644</v>
      </c>
      <c r="C174" s="246">
        <v>1</v>
      </c>
      <c r="D174" s="246">
        <f>25.5+49+13</f>
        <v>87.5</v>
      </c>
      <c r="E174" s="246">
        <v>10.25</v>
      </c>
      <c r="F174" s="246"/>
      <c r="G174" s="246"/>
      <c r="H174" s="241">
        <f t="shared" si="12"/>
        <v>896.875</v>
      </c>
      <c r="I174" s="246"/>
      <c r="J174" s="222"/>
      <c r="K174" s="199"/>
      <c r="L174" s="199"/>
    </row>
    <row r="175" spans="1:12" ht="24" customHeight="1">
      <c r="A175" s="435"/>
      <c r="B175" s="246" t="s">
        <v>878</v>
      </c>
      <c r="C175" s="246">
        <v>-1</v>
      </c>
      <c r="D175" s="246">
        <f>3.25+2.75</f>
        <v>6</v>
      </c>
      <c r="E175" s="246">
        <v>8</v>
      </c>
      <c r="F175" s="246"/>
      <c r="G175" s="246"/>
      <c r="H175" s="241">
        <f t="shared" si="12"/>
        <v>-48</v>
      </c>
      <c r="I175" s="246"/>
      <c r="J175" s="222"/>
      <c r="K175" s="199"/>
      <c r="L175" s="199"/>
    </row>
    <row r="176" spans="1:12" ht="24" customHeight="1">
      <c r="A176" s="435"/>
      <c r="B176" s="246" t="s">
        <v>879</v>
      </c>
      <c r="C176" s="246">
        <v>-1</v>
      </c>
      <c r="D176" s="246">
        <f>11.25+10+12+12.25</f>
        <v>45.5</v>
      </c>
      <c r="E176" s="246">
        <v>8.25</v>
      </c>
      <c r="F176" s="246"/>
      <c r="G176" s="246"/>
      <c r="H176" s="241">
        <f t="shared" si="12"/>
        <v>-375.375</v>
      </c>
      <c r="I176" s="246"/>
      <c r="J176" s="222"/>
      <c r="K176" s="199"/>
      <c r="L176" s="199"/>
    </row>
    <row r="177" spans="1:12" ht="24" customHeight="1">
      <c r="A177" s="435"/>
      <c r="B177" s="246" t="s">
        <v>676</v>
      </c>
      <c r="C177" s="246">
        <v>1</v>
      </c>
      <c r="D177" s="246">
        <f>7+12.5+7</f>
        <v>26.5</v>
      </c>
      <c r="E177" s="246">
        <v>10.25</v>
      </c>
      <c r="F177" s="246"/>
      <c r="G177" s="246"/>
      <c r="H177" s="241">
        <f t="shared" si="12"/>
        <v>271.625</v>
      </c>
      <c r="I177" s="246"/>
      <c r="J177" s="222"/>
      <c r="K177" s="199"/>
      <c r="L177" s="199"/>
    </row>
    <row r="178" spans="1:12" ht="24" customHeight="1">
      <c r="A178" s="435"/>
      <c r="B178" s="246" t="s">
        <v>880</v>
      </c>
      <c r="C178" s="246">
        <v>1</v>
      </c>
      <c r="D178" s="246">
        <f>7.25+24.75</f>
        <v>32</v>
      </c>
      <c r="E178" s="246">
        <v>10.25</v>
      </c>
      <c r="F178" s="246"/>
      <c r="G178" s="246"/>
      <c r="H178" s="241">
        <f t="shared" si="12"/>
        <v>328</v>
      </c>
      <c r="I178" s="246"/>
      <c r="J178" s="222"/>
      <c r="K178" s="199"/>
      <c r="L178" s="199"/>
    </row>
    <row r="179" spans="1:12" ht="24" customHeight="1">
      <c r="A179" s="435"/>
      <c r="B179" s="246" t="s">
        <v>879</v>
      </c>
      <c r="C179" s="246">
        <v>-1</v>
      </c>
      <c r="D179" s="246">
        <f>10+12+12.25</f>
        <v>34.25</v>
      </c>
      <c r="E179" s="246">
        <v>8.25</v>
      </c>
      <c r="F179" s="246"/>
      <c r="G179" s="246"/>
      <c r="H179" s="241">
        <f t="shared" si="12"/>
        <v>-282.5625</v>
      </c>
      <c r="I179" s="246"/>
      <c r="J179" s="222"/>
      <c r="K179" s="199"/>
      <c r="L179" s="199"/>
    </row>
    <row r="180" spans="1:12" ht="24" customHeight="1">
      <c r="A180" s="435"/>
      <c r="B180" s="246" t="s">
        <v>646</v>
      </c>
      <c r="C180" s="246">
        <v>1</v>
      </c>
      <c r="D180" s="246">
        <f>13+10.5+13</f>
        <v>36.5</v>
      </c>
      <c r="E180" s="246">
        <v>10.25</v>
      </c>
      <c r="F180" s="246"/>
      <c r="G180" s="246"/>
      <c r="H180" s="241">
        <f t="shared" si="12"/>
        <v>374.125</v>
      </c>
      <c r="I180" s="246"/>
      <c r="J180" s="222"/>
      <c r="K180" s="199"/>
      <c r="L180" s="199"/>
    </row>
    <row r="181" spans="1:12" ht="24" customHeight="1">
      <c r="A181" s="435"/>
      <c r="B181" s="246" t="s">
        <v>879</v>
      </c>
      <c r="C181" s="246">
        <v>-1</v>
      </c>
      <c r="D181" s="246">
        <v>10.25</v>
      </c>
      <c r="E181" s="246">
        <v>8.25</v>
      </c>
      <c r="F181" s="246"/>
      <c r="G181" s="246"/>
      <c r="H181" s="241">
        <f t="shared" si="12"/>
        <v>-84.5625</v>
      </c>
      <c r="I181" s="246"/>
      <c r="J181" s="222"/>
      <c r="K181" s="199"/>
      <c r="L181" s="199"/>
    </row>
    <row r="182" spans="1:12" ht="24" customHeight="1">
      <c r="A182" s="435"/>
      <c r="B182" s="246" t="s">
        <v>881</v>
      </c>
      <c r="C182" s="246">
        <v>1</v>
      </c>
      <c r="D182" s="246">
        <f>7.5+9.5+7+5</f>
        <v>29</v>
      </c>
      <c r="E182" s="246">
        <v>10.25</v>
      </c>
      <c r="F182" s="246"/>
      <c r="G182" s="246"/>
      <c r="H182" s="241">
        <f t="shared" si="12"/>
        <v>297.25</v>
      </c>
      <c r="I182" s="246"/>
      <c r="J182" s="222"/>
      <c r="K182" s="199"/>
      <c r="L182" s="199"/>
    </row>
    <row r="183" spans="1:12" ht="24" customHeight="1">
      <c r="A183" s="435"/>
      <c r="B183" s="246" t="s">
        <v>878</v>
      </c>
      <c r="C183" s="246">
        <v>-1</v>
      </c>
      <c r="D183" s="246">
        <f>2.75+2.5+3.25+3</f>
        <v>11.5</v>
      </c>
      <c r="E183" s="246">
        <v>8</v>
      </c>
      <c r="F183" s="246"/>
      <c r="G183" s="246"/>
      <c r="H183" s="241">
        <f t="shared" si="12"/>
        <v>-92</v>
      </c>
      <c r="I183" s="246"/>
      <c r="J183" s="222"/>
      <c r="K183" s="199"/>
      <c r="L183" s="199"/>
    </row>
    <row r="184" spans="1:12" ht="24" customHeight="1">
      <c r="A184" s="435"/>
      <c r="B184" s="246" t="s">
        <v>648</v>
      </c>
      <c r="C184" s="246">
        <v>1</v>
      </c>
      <c r="D184" s="246">
        <f>15+11.75</f>
        <v>26.75</v>
      </c>
      <c r="E184" s="246">
        <v>10.25</v>
      </c>
      <c r="F184" s="246"/>
      <c r="G184" s="246"/>
      <c r="H184" s="241">
        <f t="shared" si="12"/>
        <v>274.1875</v>
      </c>
      <c r="I184" s="246"/>
      <c r="J184" s="222"/>
      <c r="K184" s="199"/>
      <c r="L184" s="199"/>
    </row>
    <row r="185" spans="1:12" ht="24" customHeight="1">
      <c r="A185" s="435"/>
      <c r="B185" s="246" t="s">
        <v>879</v>
      </c>
      <c r="C185" s="246">
        <v>-1</v>
      </c>
      <c r="D185" s="246">
        <f>14.75</f>
        <v>14.75</v>
      </c>
      <c r="E185" s="246">
        <v>8.25</v>
      </c>
      <c r="F185" s="246"/>
      <c r="G185" s="246"/>
      <c r="H185" s="241">
        <f>C185*D185*E185</f>
        <v>-121.6875</v>
      </c>
      <c r="I185" s="246"/>
      <c r="J185" s="222"/>
      <c r="K185" s="199"/>
      <c r="L185" s="199"/>
    </row>
    <row r="186" spans="1:12" ht="24" customHeight="1">
      <c r="A186" s="435"/>
      <c r="B186" s="246" t="s">
        <v>650</v>
      </c>
      <c r="C186" s="246">
        <v>1</v>
      </c>
      <c r="D186" s="246">
        <f>15.5+14</f>
        <v>29.5</v>
      </c>
      <c r="E186" s="246">
        <v>10.25</v>
      </c>
      <c r="F186" s="246"/>
      <c r="G186" s="246"/>
      <c r="H186" s="241">
        <f t="shared" si="12"/>
        <v>302.375</v>
      </c>
      <c r="I186" s="246"/>
      <c r="J186" s="222"/>
      <c r="K186" s="199"/>
      <c r="L186" s="199"/>
    </row>
    <row r="187" spans="1:12" ht="24" customHeight="1">
      <c r="A187" s="435"/>
      <c r="B187" s="246" t="s">
        <v>879</v>
      </c>
      <c r="C187" s="246">
        <v>-1</v>
      </c>
      <c r="D187" s="246">
        <f>3.25+10.75+13.25</f>
        <v>27.25</v>
      </c>
      <c r="E187" s="246">
        <v>8.25</v>
      </c>
      <c r="F187" s="246"/>
      <c r="G187" s="246"/>
      <c r="H187" s="241">
        <f t="shared" si="12"/>
        <v>-224.8125</v>
      </c>
      <c r="I187" s="246"/>
      <c r="J187" s="222"/>
      <c r="K187" s="199"/>
      <c r="L187" s="199"/>
    </row>
    <row r="188" spans="1:12" ht="24" customHeight="1">
      <c r="A188" s="435"/>
      <c r="B188" s="246" t="s">
        <v>882</v>
      </c>
      <c r="C188" s="246">
        <v>1</v>
      </c>
      <c r="D188" s="246">
        <f>13.5+13.5</f>
        <v>27</v>
      </c>
      <c r="E188" s="246">
        <v>10.25</v>
      </c>
      <c r="F188" s="246"/>
      <c r="G188" s="246"/>
      <c r="H188" s="241">
        <f t="shared" si="12"/>
        <v>276.75</v>
      </c>
      <c r="I188" s="246"/>
      <c r="J188" s="222"/>
      <c r="K188" s="199"/>
      <c r="L188" s="199"/>
    </row>
    <row r="189" spans="1:12" ht="24" customHeight="1">
      <c r="A189" s="435"/>
      <c r="B189" s="246" t="s">
        <v>878</v>
      </c>
      <c r="C189" s="246">
        <v>-1</v>
      </c>
      <c r="D189" s="246">
        <f>2.25+3.25</f>
        <v>5.5</v>
      </c>
      <c r="E189" s="246">
        <v>8</v>
      </c>
      <c r="F189" s="246"/>
      <c r="G189" s="246"/>
      <c r="H189" s="241">
        <f t="shared" si="12"/>
        <v>-44</v>
      </c>
      <c r="I189" s="246"/>
      <c r="J189" s="222"/>
      <c r="K189" s="199"/>
      <c r="L189" s="199"/>
    </row>
    <row r="190" spans="1:12" ht="24" customHeight="1">
      <c r="A190" s="435"/>
      <c r="B190" s="246" t="s">
        <v>653</v>
      </c>
      <c r="C190" s="246">
        <v>1</v>
      </c>
      <c r="D190" s="246">
        <f>17+16.75</f>
        <v>33.75</v>
      </c>
      <c r="E190" s="246">
        <v>10.25</v>
      </c>
      <c r="F190" s="246"/>
      <c r="G190" s="246"/>
      <c r="H190" s="241">
        <f t="shared" si="12"/>
        <v>345.9375</v>
      </c>
      <c r="I190" s="246"/>
      <c r="J190" s="222"/>
      <c r="K190" s="199"/>
      <c r="L190" s="199"/>
    </row>
    <row r="191" spans="1:12" ht="24" customHeight="1">
      <c r="A191" s="435"/>
      <c r="B191" s="246" t="s">
        <v>878</v>
      </c>
      <c r="C191" s="246">
        <v>-1</v>
      </c>
      <c r="D191" s="246">
        <f>2.75</f>
        <v>2.75</v>
      </c>
      <c r="E191" s="246">
        <v>8</v>
      </c>
      <c r="F191" s="246"/>
      <c r="G191" s="246"/>
      <c r="H191" s="246">
        <f t="shared" si="12"/>
        <v>-22</v>
      </c>
      <c r="I191" s="246"/>
      <c r="J191" s="222"/>
      <c r="K191" s="199"/>
      <c r="L191" s="199"/>
    </row>
    <row r="192" spans="1:12" ht="24" customHeight="1">
      <c r="A192" s="435"/>
      <c r="B192" s="246" t="s">
        <v>879</v>
      </c>
      <c r="C192" s="246">
        <v>-1</v>
      </c>
      <c r="D192" s="246">
        <f>5+5</f>
        <v>10</v>
      </c>
      <c r="E192" s="246">
        <v>8.25</v>
      </c>
      <c r="F192" s="246"/>
      <c r="G192" s="246"/>
      <c r="H192" s="246">
        <f t="shared" si="12"/>
        <v>-82.5</v>
      </c>
      <c r="I192" s="246"/>
      <c r="J192" s="222"/>
      <c r="K192" s="199"/>
      <c r="L192" s="199"/>
    </row>
    <row r="193" spans="1:12" ht="24" customHeight="1">
      <c r="A193" s="435"/>
      <c r="B193" s="245" t="s">
        <v>861</v>
      </c>
      <c r="C193" s="245">
        <v>1</v>
      </c>
      <c r="D193" s="245">
        <f>6.75+4.5+6.75</f>
        <v>18</v>
      </c>
      <c r="E193" s="245">
        <v>10.25</v>
      </c>
      <c r="F193" s="245"/>
      <c r="G193" s="245"/>
      <c r="H193" s="241">
        <f>C193*D193*E193</f>
        <v>184.5</v>
      </c>
      <c r="I193" s="246"/>
      <c r="J193" s="222"/>
      <c r="K193" s="199"/>
      <c r="L193" s="199"/>
    </row>
    <row r="194" spans="1:12" ht="24" customHeight="1">
      <c r="A194" s="435"/>
      <c r="B194" s="245" t="s">
        <v>851</v>
      </c>
      <c r="C194" s="245">
        <v>-1</v>
      </c>
      <c r="D194" s="245">
        <v>3</v>
      </c>
      <c r="E194" s="245">
        <v>8</v>
      </c>
      <c r="F194" s="245"/>
      <c r="G194" s="245"/>
      <c r="H194" s="241">
        <f>C194*D194*E194</f>
        <v>-24</v>
      </c>
      <c r="I194" s="246"/>
      <c r="J194" s="222"/>
      <c r="K194" s="199"/>
      <c r="L194" s="199"/>
    </row>
    <row r="195" spans="1:12" ht="24" customHeight="1">
      <c r="A195" s="428"/>
      <c r="B195" s="258"/>
      <c r="C195" s="258"/>
      <c r="D195" s="259"/>
      <c r="E195" s="260"/>
      <c r="F195" s="258"/>
      <c r="G195" s="258"/>
      <c r="H195" s="261"/>
      <c r="I195" s="258"/>
      <c r="J195" s="199"/>
      <c r="K195" s="199"/>
      <c r="L195" s="199"/>
    </row>
    <row r="196" spans="1:12" ht="210">
      <c r="A196" s="345" t="s">
        <v>669</v>
      </c>
      <c r="B196" s="356" t="s">
        <v>920</v>
      </c>
      <c r="C196" s="354"/>
      <c r="D196" s="354"/>
      <c r="E196" s="354"/>
      <c r="F196" s="348"/>
      <c r="G196" s="348"/>
      <c r="H196" s="349"/>
      <c r="I196" s="355"/>
      <c r="J196" s="199"/>
      <c r="K196" s="199"/>
      <c r="L196" s="199"/>
    </row>
    <row r="197" spans="1:12" ht="21">
      <c r="A197" s="376" t="s">
        <v>62</v>
      </c>
      <c r="B197" s="377" t="s">
        <v>63</v>
      </c>
      <c r="C197" s="378"/>
      <c r="D197" s="379"/>
      <c r="E197" s="378"/>
      <c r="F197" s="380"/>
      <c r="G197" s="380"/>
      <c r="H197" s="381"/>
      <c r="I197" s="382"/>
      <c r="J197" s="199"/>
      <c r="K197" s="199"/>
      <c r="L197" s="199"/>
    </row>
    <row r="198" spans="1:12" ht="26.25">
      <c r="A198" s="383" t="s">
        <v>64</v>
      </c>
      <c r="B198" s="384" t="s">
        <v>60</v>
      </c>
      <c r="C198" s="385"/>
      <c r="D198" s="385"/>
      <c r="E198" s="385"/>
      <c r="F198" s="380" t="s">
        <v>620</v>
      </c>
      <c r="G198" s="380"/>
      <c r="H198" s="349">
        <f>H199/10.764</f>
        <v>71.423262727610549</v>
      </c>
      <c r="I198" s="382" t="s">
        <v>328</v>
      </c>
      <c r="J198" s="199"/>
      <c r="K198" s="199"/>
      <c r="L198" s="199"/>
    </row>
    <row r="199" spans="1:12" ht="21">
      <c r="A199" s="376"/>
      <c r="B199" s="377"/>
      <c r="C199" s="378"/>
      <c r="D199" s="379"/>
      <c r="E199" s="378"/>
      <c r="F199" s="380" t="s">
        <v>620</v>
      </c>
      <c r="G199" s="380"/>
      <c r="H199" s="381">
        <f>SUM(H201:H236)</f>
        <v>768.8</v>
      </c>
      <c r="I199" s="382" t="s">
        <v>621</v>
      </c>
      <c r="J199" s="199"/>
      <c r="K199" s="199"/>
      <c r="L199" s="199"/>
    </row>
    <row r="200" spans="1:12" ht="21">
      <c r="A200" s="418"/>
      <c r="B200" s="411" t="s">
        <v>605</v>
      </c>
      <c r="C200" s="262"/>
      <c r="D200" s="263"/>
      <c r="E200" s="262"/>
      <c r="F200" s="264"/>
      <c r="G200" s="264"/>
      <c r="H200" s="265"/>
      <c r="I200" s="266"/>
      <c r="J200" s="199"/>
      <c r="K200" s="199"/>
      <c r="L200" s="199"/>
    </row>
    <row r="201" spans="1:12" ht="21">
      <c r="A201" s="418"/>
      <c r="B201" s="267" t="s">
        <v>940</v>
      </c>
      <c r="C201" s="262">
        <v>1</v>
      </c>
      <c r="D201" s="263">
        <v>8.85</v>
      </c>
      <c r="E201" s="262">
        <v>2.25</v>
      </c>
      <c r="F201" s="264"/>
      <c r="G201" s="264"/>
      <c r="H201" s="268">
        <v>19.912500000000001</v>
      </c>
      <c r="I201" s="266"/>
      <c r="J201" s="199"/>
      <c r="K201" s="199"/>
      <c r="L201" s="199"/>
    </row>
    <row r="202" spans="1:12" ht="21">
      <c r="A202" s="418"/>
      <c r="B202" s="267" t="s">
        <v>941</v>
      </c>
      <c r="C202" s="262">
        <v>1</v>
      </c>
      <c r="D202" s="263">
        <v>5.5</v>
      </c>
      <c r="E202" s="262">
        <v>2.25</v>
      </c>
      <c r="F202" s="264"/>
      <c r="G202" s="264"/>
      <c r="H202" s="268">
        <v>12.375</v>
      </c>
      <c r="I202" s="266"/>
      <c r="J202" s="199"/>
      <c r="K202" s="199"/>
      <c r="L202" s="199"/>
    </row>
    <row r="203" spans="1:12" ht="21">
      <c r="A203" s="418"/>
      <c r="B203" s="267" t="s">
        <v>942</v>
      </c>
      <c r="C203" s="262">
        <v>1</v>
      </c>
      <c r="D203" s="263">
        <v>2.25</v>
      </c>
      <c r="E203" s="262">
        <v>2.75</v>
      </c>
      <c r="F203" s="264"/>
      <c r="G203" s="264"/>
      <c r="H203" s="268">
        <v>6.1875</v>
      </c>
      <c r="I203" s="266"/>
      <c r="J203" s="199"/>
      <c r="K203" s="199"/>
      <c r="L203" s="199"/>
    </row>
    <row r="204" spans="1:12" ht="21">
      <c r="A204" s="418"/>
      <c r="B204" s="267" t="s">
        <v>943</v>
      </c>
      <c r="C204" s="262">
        <v>1</v>
      </c>
      <c r="D204" s="263">
        <v>8.85</v>
      </c>
      <c r="E204" s="262">
        <v>2.25</v>
      </c>
      <c r="F204" s="264"/>
      <c r="G204" s="264"/>
      <c r="H204" s="268">
        <v>19.912499999999998</v>
      </c>
      <c r="I204" s="266"/>
      <c r="J204" s="199"/>
      <c r="K204" s="199"/>
      <c r="L204" s="199"/>
    </row>
    <row r="205" spans="1:12" ht="21">
      <c r="A205" s="418"/>
      <c r="B205" s="267" t="s">
        <v>944</v>
      </c>
      <c r="C205" s="262">
        <v>1</v>
      </c>
      <c r="D205" s="263">
        <v>7.5</v>
      </c>
      <c r="E205" s="262">
        <v>2.25</v>
      </c>
      <c r="F205" s="264"/>
      <c r="G205" s="264"/>
      <c r="H205" s="268">
        <v>16.875</v>
      </c>
      <c r="I205" s="266"/>
      <c r="J205" s="199"/>
      <c r="K205" s="199"/>
      <c r="L205" s="199"/>
    </row>
    <row r="206" spans="1:12" ht="21">
      <c r="A206" s="418"/>
      <c r="B206" s="267" t="s">
        <v>945</v>
      </c>
      <c r="C206" s="262">
        <v>1</v>
      </c>
      <c r="D206" s="263">
        <v>5.35</v>
      </c>
      <c r="E206" s="262">
        <v>2.25</v>
      </c>
      <c r="F206" s="264"/>
      <c r="G206" s="264"/>
      <c r="H206" s="268">
        <v>12.0375</v>
      </c>
      <c r="I206" s="266"/>
      <c r="J206" s="199"/>
      <c r="K206" s="199"/>
      <c r="L206" s="199"/>
    </row>
    <row r="207" spans="1:12" ht="21">
      <c r="A207" s="418"/>
      <c r="B207" s="267" t="s">
        <v>946</v>
      </c>
      <c r="C207" s="262">
        <v>1</v>
      </c>
      <c r="D207" s="263">
        <v>2.25</v>
      </c>
      <c r="E207" s="262">
        <v>2.75</v>
      </c>
      <c r="F207" s="264"/>
      <c r="G207" s="264"/>
      <c r="H207" s="268">
        <v>6.1875</v>
      </c>
      <c r="I207" s="266"/>
      <c r="J207" s="199"/>
      <c r="K207" s="199"/>
      <c r="L207" s="199"/>
    </row>
    <row r="208" spans="1:12" ht="21">
      <c r="A208" s="418"/>
      <c r="B208" s="267" t="s">
        <v>947</v>
      </c>
      <c r="C208" s="262">
        <v>1</v>
      </c>
      <c r="D208" s="263">
        <v>2.25</v>
      </c>
      <c r="E208" s="262">
        <v>2.75</v>
      </c>
      <c r="F208" s="264"/>
      <c r="G208" s="264"/>
      <c r="H208" s="268">
        <v>6.1875</v>
      </c>
      <c r="I208" s="266"/>
      <c r="J208" s="199"/>
      <c r="K208" s="199"/>
      <c r="L208" s="199"/>
    </row>
    <row r="209" spans="1:12" ht="21">
      <c r="A209" s="676"/>
      <c r="B209" s="267" t="s">
        <v>670</v>
      </c>
      <c r="C209" s="262">
        <v>22</v>
      </c>
      <c r="D209" s="263">
        <v>4.8499999999999996</v>
      </c>
      <c r="E209" s="262">
        <v>1</v>
      </c>
      <c r="F209" s="264"/>
      <c r="G209" s="264"/>
      <c r="H209" s="268">
        <v>106.69999999999999</v>
      </c>
      <c r="I209" s="266"/>
      <c r="J209" s="199"/>
      <c r="K209" s="199"/>
      <c r="L209" s="199"/>
    </row>
    <row r="210" spans="1:12" ht="21">
      <c r="A210" s="677"/>
      <c r="B210" s="267" t="s">
        <v>923</v>
      </c>
      <c r="C210" s="262">
        <v>22</v>
      </c>
      <c r="D210" s="263">
        <v>4.8499999999999996</v>
      </c>
      <c r="E210" s="262">
        <v>1</v>
      </c>
      <c r="F210" s="264"/>
      <c r="G210" s="264"/>
      <c r="H210" s="268">
        <v>106.69999999999999</v>
      </c>
      <c r="I210" s="266"/>
      <c r="J210" s="199"/>
      <c r="K210" s="199"/>
      <c r="L210" s="199"/>
    </row>
    <row r="211" spans="1:12" ht="21">
      <c r="A211" s="677"/>
      <c r="B211" s="267" t="s">
        <v>671</v>
      </c>
      <c r="C211" s="262">
        <v>1</v>
      </c>
      <c r="D211" s="263">
        <v>10.35</v>
      </c>
      <c r="E211" s="262">
        <v>5</v>
      </c>
      <c r="F211" s="264"/>
      <c r="G211" s="264"/>
      <c r="H211" s="268">
        <v>51.75</v>
      </c>
      <c r="I211" s="266"/>
      <c r="J211" s="199"/>
      <c r="K211" s="199"/>
      <c r="L211" s="199"/>
    </row>
    <row r="212" spans="1:12" ht="21">
      <c r="A212" s="678"/>
      <c r="B212" s="267" t="s">
        <v>845</v>
      </c>
      <c r="C212" s="262">
        <v>1</v>
      </c>
      <c r="D212" s="263">
        <v>47</v>
      </c>
      <c r="E212" s="262">
        <v>0.75</v>
      </c>
      <c r="F212" s="264"/>
      <c r="G212" s="264"/>
      <c r="H212" s="268">
        <v>35.25</v>
      </c>
      <c r="I212" s="266"/>
      <c r="J212" s="199"/>
      <c r="K212" s="199"/>
      <c r="L212" s="199"/>
    </row>
    <row r="213" spans="1:12" ht="21">
      <c r="A213" s="676"/>
      <c r="B213" s="267" t="s">
        <v>672</v>
      </c>
      <c r="C213" s="262">
        <v>22</v>
      </c>
      <c r="D213" s="263">
        <v>4.8499999999999996</v>
      </c>
      <c r="E213" s="262">
        <v>1</v>
      </c>
      <c r="F213" s="264"/>
      <c r="G213" s="264"/>
      <c r="H213" s="268">
        <v>106.69999999999999</v>
      </c>
      <c r="I213" s="266"/>
      <c r="J213" s="199"/>
      <c r="K213" s="199"/>
      <c r="L213" s="199"/>
    </row>
    <row r="214" spans="1:12" ht="21">
      <c r="A214" s="677"/>
      <c r="B214" s="267" t="s">
        <v>924</v>
      </c>
      <c r="C214" s="262">
        <v>22</v>
      </c>
      <c r="D214" s="263">
        <v>4.8499999999999996</v>
      </c>
      <c r="E214" s="262">
        <v>1</v>
      </c>
      <c r="F214" s="264"/>
      <c r="G214" s="264"/>
      <c r="H214" s="268">
        <v>106.69999999999999</v>
      </c>
      <c r="I214" s="266"/>
      <c r="J214" s="199"/>
      <c r="K214" s="199"/>
      <c r="L214" s="199"/>
    </row>
    <row r="215" spans="1:12" ht="21">
      <c r="A215" s="677"/>
      <c r="B215" s="267" t="s">
        <v>671</v>
      </c>
      <c r="C215" s="262">
        <v>1</v>
      </c>
      <c r="D215" s="263">
        <v>10.35</v>
      </c>
      <c r="E215" s="262">
        <v>5</v>
      </c>
      <c r="F215" s="264"/>
      <c r="G215" s="264"/>
      <c r="H215" s="268">
        <v>51.75</v>
      </c>
      <c r="I215" s="266"/>
      <c r="J215" s="199"/>
      <c r="K215" s="199"/>
      <c r="L215" s="199"/>
    </row>
    <row r="216" spans="1:12" ht="21">
      <c r="A216" s="678"/>
      <c r="B216" s="267" t="s">
        <v>845</v>
      </c>
      <c r="C216" s="262">
        <v>1</v>
      </c>
      <c r="D216" s="263">
        <v>47</v>
      </c>
      <c r="E216" s="262">
        <v>0.75</v>
      </c>
      <c r="F216" s="264"/>
      <c r="G216" s="264"/>
      <c r="H216" s="268">
        <v>35.25</v>
      </c>
      <c r="I216" s="266"/>
      <c r="J216" s="199"/>
      <c r="K216" s="199"/>
      <c r="L216" s="199"/>
    </row>
    <row r="217" spans="1:12" ht="21">
      <c r="A217" s="418"/>
      <c r="B217" s="267" t="s">
        <v>948</v>
      </c>
      <c r="C217" s="262">
        <v>2</v>
      </c>
      <c r="D217" s="263">
        <v>1.25</v>
      </c>
      <c r="E217" s="262">
        <v>3</v>
      </c>
      <c r="F217" s="264"/>
      <c r="G217" s="264"/>
      <c r="H217" s="268">
        <v>7.5</v>
      </c>
      <c r="I217" s="266"/>
      <c r="J217" s="199"/>
      <c r="K217" s="199"/>
      <c r="L217" s="199"/>
    </row>
    <row r="218" spans="1:12" ht="21">
      <c r="A218" s="418"/>
      <c r="B218" s="267" t="s">
        <v>793</v>
      </c>
      <c r="C218" s="262">
        <v>2</v>
      </c>
      <c r="D218" s="263">
        <v>2.85</v>
      </c>
      <c r="E218" s="262">
        <v>0.5</v>
      </c>
      <c r="F218" s="264"/>
      <c r="G218" s="264"/>
      <c r="H218" s="268">
        <v>2.85</v>
      </c>
      <c r="I218" s="266"/>
      <c r="J218" s="199"/>
      <c r="K218" s="199"/>
      <c r="L218" s="199"/>
    </row>
    <row r="219" spans="1:12" ht="21">
      <c r="A219" s="418"/>
      <c r="B219" s="267" t="s">
        <v>949</v>
      </c>
      <c r="C219" s="262">
        <v>2</v>
      </c>
      <c r="D219" s="263">
        <v>1.25</v>
      </c>
      <c r="E219" s="262">
        <v>3.5</v>
      </c>
      <c r="F219" s="264"/>
      <c r="G219" s="264"/>
      <c r="H219" s="268">
        <v>8.75</v>
      </c>
      <c r="I219" s="266"/>
      <c r="J219" s="199"/>
      <c r="K219" s="199"/>
      <c r="L219" s="199"/>
    </row>
    <row r="220" spans="1:12" ht="21">
      <c r="A220" s="418"/>
      <c r="B220" s="267" t="s">
        <v>794</v>
      </c>
      <c r="C220" s="262">
        <v>2</v>
      </c>
      <c r="D220" s="263">
        <v>3.85</v>
      </c>
      <c r="E220" s="262">
        <v>0.5</v>
      </c>
      <c r="F220" s="264"/>
      <c r="G220" s="264"/>
      <c r="H220" s="268">
        <v>3.85</v>
      </c>
      <c r="I220" s="266"/>
      <c r="J220" s="199"/>
      <c r="K220" s="199"/>
      <c r="L220" s="199"/>
    </row>
    <row r="221" spans="1:12" ht="21">
      <c r="A221" s="418"/>
      <c r="B221" s="267" t="s">
        <v>950</v>
      </c>
      <c r="C221" s="262">
        <v>3</v>
      </c>
      <c r="D221" s="263">
        <v>3</v>
      </c>
      <c r="E221" s="262">
        <v>1.5</v>
      </c>
      <c r="F221" s="264"/>
      <c r="G221" s="264"/>
      <c r="H221" s="268">
        <v>13.5</v>
      </c>
      <c r="I221" s="266"/>
      <c r="J221" s="199"/>
      <c r="K221" s="199"/>
      <c r="L221" s="199"/>
    </row>
    <row r="222" spans="1:12" ht="21">
      <c r="A222" s="418"/>
      <c r="B222" s="267" t="s">
        <v>801</v>
      </c>
      <c r="C222" s="262">
        <v>3</v>
      </c>
      <c r="D222" s="263">
        <v>3.5</v>
      </c>
      <c r="E222" s="262">
        <v>0.5</v>
      </c>
      <c r="F222" s="264"/>
      <c r="G222" s="264"/>
      <c r="H222" s="268">
        <v>5.25</v>
      </c>
      <c r="I222" s="266"/>
      <c r="J222" s="199"/>
      <c r="K222" s="199"/>
      <c r="L222" s="199"/>
    </row>
    <row r="223" spans="1:12" ht="21">
      <c r="A223" s="418"/>
      <c r="B223" s="267" t="s">
        <v>951</v>
      </c>
      <c r="C223" s="262"/>
      <c r="D223" s="263"/>
      <c r="E223" s="262"/>
      <c r="F223" s="264"/>
      <c r="G223" s="264"/>
      <c r="H223" s="268"/>
      <c r="I223" s="266"/>
      <c r="J223" s="199"/>
      <c r="K223" s="199"/>
      <c r="L223" s="199"/>
    </row>
    <row r="224" spans="1:12" ht="21">
      <c r="A224" s="418"/>
      <c r="B224" s="267" t="s">
        <v>796</v>
      </c>
      <c r="C224" s="262">
        <v>1</v>
      </c>
      <c r="D224" s="263">
        <v>2.25</v>
      </c>
      <c r="E224" s="262">
        <v>1.5</v>
      </c>
      <c r="F224" s="264"/>
      <c r="G224" s="264"/>
      <c r="H224" s="268">
        <v>3.375</v>
      </c>
      <c r="I224" s="266"/>
      <c r="J224" s="199"/>
      <c r="K224" s="199"/>
      <c r="L224" s="199"/>
    </row>
    <row r="225" spans="1:12" ht="21">
      <c r="A225" s="418"/>
      <c r="B225" s="267" t="s">
        <v>792</v>
      </c>
      <c r="C225" s="262">
        <v>1</v>
      </c>
      <c r="D225" s="263">
        <v>4.75</v>
      </c>
      <c r="E225" s="262">
        <v>0.5</v>
      </c>
      <c r="F225" s="264"/>
      <c r="G225" s="264"/>
      <c r="H225" s="268">
        <v>2.375</v>
      </c>
      <c r="I225" s="266"/>
      <c r="J225" s="199"/>
      <c r="K225" s="199"/>
      <c r="L225" s="199"/>
    </row>
    <row r="226" spans="1:12" ht="21">
      <c r="A226" s="418"/>
      <c r="B226" s="267" t="s">
        <v>797</v>
      </c>
      <c r="C226" s="262"/>
      <c r="D226" s="263"/>
      <c r="E226" s="262"/>
      <c r="F226" s="264"/>
      <c r="G226" s="264"/>
      <c r="H226" s="268"/>
      <c r="I226" s="266"/>
      <c r="J226" s="199"/>
      <c r="K226" s="199"/>
      <c r="L226" s="199"/>
    </row>
    <row r="227" spans="1:12" ht="21">
      <c r="A227" s="418"/>
      <c r="B227" s="267" t="s">
        <v>796</v>
      </c>
      <c r="C227" s="262">
        <v>1</v>
      </c>
      <c r="D227" s="263">
        <v>3.5</v>
      </c>
      <c r="E227" s="262">
        <v>1.75</v>
      </c>
      <c r="F227" s="264"/>
      <c r="G227" s="264"/>
      <c r="H227" s="268">
        <v>6.125</v>
      </c>
      <c r="I227" s="266"/>
      <c r="J227" s="199"/>
      <c r="K227" s="199"/>
      <c r="L227" s="199"/>
    </row>
    <row r="228" spans="1:12" ht="21">
      <c r="A228" s="418"/>
      <c r="B228" s="267" t="s">
        <v>792</v>
      </c>
      <c r="C228" s="262">
        <v>1</v>
      </c>
      <c r="D228" s="263">
        <v>3.75</v>
      </c>
      <c r="E228" s="262">
        <v>0.5</v>
      </c>
      <c r="F228" s="264"/>
      <c r="G228" s="264"/>
      <c r="H228" s="268">
        <v>1.875</v>
      </c>
      <c r="I228" s="266"/>
      <c r="J228" s="199"/>
      <c r="K228" s="199"/>
      <c r="L228" s="199"/>
    </row>
    <row r="229" spans="1:12" ht="21">
      <c r="A229" s="418"/>
      <c r="B229" s="269" t="s">
        <v>798</v>
      </c>
      <c r="C229" s="270"/>
      <c r="D229" s="271"/>
      <c r="E229" s="270"/>
      <c r="F229" s="272"/>
      <c r="G229" s="272"/>
      <c r="H229" s="273"/>
      <c r="I229" s="266"/>
      <c r="J229" s="199"/>
      <c r="K229" s="199"/>
      <c r="L229" s="199"/>
    </row>
    <row r="230" spans="1:12" ht="21">
      <c r="A230" s="419"/>
      <c r="B230" s="267" t="s">
        <v>796</v>
      </c>
      <c r="C230" s="274">
        <v>1</v>
      </c>
      <c r="D230" s="275">
        <v>3</v>
      </c>
      <c r="E230" s="274">
        <v>1.75</v>
      </c>
      <c r="F230" s="276"/>
      <c r="G230" s="592"/>
      <c r="H230" s="273">
        <v>5.25</v>
      </c>
      <c r="I230" s="277"/>
      <c r="J230" s="199"/>
      <c r="K230" s="199"/>
      <c r="L230" s="199"/>
    </row>
    <row r="231" spans="1:12" ht="21">
      <c r="A231" s="419"/>
      <c r="B231" s="269" t="s">
        <v>792</v>
      </c>
      <c r="C231" s="278">
        <v>1</v>
      </c>
      <c r="D231" s="279">
        <v>3.5</v>
      </c>
      <c r="E231" s="278">
        <v>0.45</v>
      </c>
      <c r="F231" s="280"/>
      <c r="G231" s="592"/>
      <c r="H231" s="273">
        <v>1.575</v>
      </c>
      <c r="I231" s="281"/>
      <c r="J231" s="199"/>
      <c r="K231" s="199"/>
      <c r="L231" s="199"/>
    </row>
    <row r="232" spans="1:12" ht="21">
      <c r="A232" s="419"/>
      <c r="B232" s="282" t="s">
        <v>799</v>
      </c>
      <c r="C232" s="274"/>
      <c r="D232" s="275"/>
      <c r="E232" s="274"/>
      <c r="F232" s="276"/>
      <c r="G232" s="276"/>
      <c r="H232" s="283"/>
      <c r="I232" s="284"/>
      <c r="J232" s="199"/>
      <c r="K232" s="199"/>
      <c r="L232" s="199"/>
    </row>
    <row r="233" spans="1:12" ht="21">
      <c r="A233" s="419"/>
      <c r="B233" s="267" t="s">
        <v>796</v>
      </c>
      <c r="C233" s="274">
        <v>1</v>
      </c>
      <c r="D233" s="275">
        <v>1.5</v>
      </c>
      <c r="E233" s="274">
        <v>2.75</v>
      </c>
      <c r="F233" s="280"/>
      <c r="G233" s="592"/>
      <c r="H233" s="273">
        <v>4.125</v>
      </c>
      <c r="I233" s="285"/>
      <c r="J233" s="199"/>
      <c r="K233" s="199"/>
      <c r="L233" s="199"/>
    </row>
    <row r="234" spans="1:12" ht="21">
      <c r="A234" s="420"/>
      <c r="B234" s="269" t="s">
        <v>792</v>
      </c>
      <c r="C234" s="278">
        <v>1</v>
      </c>
      <c r="D234" s="279">
        <v>3.85</v>
      </c>
      <c r="E234" s="278">
        <v>0.5</v>
      </c>
      <c r="F234" s="280"/>
      <c r="G234" s="280"/>
      <c r="H234" s="286">
        <v>1.925</v>
      </c>
      <c r="I234" s="285"/>
      <c r="J234" s="199"/>
      <c r="K234" s="199"/>
      <c r="L234" s="199"/>
    </row>
    <row r="235" spans="1:12" ht="21">
      <c r="A235" s="421"/>
      <c r="B235" s="282"/>
      <c r="C235" s="274"/>
      <c r="D235" s="275"/>
      <c r="E235" s="274"/>
      <c r="F235" s="276"/>
      <c r="G235" s="276"/>
      <c r="H235" s="283"/>
      <c r="I235" s="284"/>
      <c r="J235" s="199"/>
      <c r="K235" s="199"/>
      <c r="L235" s="199"/>
    </row>
    <row r="236" spans="1:12" ht="21">
      <c r="A236" s="243"/>
      <c r="B236" s="245"/>
      <c r="C236" s="245"/>
      <c r="D236" s="245"/>
      <c r="E236" s="245"/>
      <c r="F236" s="245"/>
      <c r="G236" s="245"/>
      <c r="H236" s="245"/>
      <c r="I236" s="284"/>
      <c r="J236" s="199"/>
      <c r="K236" s="199"/>
      <c r="L236" s="199"/>
    </row>
    <row r="237" spans="1:12" ht="63">
      <c r="A237" s="374">
        <v>8.3000000000000007</v>
      </c>
      <c r="B237" s="375" t="s">
        <v>921</v>
      </c>
      <c r="C237" s="369"/>
      <c r="D237" s="370"/>
      <c r="E237" s="369"/>
      <c r="F237" s="348"/>
      <c r="G237" s="348"/>
      <c r="H237" s="349"/>
      <c r="I237" s="355"/>
      <c r="J237" s="222"/>
      <c r="K237" s="199"/>
      <c r="L237" s="199"/>
    </row>
    <row r="238" spans="1:12" ht="24" customHeight="1">
      <c r="A238" s="345" t="s">
        <v>69</v>
      </c>
      <c r="B238" s="356" t="s">
        <v>922</v>
      </c>
      <c r="C238" s="354"/>
      <c r="D238" s="354"/>
      <c r="E238" s="354"/>
      <c r="F238" s="348" t="s">
        <v>664</v>
      </c>
      <c r="G238" s="348"/>
      <c r="H238" s="349">
        <f>H239/3.283</f>
        <v>154.23393237892171</v>
      </c>
      <c r="I238" s="355" t="s">
        <v>659</v>
      </c>
      <c r="J238" s="222"/>
      <c r="K238" s="199"/>
      <c r="L238" s="199"/>
    </row>
    <row r="239" spans="1:12" ht="24" customHeight="1">
      <c r="A239" s="374"/>
      <c r="B239" s="375"/>
      <c r="C239" s="369"/>
      <c r="D239" s="370"/>
      <c r="E239" s="369"/>
      <c r="F239" s="348" t="s">
        <v>620</v>
      </c>
      <c r="G239" s="348"/>
      <c r="H239" s="349">
        <f>SUM(H241:H273)</f>
        <v>506.34999999999997</v>
      </c>
      <c r="I239" s="355" t="s">
        <v>673</v>
      </c>
      <c r="J239" s="222"/>
      <c r="K239" s="199"/>
      <c r="L239" s="199"/>
    </row>
    <row r="240" spans="1:12" ht="24" customHeight="1">
      <c r="A240" s="225"/>
      <c r="B240" s="245" t="s">
        <v>605</v>
      </c>
      <c r="C240" s="220"/>
      <c r="D240" s="221"/>
      <c r="E240" s="220"/>
      <c r="F240" s="217"/>
      <c r="G240" s="217"/>
      <c r="H240" s="218"/>
      <c r="I240" s="219"/>
      <c r="J240" s="222"/>
      <c r="K240" s="199"/>
      <c r="L240" s="199"/>
    </row>
    <row r="241" spans="1:12" ht="24" customHeight="1">
      <c r="A241" s="225"/>
      <c r="B241" s="193" t="s">
        <v>786</v>
      </c>
      <c r="C241" s="220">
        <v>1</v>
      </c>
      <c r="D241" s="221">
        <v>8.85</v>
      </c>
      <c r="E241" s="220"/>
      <c r="F241" s="217"/>
      <c r="G241" s="217"/>
      <c r="H241" s="228">
        <f>C241*D241</f>
        <v>8.85</v>
      </c>
      <c r="I241" s="219"/>
      <c r="J241" s="222"/>
      <c r="K241" s="199"/>
      <c r="L241" s="199"/>
    </row>
    <row r="242" spans="1:12" ht="24" customHeight="1">
      <c r="A242" s="225"/>
      <c r="B242" s="193" t="s">
        <v>787</v>
      </c>
      <c r="C242" s="220">
        <v>1</v>
      </c>
      <c r="D242" s="221">
        <v>5.5</v>
      </c>
      <c r="E242" s="220"/>
      <c r="F242" s="217"/>
      <c r="G242" s="217"/>
      <c r="H242" s="228">
        <f>C242*D242</f>
        <v>5.5</v>
      </c>
      <c r="I242" s="219"/>
      <c r="J242" s="222"/>
      <c r="K242" s="199"/>
      <c r="L242" s="199"/>
    </row>
    <row r="243" spans="1:12" ht="24" customHeight="1">
      <c r="A243" s="225"/>
      <c r="B243" s="193" t="s">
        <v>788</v>
      </c>
      <c r="C243" s="220">
        <v>1</v>
      </c>
      <c r="D243" s="221">
        <v>2.25</v>
      </c>
      <c r="E243" s="220">
        <v>2.75</v>
      </c>
      <c r="F243" s="217"/>
      <c r="G243" s="217"/>
      <c r="H243" s="228">
        <f>C243*(D243+E243)</f>
        <v>5</v>
      </c>
      <c r="I243" s="219"/>
      <c r="J243" s="222"/>
      <c r="K243" s="199"/>
      <c r="L243" s="199"/>
    </row>
    <row r="244" spans="1:12" ht="24" customHeight="1">
      <c r="A244" s="225"/>
      <c r="B244" s="193" t="s">
        <v>784</v>
      </c>
      <c r="C244" s="220">
        <v>1</v>
      </c>
      <c r="D244" s="221">
        <v>8.85</v>
      </c>
      <c r="E244" s="220"/>
      <c r="F244" s="217"/>
      <c r="G244" s="217"/>
      <c r="H244" s="228">
        <f>C244*D244</f>
        <v>8.85</v>
      </c>
      <c r="I244" s="219"/>
      <c r="J244" s="222"/>
      <c r="K244" s="199"/>
      <c r="L244" s="199"/>
    </row>
    <row r="245" spans="1:12" ht="24" customHeight="1">
      <c r="A245" s="225"/>
      <c r="B245" s="193" t="s">
        <v>903</v>
      </c>
      <c r="C245" s="220">
        <v>1</v>
      </c>
      <c r="D245" s="221">
        <v>7.5</v>
      </c>
      <c r="E245" s="220"/>
      <c r="F245" s="217"/>
      <c r="G245" s="217"/>
      <c r="H245" s="228">
        <f>C245*D245</f>
        <v>7.5</v>
      </c>
      <c r="I245" s="219"/>
      <c r="J245" s="222"/>
      <c r="K245" s="199"/>
      <c r="L245" s="199"/>
    </row>
    <row r="246" spans="1:12" ht="24" customHeight="1">
      <c r="A246" s="225"/>
      <c r="B246" s="193" t="s">
        <v>905</v>
      </c>
      <c r="C246" s="220">
        <v>1</v>
      </c>
      <c r="D246" s="221">
        <v>5.35</v>
      </c>
      <c r="E246" s="220"/>
      <c r="F246" s="217"/>
      <c r="G246" s="217"/>
      <c r="H246" s="228">
        <f>C246*D246</f>
        <v>5.35</v>
      </c>
      <c r="I246" s="219"/>
      <c r="J246" s="222"/>
      <c r="K246" s="199"/>
      <c r="L246" s="199"/>
    </row>
    <row r="247" spans="1:12" ht="24" customHeight="1">
      <c r="A247" s="225"/>
      <c r="B247" s="193" t="s">
        <v>904</v>
      </c>
      <c r="C247" s="220">
        <v>1</v>
      </c>
      <c r="D247" s="221">
        <v>2.25</v>
      </c>
      <c r="E247" s="220">
        <v>2.75</v>
      </c>
      <c r="F247" s="217"/>
      <c r="G247" s="217"/>
      <c r="H247" s="228">
        <f>C247*(D247+E247)</f>
        <v>5</v>
      </c>
      <c r="I247" s="219"/>
      <c r="J247" s="222"/>
      <c r="K247" s="199"/>
      <c r="L247" s="199"/>
    </row>
    <row r="248" spans="1:12" ht="24" customHeight="1">
      <c r="A248" s="225"/>
      <c r="B248" s="193" t="s">
        <v>785</v>
      </c>
      <c r="C248" s="220">
        <v>1</v>
      </c>
      <c r="D248" s="221">
        <v>2.25</v>
      </c>
      <c r="E248" s="220">
        <v>2.75</v>
      </c>
      <c r="F248" s="217"/>
      <c r="G248" s="217"/>
      <c r="H248" s="228">
        <f>C248*(D248+E248)</f>
        <v>5</v>
      </c>
      <c r="I248" s="219"/>
      <c r="J248" s="222"/>
      <c r="K248" s="199"/>
      <c r="L248" s="199"/>
    </row>
    <row r="249" spans="1:12" ht="21">
      <c r="A249" s="685"/>
      <c r="B249" s="193" t="s">
        <v>670</v>
      </c>
      <c r="C249" s="220">
        <v>22</v>
      </c>
      <c r="D249" s="221">
        <v>4.8499999999999996</v>
      </c>
      <c r="E249" s="220"/>
      <c r="F249" s="217"/>
      <c r="G249" s="217"/>
      <c r="H249" s="228">
        <f>C249*(D249)</f>
        <v>106.69999999999999</v>
      </c>
      <c r="I249" s="219"/>
      <c r="J249" s="222"/>
      <c r="K249" s="199"/>
      <c r="L249" s="199"/>
    </row>
    <row r="250" spans="1:12" ht="24" customHeight="1">
      <c r="A250" s="686"/>
      <c r="B250" s="193" t="s">
        <v>671</v>
      </c>
      <c r="C250" s="220">
        <v>1</v>
      </c>
      <c r="D250" s="221">
        <v>10.35</v>
      </c>
      <c r="E250" s="220"/>
      <c r="F250" s="217"/>
      <c r="G250" s="217"/>
      <c r="H250" s="228">
        <f>C250*(D250)</f>
        <v>10.35</v>
      </c>
      <c r="I250" s="219"/>
      <c r="J250" s="222"/>
      <c r="K250" s="199"/>
      <c r="L250" s="199"/>
    </row>
    <row r="251" spans="1:12" ht="24" customHeight="1">
      <c r="A251" s="687"/>
      <c r="B251" s="193" t="s">
        <v>845</v>
      </c>
      <c r="C251" s="220">
        <v>1</v>
      </c>
      <c r="D251" s="221">
        <f>0.75+0.75+13.5+13.5+4+4+10.5</f>
        <v>47</v>
      </c>
      <c r="E251" s="220"/>
      <c r="F251" s="217"/>
      <c r="G251" s="217"/>
      <c r="H251" s="228">
        <f>C251*(D251)</f>
        <v>47</v>
      </c>
      <c r="I251" s="219"/>
      <c r="J251" s="222"/>
      <c r="K251" s="199"/>
      <c r="L251" s="199"/>
    </row>
    <row r="252" spans="1:12" ht="24" customHeight="1">
      <c r="A252" s="685"/>
      <c r="B252" s="193" t="s">
        <v>672</v>
      </c>
      <c r="C252" s="220">
        <v>22</v>
      </c>
      <c r="D252" s="221">
        <v>4.8499999999999996</v>
      </c>
      <c r="E252" s="220"/>
      <c r="F252" s="217"/>
      <c r="G252" s="217"/>
      <c r="H252" s="228">
        <f>C252*(D252)</f>
        <v>106.69999999999999</v>
      </c>
      <c r="I252" s="219"/>
      <c r="J252" s="222"/>
      <c r="K252" s="199"/>
      <c r="L252" s="199"/>
    </row>
    <row r="253" spans="1:12" ht="24" customHeight="1">
      <c r="A253" s="686"/>
      <c r="B253" s="193" t="s">
        <v>671</v>
      </c>
      <c r="C253" s="220">
        <v>1</v>
      </c>
      <c r="D253" s="221">
        <v>10.35</v>
      </c>
      <c r="E253" s="220"/>
      <c r="F253" s="217"/>
      <c r="G253" s="217"/>
      <c r="H253" s="228">
        <f t="shared" ref="H253:H261" si="13">C253*(D253)</f>
        <v>10.35</v>
      </c>
      <c r="I253" s="219"/>
      <c r="J253" s="222"/>
      <c r="K253" s="199"/>
      <c r="L253" s="199"/>
    </row>
    <row r="254" spans="1:12" ht="24" customHeight="1">
      <c r="A254" s="687"/>
      <c r="B254" s="193" t="s">
        <v>845</v>
      </c>
      <c r="C254" s="220">
        <v>1</v>
      </c>
      <c r="D254" s="221">
        <f>0.75+0.75+13.5+13.5+4+4+10.5</f>
        <v>47</v>
      </c>
      <c r="E254" s="220"/>
      <c r="F254" s="217"/>
      <c r="G254" s="217"/>
      <c r="H254" s="228">
        <f t="shared" si="13"/>
        <v>47</v>
      </c>
      <c r="I254" s="219"/>
      <c r="J254" s="222"/>
      <c r="K254" s="199"/>
      <c r="L254" s="199"/>
    </row>
    <row r="255" spans="1:12" ht="24" customHeight="1">
      <c r="A255" s="225"/>
      <c r="B255" s="193" t="s">
        <v>789</v>
      </c>
      <c r="C255" s="220">
        <v>2</v>
      </c>
      <c r="D255" s="221">
        <v>1.25</v>
      </c>
      <c r="E255" s="220">
        <v>3</v>
      </c>
      <c r="F255" s="217"/>
      <c r="G255" s="217"/>
      <c r="H255" s="228">
        <f>C255*(2*(D255)+E255)</f>
        <v>11</v>
      </c>
      <c r="I255" s="219"/>
      <c r="J255" s="222"/>
      <c r="K255" s="199"/>
      <c r="L255" s="199"/>
    </row>
    <row r="256" spans="1:12" ht="24" customHeight="1">
      <c r="A256" s="225"/>
      <c r="B256" s="193" t="s">
        <v>791</v>
      </c>
      <c r="C256" s="220">
        <v>2</v>
      </c>
      <c r="D256" s="221">
        <v>1</v>
      </c>
      <c r="E256" s="220">
        <v>4.8499999999999996</v>
      </c>
      <c r="F256" s="217"/>
      <c r="G256" s="217"/>
      <c r="H256" s="228">
        <f>C256*(2*(D256)+E256)</f>
        <v>13.7</v>
      </c>
      <c r="I256" s="219"/>
      <c r="J256" s="222"/>
      <c r="K256" s="199"/>
      <c r="L256" s="199"/>
    </row>
    <row r="257" spans="1:12" ht="24" customHeight="1">
      <c r="A257" s="225"/>
      <c r="B257" s="193" t="s">
        <v>793</v>
      </c>
      <c r="C257" s="220">
        <v>2</v>
      </c>
      <c r="D257" s="221">
        <v>2.85</v>
      </c>
      <c r="E257" s="220"/>
      <c r="F257" s="217"/>
      <c r="G257" s="217"/>
      <c r="H257" s="228">
        <f t="shared" si="13"/>
        <v>5.7</v>
      </c>
      <c r="I257" s="219"/>
      <c r="J257" s="222"/>
      <c r="K257" s="199"/>
      <c r="L257" s="199"/>
    </row>
    <row r="258" spans="1:12" ht="24" customHeight="1">
      <c r="A258" s="225"/>
      <c r="B258" s="193" t="s">
        <v>790</v>
      </c>
      <c r="C258" s="220">
        <v>2</v>
      </c>
      <c r="D258" s="221">
        <v>1.25</v>
      </c>
      <c r="E258" s="220">
        <v>3.5</v>
      </c>
      <c r="F258" s="217"/>
      <c r="G258" s="217"/>
      <c r="H258" s="228">
        <f>C258*(2*(D258)+E258)</f>
        <v>12</v>
      </c>
      <c r="I258" s="219"/>
      <c r="J258" s="222"/>
      <c r="K258" s="199"/>
      <c r="L258" s="199"/>
    </row>
    <row r="259" spans="1:12" ht="24" customHeight="1">
      <c r="A259" s="225"/>
      <c r="B259" s="193" t="s">
        <v>794</v>
      </c>
      <c r="C259" s="220">
        <v>2</v>
      </c>
      <c r="D259" s="221">
        <v>3.85</v>
      </c>
      <c r="E259" s="220"/>
      <c r="F259" s="217"/>
      <c r="G259" s="217"/>
      <c r="H259" s="228">
        <f t="shared" si="13"/>
        <v>7.7</v>
      </c>
      <c r="I259" s="219"/>
      <c r="J259" s="222"/>
      <c r="K259" s="199"/>
      <c r="L259" s="199"/>
    </row>
    <row r="260" spans="1:12" ht="24" customHeight="1">
      <c r="A260" s="225"/>
      <c r="B260" s="193" t="s">
        <v>800</v>
      </c>
      <c r="C260" s="220">
        <v>3</v>
      </c>
      <c r="D260" s="221">
        <v>3</v>
      </c>
      <c r="E260" s="220">
        <v>1.5</v>
      </c>
      <c r="F260" s="217"/>
      <c r="G260" s="217"/>
      <c r="H260" s="228">
        <f>C260*(2*(D260)+E260)</f>
        <v>22.5</v>
      </c>
      <c r="I260" s="219"/>
      <c r="J260" s="222"/>
      <c r="K260" s="199"/>
      <c r="L260" s="199"/>
    </row>
    <row r="261" spans="1:12" ht="24" customHeight="1">
      <c r="A261" s="225"/>
      <c r="B261" s="193" t="s">
        <v>801</v>
      </c>
      <c r="C261" s="220">
        <v>3</v>
      </c>
      <c r="D261" s="221">
        <v>3.5</v>
      </c>
      <c r="E261" s="220"/>
      <c r="F261" s="217"/>
      <c r="G261" s="217"/>
      <c r="H261" s="228">
        <f t="shared" si="13"/>
        <v>10.5</v>
      </c>
      <c r="I261" s="219"/>
      <c r="J261" s="222"/>
      <c r="K261" s="199"/>
      <c r="L261" s="199"/>
    </row>
    <row r="262" spans="1:12" ht="24" customHeight="1">
      <c r="A262" s="225"/>
      <c r="B262" s="193" t="s">
        <v>795</v>
      </c>
      <c r="C262" s="220"/>
      <c r="D262" s="221"/>
      <c r="E262" s="220"/>
      <c r="F262" s="217"/>
      <c r="G262" s="217"/>
      <c r="H262" s="228"/>
      <c r="I262" s="219"/>
      <c r="J262" s="222"/>
      <c r="K262" s="199"/>
      <c r="L262" s="199"/>
    </row>
    <row r="263" spans="1:12" ht="24" customHeight="1">
      <c r="A263" s="225"/>
      <c r="B263" s="193" t="s">
        <v>796</v>
      </c>
      <c r="C263" s="220">
        <v>1</v>
      </c>
      <c r="D263" s="221">
        <v>2.25</v>
      </c>
      <c r="E263" s="220">
        <v>1.5</v>
      </c>
      <c r="F263" s="217"/>
      <c r="G263" s="217"/>
      <c r="H263" s="228">
        <f>C263*(2*(D263)+E263)</f>
        <v>6</v>
      </c>
      <c r="I263" s="219"/>
      <c r="J263" s="222"/>
      <c r="K263" s="199"/>
      <c r="L263" s="199"/>
    </row>
    <row r="264" spans="1:12" ht="24" customHeight="1">
      <c r="A264" s="225"/>
      <c r="B264" s="193" t="s">
        <v>792</v>
      </c>
      <c r="C264" s="220">
        <v>1</v>
      </c>
      <c r="D264" s="221">
        <v>4.75</v>
      </c>
      <c r="E264" s="220"/>
      <c r="F264" s="217"/>
      <c r="G264" s="234"/>
      <c r="H264" s="287">
        <f>C264*D264</f>
        <v>4.75</v>
      </c>
      <c r="I264" s="219"/>
      <c r="J264" s="222"/>
      <c r="K264" s="199"/>
      <c r="L264" s="199"/>
    </row>
    <row r="265" spans="1:12" ht="24" customHeight="1">
      <c r="A265" s="225"/>
      <c r="B265" s="193" t="s">
        <v>797</v>
      </c>
      <c r="C265" s="220"/>
      <c r="D265" s="221"/>
      <c r="E265" s="220"/>
      <c r="F265" s="217"/>
      <c r="G265" s="217"/>
      <c r="H265" s="228"/>
      <c r="I265" s="219"/>
      <c r="J265" s="222"/>
      <c r="K265" s="199"/>
      <c r="L265" s="199"/>
    </row>
    <row r="266" spans="1:12" ht="24" customHeight="1">
      <c r="A266" s="225"/>
      <c r="B266" s="193" t="s">
        <v>796</v>
      </c>
      <c r="C266" s="220">
        <v>1</v>
      </c>
      <c r="D266" s="221">
        <v>3.5</v>
      </c>
      <c r="E266" s="220">
        <v>1.75</v>
      </c>
      <c r="F266" s="217"/>
      <c r="G266" s="217"/>
      <c r="H266" s="228">
        <f>C266*(2*(D266)+E266)</f>
        <v>8.75</v>
      </c>
      <c r="I266" s="219"/>
      <c r="J266" s="222"/>
      <c r="K266" s="199"/>
      <c r="L266" s="199"/>
    </row>
    <row r="267" spans="1:12" ht="24" customHeight="1">
      <c r="A267" s="225"/>
      <c r="B267" s="193" t="s">
        <v>792</v>
      </c>
      <c r="C267" s="220">
        <v>1</v>
      </c>
      <c r="D267" s="221">
        <v>3.75</v>
      </c>
      <c r="E267" s="220"/>
      <c r="F267" s="217"/>
      <c r="G267" s="234"/>
      <c r="H267" s="287">
        <f>C267*D267</f>
        <v>3.75</v>
      </c>
      <c r="I267" s="219"/>
      <c r="J267" s="222"/>
      <c r="K267" s="199"/>
      <c r="L267" s="199"/>
    </row>
    <row r="268" spans="1:12" ht="24" customHeight="1">
      <c r="A268" s="225"/>
      <c r="B268" s="288" t="s">
        <v>798</v>
      </c>
      <c r="C268" s="232"/>
      <c r="D268" s="233"/>
      <c r="E268" s="232"/>
      <c r="F268" s="234"/>
      <c r="G268" s="234"/>
      <c r="H268" s="287"/>
      <c r="I268" s="219"/>
      <c r="J268" s="222"/>
      <c r="K268" s="199"/>
      <c r="L268" s="199"/>
    </row>
    <row r="269" spans="1:12" ht="24" customHeight="1">
      <c r="A269" s="417"/>
      <c r="B269" s="193" t="s">
        <v>796</v>
      </c>
      <c r="C269" s="238">
        <v>1</v>
      </c>
      <c r="D269" s="239">
        <v>3</v>
      </c>
      <c r="E269" s="238">
        <v>1.75</v>
      </c>
      <c r="F269" s="240"/>
      <c r="G269" s="334"/>
      <c r="H269" s="228">
        <f>C269*(2*(D269)+E269)</f>
        <v>7.75</v>
      </c>
      <c r="I269" s="289"/>
      <c r="J269" s="222"/>
      <c r="K269" s="199"/>
      <c r="L269" s="199"/>
    </row>
    <row r="270" spans="1:12" ht="24" customHeight="1">
      <c r="A270" s="417"/>
      <c r="B270" s="288" t="s">
        <v>792</v>
      </c>
      <c r="C270" s="290">
        <v>1</v>
      </c>
      <c r="D270" s="291">
        <v>3.5</v>
      </c>
      <c r="E270" s="290"/>
      <c r="F270" s="292"/>
      <c r="G270" s="334"/>
      <c r="H270" s="287">
        <f>C270*D270</f>
        <v>3.5</v>
      </c>
      <c r="I270" s="293"/>
      <c r="J270" s="222"/>
      <c r="K270" s="199"/>
      <c r="L270" s="199"/>
    </row>
    <row r="271" spans="1:12" ht="24" customHeight="1">
      <c r="A271" s="417"/>
      <c r="B271" s="294" t="s">
        <v>799</v>
      </c>
      <c r="C271" s="238"/>
      <c r="D271" s="239"/>
      <c r="E271" s="238"/>
      <c r="F271" s="240"/>
      <c r="G271" s="240"/>
      <c r="H271" s="248"/>
      <c r="I271" s="242"/>
      <c r="J271" s="222"/>
      <c r="K271" s="199"/>
      <c r="L271" s="199"/>
    </row>
    <row r="272" spans="1:12" ht="24" customHeight="1">
      <c r="A272" s="417"/>
      <c r="B272" s="193" t="s">
        <v>796</v>
      </c>
      <c r="C272" s="238">
        <v>1</v>
      </c>
      <c r="D272" s="239">
        <v>1.5</v>
      </c>
      <c r="E272" s="238">
        <v>2.75</v>
      </c>
      <c r="F272" s="292"/>
      <c r="G272" s="334"/>
      <c r="H272" s="228">
        <f>C272*(2*(D272)+E272)</f>
        <v>5.75</v>
      </c>
      <c r="I272" s="295"/>
      <c r="J272" s="222"/>
      <c r="K272" s="199"/>
      <c r="L272" s="199"/>
    </row>
    <row r="273" spans="1:12" ht="24" customHeight="1">
      <c r="A273" s="422"/>
      <c r="B273" s="288" t="s">
        <v>792</v>
      </c>
      <c r="C273" s="290">
        <v>1</v>
      </c>
      <c r="D273" s="291">
        <v>3.85</v>
      </c>
      <c r="E273" s="290"/>
      <c r="F273" s="292"/>
      <c r="G273" s="292"/>
      <c r="H273" s="296">
        <f>C273*D273</f>
        <v>3.85</v>
      </c>
      <c r="I273" s="295"/>
      <c r="J273" s="222"/>
      <c r="K273" s="199"/>
      <c r="L273" s="199"/>
    </row>
    <row r="274" spans="1:12" ht="24" customHeight="1">
      <c r="A274" s="243"/>
      <c r="B274" s="294"/>
      <c r="C274" s="238"/>
      <c r="D274" s="239"/>
      <c r="E274" s="238"/>
      <c r="F274" s="240"/>
      <c r="G274" s="240"/>
      <c r="H274" s="248"/>
      <c r="I274" s="242"/>
      <c r="J274" s="222"/>
      <c r="K274" s="199"/>
      <c r="L274" s="199"/>
    </row>
    <row r="275" spans="1:12" ht="24" customHeight="1">
      <c r="A275" s="423"/>
      <c r="B275" s="195"/>
      <c r="C275" s="260"/>
      <c r="D275" s="297"/>
      <c r="E275" s="260"/>
      <c r="F275" s="298"/>
      <c r="G275" s="298"/>
      <c r="H275" s="299"/>
      <c r="I275" s="300"/>
      <c r="J275" s="222"/>
      <c r="K275" s="199"/>
      <c r="L275" s="199"/>
    </row>
    <row r="276" spans="1:12" ht="105">
      <c r="A276" s="345" t="s">
        <v>674</v>
      </c>
      <c r="B276" s="356" t="s">
        <v>75</v>
      </c>
      <c r="C276" s="354"/>
      <c r="D276" s="354"/>
      <c r="E276" s="354"/>
      <c r="F276" s="348" t="s">
        <v>620</v>
      </c>
      <c r="G276" s="348"/>
      <c r="H276" s="349">
        <f>SUM(C279:C295)</f>
        <v>13</v>
      </c>
      <c r="I276" s="355" t="s">
        <v>105</v>
      </c>
      <c r="J276" s="222"/>
      <c r="K276" s="199"/>
      <c r="L276" s="199"/>
    </row>
    <row r="277" spans="1:12" ht="24" customHeight="1">
      <c r="A277" s="225"/>
      <c r="B277" s="194"/>
      <c r="C277" s="220"/>
      <c r="D277" s="221"/>
      <c r="E277" s="220"/>
      <c r="F277" s="217"/>
      <c r="G277" s="217"/>
      <c r="H277" s="218"/>
      <c r="I277" s="219"/>
      <c r="J277" s="222"/>
      <c r="K277" s="199"/>
      <c r="L277" s="199"/>
    </row>
    <row r="278" spans="1:12" ht="24" customHeight="1">
      <c r="A278" s="225"/>
      <c r="B278" s="245" t="s">
        <v>605</v>
      </c>
      <c r="C278" s="220"/>
      <c r="D278" s="221"/>
      <c r="E278" s="220"/>
      <c r="F278" s="217"/>
      <c r="G278" s="217"/>
      <c r="H278" s="218"/>
      <c r="I278" s="219"/>
      <c r="J278" s="222"/>
      <c r="K278" s="199"/>
      <c r="L278" s="199"/>
    </row>
    <row r="279" spans="1:12" ht="24" customHeight="1">
      <c r="A279" s="225"/>
      <c r="B279" s="193" t="s">
        <v>907</v>
      </c>
      <c r="C279" s="220">
        <v>1</v>
      </c>
      <c r="D279" s="221"/>
      <c r="E279" s="220"/>
      <c r="F279" s="217"/>
      <c r="G279" s="217"/>
      <c r="H279" s="218"/>
      <c r="I279" s="219"/>
      <c r="J279" s="222"/>
      <c r="K279" s="199"/>
      <c r="L279" s="199"/>
    </row>
    <row r="280" spans="1:12" ht="24" customHeight="1">
      <c r="A280" s="225"/>
      <c r="B280" s="193" t="s">
        <v>906</v>
      </c>
      <c r="C280" s="220">
        <v>1</v>
      </c>
      <c r="D280" s="221"/>
      <c r="E280" s="220"/>
      <c r="F280" s="217"/>
      <c r="G280" s="217"/>
      <c r="H280" s="218"/>
      <c r="I280" s="219"/>
      <c r="J280" s="222"/>
      <c r="K280" s="199"/>
      <c r="L280" s="199"/>
    </row>
    <row r="281" spans="1:12" ht="24" customHeight="1">
      <c r="A281" s="225"/>
      <c r="B281" s="193" t="s">
        <v>632</v>
      </c>
      <c r="C281" s="220">
        <v>1</v>
      </c>
      <c r="D281" s="221"/>
      <c r="E281" s="220"/>
      <c r="F281" s="217"/>
      <c r="G281" s="217"/>
      <c r="H281" s="228"/>
      <c r="I281" s="219"/>
      <c r="J281" s="222"/>
      <c r="K281" s="199"/>
      <c r="L281" s="199"/>
    </row>
    <row r="282" spans="1:12" ht="24" customHeight="1">
      <c r="A282" s="225"/>
      <c r="B282" s="193" t="s">
        <v>634</v>
      </c>
      <c r="C282" s="220">
        <v>1</v>
      </c>
      <c r="D282" s="221"/>
      <c r="E282" s="220"/>
      <c r="F282" s="217"/>
      <c r="G282" s="217"/>
      <c r="H282" s="228"/>
      <c r="I282" s="219"/>
      <c r="J282" s="222"/>
      <c r="K282" s="199"/>
      <c r="L282" s="199"/>
    </row>
    <row r="283" spans="1:12" ht="24" customHeight="1">
      <c r="A283" s="225"/>
      <c r="B283" s="193" t="s">
        <v>629</v>
      </c>
      <c r="C283" s="220">
        <v>1</v>
      </c>
      <c r="D283" s="221"/>
      <c r="E283" s="220"/>
      <c r="F283" s="217"/>
      <c r="G283" s="217"/>
      <c r="H283" s="228"/>
      <c r="I283" s="219"/>
      <c r="J283" s="222"/>
      <c r="K283" s="199"/>
      <c r="L283" s="199"/>
    </row>
    <row r="284" spans="1:12" ht="24" customHeight="1">
      <c r="A284" s="225"/>
      <c r="B284" s="193"/>
      <c r="C284" s="220"/>
      <c r="D284" s="221"/>
      <c r="E284" s="220"/>
      <c r="F284" s="217"/>
      <c r="G284" s="217"/>
      <c r="H284" s="218"/>
      <c r="I284" s="219"/>
      <c r="J284" s="222"/>
      <c r="K284" s="199"/>
      <c r="L284" s="199"/>
    </row>
    <row r="285" spans="1:12" ht="24" customHeight="1">
      <c r="A285" s="225"/>
      <c r="B285" s="245" t="s">
        <v>753</v>
      </c>
      <c r="C285" s="220"/>
      <c r="D285" s="221"/>
      <c r="E285" s="220"/>
      <c r="F285" s="217"/>
      <c r="G285" s="217"/>
      <c r="H285" s="218"/>
      <c r="I285" s="219"/>
      <c r="J285" s="222"/>
      <c r="K285" s="199"/>
      <c r="L285" s="199"/>
    </row>
    <row r="286" spans="1:12" ht="24" customHeight="1">
      <c r="A286" s="225"/>
      <c r="B286" s="193" t="s">
        <v>908</v>
      </c>
      <c r="C286" s="220">
        <v>1</v>
      </c>
      <c r="D286" s="221"/>
      <c r="E286" s="220"/>
      <c r="F286" s="217"/>
      <c r="G286" s="217"/>
      <c r="H286" s="218"/>
      <c r="I286" s="219"/>
      <c r="J286" s="222"/>
      <c r="K286" s="199"/>
      <c r="L286" s="199"/>
    </row>
    <row r="287" spans="1:12" ht="24" customHeight="1">
      <c r="A287" s="225"/>
      <c r="B287" s="193" t="s">
        <v>632</v>
      </c>
      <c r="C287" s="220">
        <v>1</v>
      </c>
      <c r="D287" s="221"/>
      <c r="E287" s="220"/>
      <c r="F287" s="217"/>
      <c r="G287" s="217"/>
      <c r="H287" s="218"/>
      <c r="I287" s="219"/>
      <c r="J287" s="222"/>
      <c r="K287" s="199"/>
      <c r="L287" s="199"/>
    </row>
    <row r="288" spans="1:12" ht="24" customHeight="1">
      <c r="A288" s="225"/>
      <c r="B288" s="193" t="s">
        <v>634</v>
      </c>
      <c r="C288" s="220">
        <v>1</v>
      </c>
      <c r="D288" s="221"/>
      <c r="E288" s="220"/>
      <c r="F288" s="217"/>
      <c r="G288" s="217"/>
      <c r="H288" s="228"/>
      <c r="I288" s="219"/>
      <c r="J288" s="222"/>
      <c r="K288" s="199"/>
      <c r="L288" s="199"/>
    </row>
    <row r="289" spans="1:12" ht="24" customHeight="1">
      <c r="A289" s="225"/>
      <c r="B289" s="193"/>
      <c r="C289" s="220"/>
      <c r="D289" s="221"/>
      <c r="E289" s="220"/>
      <c r="F289" s="217"/>
      <c r="G289" s="217"/>
      <c r="H289" s="228"/>
      <c r="I289" s="219"/>
      <c r="J289" s="222"/>
      <c r="K289" s="199"/>
      <c r="L289" s="199"/>
    </row>
    <row r="290" spans="1:12" ht="24" customHeight="1">
      <c r="A290" s="225"/>
      <c r="B290" s="245" t="s">
        <v>606</v>
      </c>
      <c r="C290" s="220"/>
      <c r="D290" s="221"/>
      <c r="E290" s="220"/>
      <c r="F290" s="217"/>
      <c r="G290" s="217"/>
      <c r="H290" s="228"/>
      <c r="I290" s="219"/>
      <c r="J290" s="222"/>
      <c r="K290" s="199"/>
      <c r="L290" s="199"/>
    </row>
    <row r="291" spans="1:12" ht="24" customHeight="1">
      <c r="A291" s="225"/>
      <c r="B291" s="193" t="s">
        <v>648</v>
      </c>
      <c r="C291" s="220">
        <v>1</v>
      </c>
      <c r="D291" s="221"/>
      <c r="E291" s="220"/>
      <c r="F291" s="217"/>
      <c r="G291" s="217"/>
      <c r="H291" s="218"/>
      <c r="I291" s="219"/>
      <c r="J291" s="222"/>
      <c r="K291" s="199"/>
      <c r="L291" s="199"/>
    </row>
    <row r="292" spans="1:12" ht="24" customHeight="1">
      <c r="A292" s="225"/>
      <c r="B292" s="193" t="s">
        <v>909</v>
      </c>
      <c r="C292" s="220">
        <v>1</v>
      </c>
      <c r="D292" s="221"/>
      <c r="E292" s="220"/>
      <c r="F292" s="217"/>
      <c r="G292" s="217"/>
      <c r="H292" s="218"/>
      <c r="I292" s="219"/>
      <c r="J292" s="222"/>
      <c r="K292" s="199"/>
      <c r="L292" s="199"/>
    </row>
    <row r="293" spans="1:12" ht="24" customHeight="1">
      <c r="A293" s="225"/>
      <c r="B293" s="193" t="s">
        <v>910</v>
      </c>
      <c r="C293" s="220">
        <v>1</v>
      </c>
      <c r="D293" s="221"/>
      <c r="E293" s="220"/>
      <c r="F293" s="217"/>
      <c r="G293" s="217"/>
      <c r="H293" s="218"/>
      <c r="I293" s="219"/>
      <c r="J293" s="222"/>
      <c r="K293" s="199"/>
      <c r="L293" s="199"/>
    </row>
    <row r="294" spans="1:12" ht="24" customHeight="1">
      <c r="A294" s="225"/>
      <c r="B294" s="193" t="s">
        <v>652</v>
      </c>
      <c r="C294" s="220">
        <v>1</v>
      </c>
      <c r="D294" s="221"/>
      <c r="E294" s="220"/>
      <c r="F294" s="217"/>
      <c r="G294" s="217"/>
      <c r="H294" s="218"/>
      <c r="I294" s="219"/>
      <c r="J294" s="222"/>
      <c r="K294" s="199"/>
      <c r="L294" s="199"/>
    </row>
    <row r="295" spans="1:12" ht="24" customHeight="1">
      <c r="A295" s="225"/>
      <c r="B295" s="193" t="s">
        <v>653</v>
      </c>
      <c r="C295" s="220">
        <v>1</v>
      </c>
      <c r="D295" s="221"/>
      <c r="E295" s="220"/>
      <c r="F295" s="217"/>
      <c r="G295" s="217"/>
      <c r="H295" s="228"/>
      <c r="I295" s="219"/>
      <c r="J295" s="222"/>
      <c r="K295" s="199"/>
      <c r="L295" s="199"/>
    </row>
    <row r="296" spans="1:12" ht="24" customHeight="1">
      <c r="A296" s="225"/>
      <c r="B296" s="193"/>
      <c r="C296" s="220"/>
      <c r="D296" s="221"/>
      <c r="E296" s="220"/>
      <c r="F296" s="217"/>
      <c r="G296" s="217"/>
      <c r="H296" s="228"/>
      <c r="I296" s="219"/>
      <c r="J296" s="222"/>
      <c r="K296" s="199"/>
      <c r="L296" s="199"/>
    </row>
    <row r="297" spans="1:12">
      <c r="A297" s="679" t="s">
        <v>802</v>
      </c>
      <c r="B297" s="680"/>
      <c r="C297" s="680"/>
      <c r="D297" s="680"/>
      <c r="E297" s="680"/>
      <c r="F297" s="680"/>
      <c r="G297" s="680"/>
      <c r="H297" s="680"/>
      <c r="I297" s="681"/>
      <c r="J297" s="222"/>
      <c r="K297" s="199"/>
      <c r="L297" s="199"/>
    </row>
    <row r="298" spans="1:12">
      <c r="A298" s="682"/>
      <c r="B298" s="683"/>
      <c r="C298" s="683"/>
      <c r="D298" s="683"/>
      <c r="E298" s="683"/>
      <c r="F298" s="683"/>
      <c r="G298" s="683"/>
      <c r="H298" s="683"/>
      <c r="I298" s="684"/>
      <c r="J298" s="222"/>
      <c r="K298" s="199"/>
      <c r="L298" s="199"/>
    </row>
    <row r="299" spans="1:12" ht="168">
      <c r="A299" s="500">
        <v>11.51</v>
      </c>
      <c r="B299" s="501" t="s">
        <v>925</v>
      </c>
      <c r="C299" s="502"/>
      <c r="D299" s="503"/>
      <c r="E299" s="502"/>
      <c r="F299" s="504" t="s">
        <v>620</v>
      </c>
      <c r="G299" s="504"/>
      <c r="H299" s="505">
        <f>H300/10.764</f>
        <v>42.084726867335569</v>
      </c>
      <c r="I299" s="506" t="s">
        <v>328</v>
      </c>
      <c r="J299" s="222"/>
      <c r="K299" s="199"/>
      <c r="L299" s="199"/>
    </row>
    <row r="300" spans="1:12" ht="24" customHeight="1">
      <c r="A300" s="500"/>
      <c r="B300" s="507" t="s">
        <v>835</v>
      </c>
      <c r="C300" s="502" t="s">
        <v>610</v>
      </c>
      <c r="D300" s="503"/>
      <c r="E300" s="502"/>
      <c r="F300" s="504" t="s">
        <v>620</v>
      </c>
      <c r="G300" s="504"/>
      <c r="H300" s="505">
        <f>SUM(H303:H310)</f>
        <v>453</v>
      </c>
      <c r="I300" s="506" t="s">
        <v>621</v>
      </c>
      <c r="J300" s="222"/>
      <c r="K300" s="199"/>
      <c r="L300" s="199"/>
    </row>
    <row r="301" spans="1:12" ht="24" customHeight="1">
      <c r="A301" s="225"/>
      <c r="B301" s="194"/>
      <c r="C301" s="220"/>
      <c r="D301" s="221"/>
      <c r="E301" s="220"/>
      <c r="F301" s="217"/>
      <c r="G301" s="217"/>
      <c r="H301" s="218"/>
      <c r="I301" s="219"/>
      <c r="J301" s="222"/>
      <c r="K301" s="199"/>
      <c r="L301" s="199"/>
    </row>
    <row r="302" spans="1:12" ht="24" customHeight="1">
      <c r="A302" s="225"/>
      <c r="B302" s="194" t="s">
        <v>605</v>
      </c>
      <c r="C302" s="220"/>
      <c r="D302" s="221"/>
      <c r="E302" s="220"/>
      <c r="F302" s="217"/>
      <c r="G302" s="217"/>
      <c r="H302" s="218"/>
      <c r="I302" s="219"/>
      <c r="J302" s="222"/>
      <c r="K302" s="199"/>
      <c r="L302" s="199"/>
    </row>
    <row r="303" spans="1:12" ht="24" customHeight="1">
      <c r="A303" s="225"/>
      <c r="B303" s="224" t="s">
        <v>804</v>
      </c>
      <c r="C303" s="220">
        <v>1</v>
      </c>
      <c r="D303" s="221">
        <v>10.5</v>
      </c>
      <c r="E303" s="220">
        <v>3</v>
      </c>
      <c r="F303" s="217"/>
      <c r="G303" s="217"/>
      <c r="H303" s="212">
        <f>C303*D303*E303</f>
        <v>31.5</v>
      </c>
      <c r="I303" s="219"/>
      <c r="J303" s="222"/>
      <c r="K303" s="199"/>
      <c r="L303" s="199"/>
    </row>
    <row r="304" spans="1:12" ht="24" customHeight="1">
      <c r="A304" s="225"/>
      <c r="B304" s="224" t="s">
        <v>805</v>
      </c>
      <c r="C304" s="220">
        <v>4</v>
      </c>
      <c r="D304" s="221">
        <v>10.5</v>
      </c>
      <c r="E304" s="220">
        <v>0.5</v>
      </c>
      <c r="F304" s="217"/>
      <c r="G304" s="217"/>
      <c r="H304" s="212">
        <f>C304*D304*E304</f>
        <v>21</v>
      </c>
      <c r="I304" s="219"/>
      <c r="J304" s="222"/>
      <c r="K304" s="199"/>
      <c r="L304" s="199"/>
    </row>
    <row r="305" spans="1:12" ht="24" customHeight="1">
      <c r="A305" s="225"/>
      <c r="B305" s="224" t="s">
        <v>803</v>
      </c>
      <c r="C305" s="220">
        <v>1</v>
      </c>
      <c r="D305" s="221">
        <v>10.5</v>
      </c>
      <c r="E305" s="220">
        <v>11.75</v>
      </c>
      <c r="F305" s="217"/>
      <c r="G305" s="217"/>
      <c r="H305" s="212">
        <f>C305*D305*E305</f>
        <v>123.375</v>
      </c>
      <c r="I305" s="219"/>
      <c r="J305" s="222"/>
      <c r="K305" s="199"/>
      <c r="L305" s="199"/>
    </row>
    <row r="306" spans="1:12" ht="24" customHeight="1">
      <c r="A306" s="225"/>
      <c r="B306" s="224" t="s">
        <v>806</v>
      </c>
      <c r="C306" s="220">
        <v>1</v>
      </c>
      <c r="D306" s="221">
        <v>19.5</v>
      </c>
      <c r="E306" s="220">
        <v>13.25</v>
      </c>
      <c r="F306" s="217"/>
      <c r="G306" s="217"/>
      <c r="H306" s="212">
        <f>C306*D306*E306</f>
        <v>258.375</v>
      </c>
      <c r="I306" s="219"/>
      <c r="J306" s="222"/>
      <c r="K306" s="199"/>
      <c r="L306" s="199"/>
    </row>
    <row r="307" spans="1:12" ht="24" customHeight="1">
      <c r="A307" s="225"/>
      <c r="B307" s="231"/>
      <c r="C307" s="232"/>
      <c r="D307" s="233"/>
      <c r="E307" s="232"/>
      <c r="F307" s="217"/>
      <c r="G307" s="217"/>
      <c r="H307" s="212"/>
      <c r="I307" s="219"/>
      <c r="J307" s="222"/>
      <c r="K307" s="199"/>
      <c r="L307" s="199"/>
    </row>
    <row r="308" spans="1:12" ht="24" customHeight="1">
      <c r="A308" s="225"/>
      <c r="B308" s="231" t="s">
        <v>845</v>
      </c>
      <c r="C308" s="232"/>
      <c r="D308" s="233"/>
      <c r="E308" s="232"/>
      <c r="F308" s="217"/>
      <c r="G308" s="217"/>
      <c r="H308" s="212"/>
      <c r="I308" s="219"/>
      <c r="J308" s="222"/>
      <c r="K308" s="199"/>
      <c r="L308" s="199"/>
    </row>
    <row r="309" spans="1:12" ht="24" customHeight="1">
      <c r="A309" s="225"/>
      <c r="B309" s="224" t="s">
        <v>803</v>
      </c>
      <c r="C309" s="232">
        <v>1</v>
      </c>
      <c r="D309" s="233">
        <f>15.5+10.5+3.75+6.75</f>
        <v>36.5</v>
      </c>
      <c r="E309" s="232">
        <v>0.25</v>
      </c>
      <c r="F309" s="217"/>
      <c r="G309" s="217"/>
      <c r="H309" s="212">
        <f>C309*D309*E309</f>
        <v>9.125</v>
      </c>
      <c r="I309" s="219"/>
      <c r="J309" s="222"/>
      <c r="K309" s="199"/>
      <c r="L309" s="199"/>
    </row>
    <row r="310" spans="1:12" ht="24" customHeight="1">
      <c r="A310" s="225"/>
      <c r="B310" s="224" t="s">
        <v>806</v>
      </c>
      <c r="C310" s="232">
        <v>1</v>
      </c>
      <c r="D310" s="233">
        <f>3.5+4+18.5+12.5</f>
        <v>38.5</v>
      </c>
      <c r="E310" s="232">
        <v>0.25</v>
      </c>
      <c r="F310" s="217"/>
      <c r="G310" s="217"/>
      <c r="H310" s="212">
        <f>C310*D310*E310</f>
        <v>9.625</v>
      </c>
      <c r="I310" s="219"/>
      <c r="J310" s="222"/>
      <c r="K310" s="199"/>
      <c r="L310" s="199"/>
    </row>
    <row r="311" spans="1:12" ht="224.45" customHeight="1">
      <c r="A311" s="374">
        <v>11.52</v>
      </c>
      <c r="B311" s="375" t="s">
        <v>927</v>
      </c>
      <c r="C311" s="369"/>
      <c r="D311" s="370"/>
      <c r="E311" s="369"/>
      <c r="F311" s="348" t="s">
        <v>620</v>
      </c>
      <c r="G311" s="348"/>
      <c r="H311" s="349">
        <f>H312/10.764</f>
        <v>4.6451133407655147</v>
      </c>
      <c r="I311" s="355" t="s">
        <v>328</v>
      </c>
      <c r="J311" s="222"/>
      <c r="K311" s="199"/>
      <c r="L311" s="199"/>
    </row>
    <row r="312" spans="1:12" ht="24" customHeight="1">
      <c r="A312" s="214"/>
      <c r="B312" s="215" t="s">
        <v>928</v>
      </c>
      <c r="C312" s="220" t="s">
        <v>610</v>
      </c>
      <c r="D312" s="221"/>
      <c r="E312" s="220"/>
      <c r="F312" s="217" t="s">
        <v>620</v>
      </c>
      <c r="G312" s="217"/>
      <c r="H312" s="218">
        <f>SUM(H315:H316)</f>
        <v>50</v>
      </c>
      <c r="I312" s="219" t="s">
        <v>621</v>
      </c>
      <c r="J312" s="222"/>
      <c r="K312" s="199"/>
      <c r="L312" s="199"/>
    </row>
    <row r="313" spans="1:12" ht="24" customHeight="1">
      <c r="A313" s="225"/>
      <c r="B313" s="194"/>
      <c r="C313" s="220"/>
      <c r="D313" s="221"/>
      <c r="E313" s="220"/>
      <c r="F313" s="217"/>
      <c r="G313" s="217"/>
      <c r="H313" s="218"/>
      <c r="I313" s="219"/>
      <c r="J313" s="222"/>
      <c r="K313" s="199"/>
      <c r="L313" s="199"/>
    </row>
    <row r="314" spans="1:12" ht="24" customHeight="1">
      <c r="A314" s="225"/>
      <c r="B314" s="194" t="s">
        <v>605</v>
      </c>
      <c r="C314" s="220"/>
      <c r="D314" s="221"/>
      <c r="E314" s="220"/>
      <c r="F314" s="217"/>
      <c r="G314" s="217"/>
      <c r="H314" s="218"/>
      <c r="I314" s="219"/>
      <c r="J314" s="222"/>
      <c r="K314" s="199"/>
      <c r="L314" s="199"/>
    </row>
    <row r="315" spans="1:12" ht="24" customHeight="1">
      <c r="A315" s="225"/>
      <c r="B315" s="224" t="s">
        <v>926</v>
      </c>
      <c r="C315" s="220">
        <v>1</v>
      </c>
      <c r="D315" s="221">
        <v>5</v>
      </c>
      <c r="E315" s="220">
        <v>5</v>
      </c>
      <c r="F315" s="217"/>
      <c r="G315" s="217"/>
      <c r="H315" s="212">
        <f>C315*D315*E315</f>
        <v>25</v>
      </c>
      <c r="I315" s="219"/>
      <c r="J315" s="222"/>
      <c r="K315" s="199"/>
      <c r="L315" s="199"/>
    </row>
    <row r="316" spans="1:12" ht="24" customHeight="1">
      <c r="A316" s="225"/>
      <c r="B316" s="224" t="s">
        <v>805</v>
      </c>
      <c r="C316" s="220">
        <v>1</v>
      </c>
      <c r="D316" s="221">
        <v>5</v>
      </c>
      <c r="E316" s="220">
        <v>5</v>
      </c>
      <c r="F316" s="217"/>
      <c r="G316" s="217"/>
      <c r="H316" s="212">
        <f>C316*D316*E316</f>
        <v>25</v>
      </c>
      <c r="I316" s="219"/>
      <c r="J316" s="222"/>
      <c r="K316" s="199"/>
      <c r="L316" s="199"/>
    </row>
    <row r="317" spans="1:12" ht="24" customHeight="1">
      <c r="A317" s="225"/>
      <c r="B317" s="231"/>
      <c r="C317" s="232"/>
      <c r="D317" s="233"/>
      <c r="E317" s="232"/>
      <c r="F317" s="217"/>
      <c r="G317" s="217"/>
      <c r="H317" s="212"/>
      <c r="I317" s="219"/>
      <c r="J317" s="222"/>
      <c r="K317" s="199"/>
      <c r="L317" s="199"/>
    </row>
    <row r="318" spans="1:12" ht="24" customHeight="1">
      <c r="A318" s="225"/>
      <c r="B318" s="231"/>
      <c r="C318" s="232"/>
      <c r="D318" s="233"/>
      <c r="E318" s="232"/>
      <c r="F318" s="217"/>
      <c r="G318" s="217"/>
      <c r="H318" s="212"/>
      <c r="I318" s="219"/>
      <c r="J318" s="222"/>
      <c r="K318" s="199"/>
      <c r="L318" s="199"/>
    </row>
    <row r="319" spans="1:12" ht="24" customHeight="1">
      <c r="A319" s="225"/>
      <c r="B319" s="231"/>
      <c r="C319" s="232"/>
      <c r="D319" s="233"/>
      <c r="E319" s="232"/>
      <c r="F319" s="217"/>
      <c r="G319" s="217"/>
      <c r="H319" s="212"/>
      <c r="I319" s="219"/>
      <c r="J319" s="222"/>
      <c r="K319" s="199"/>
      <c r="L319" s="199"/>
    </row>
    <row r="320" spans="1:12" ht="294">
      <c r="A320" s="374" t="s">
        <v>954</v>
      </c>
      <c r="B320" s="375" t="s">
        <v>953</v>
      </c>
      <c r="C320" s="369"/>
      <c r="D320" s="370"/>
      <c r="E320" s="369"/>
      <c r="F320" s="348" t="s">
        <v>620</v>
      </c>
      <c r="G320" s="348"/>
      <c r="H320" s="349">
        <f>H321/10.764</f>
        <v>1046.5846804162022</v>
      </c>
      <c r="I320" s="355" t="s">
        <v>328</v>
      </c>
      <c r="J320" s="222"/>
      <c r="K320" s="199"/>
      <c r="L320" s="199"/>
    </row>
    <row r="321" spans="1:12" ht="24" customHeight="1">
      <c r="A321" s="225"/>
      <c r="B321" s="231"/>
      <c r="C321" s="232"/>
      <c r="D321" s="233"/>
      <c r="E321" s="232"/>
      <c r="F321" s="217" t="s">
        <v>620</v>
      </c>
      <c r="G321" s="217"/>
      <c r="H321" s="218">
        <f>SUM(H323:H467)</f>
        <v>11265.4375</v>
      </c>
      <c r="I321" s="219" t="s">
        <v>621</v>
      </c>
      <c r="J321" s="222"/>
      <c r="K321" s="199"/>
      <c r="L321" s="199"/>
    </row>
    <row r="322" spans="1:12" ht="24" customHeight="1">
      <c r="A322" s="225"/>
      <c r="B322" s="194" t="s">
        <v>605</v>
      </c>
      <c r="C322" s="232"/>
      <c r="D322" s="233"/>
      <c r="E322" s="232"/>
      <c r="F322" s="217"/>
      <c r="G322" s="217"/>
      <c r="H322" s="212"/>
      <c r="I322" s="219"/>
      <c r="J322" s="222"/>
      <c r="K322" s="199"/>
      <c r="L322" s="199"/>
    </row>
    <row r="323" spans="1:12" ht="24" customHeight="1">
      <c r="A323" s="225"/>
      <c r="B323" s="231" t="s">
        <v>807</v>
      </c>
      <c r="C323" s="232">
        <v>1</v>
      </c>
      <c r="D323" s="233">
        <v>88</v>
      </c>
      <c r="E323" s="232">
        <v>8</v>
      </c>
      <c r="F323" s="217"/>
      <c r="G323" s="217"/>
      <c r="H323" s="212">
        <f>C323*D323*E323</f>
        <v>704</v>
      </c>
      <c r="I323" s="219"/>
      <c r="J323" s="222"/>
      <c r="K323" s="199"/>
      <c r="L323" s="199"/>
    </row>
    <row r="324" spans="1:12" ht="24" customHeight="1">
      <c r="A324" s="417"/>
      <c r="B324" s="245" t="s">
        <v>808</v>
      </c>
      <c r="C324" s="245">
        <v>1</v>
      </c>
      <c r="D324" s="245">
        <v>10.75</v>
      </c>
      <c r="E324" s="245">
        <v>13.25</v>
      </c>
      <c r="F324" s="301"/>
      <c r="G324" s="301"/>
      <c r="H324" s="212">
        <f>C324*D324*E324</f>
        <v>142.4375</v>
      </c>
      <c r="I324" s="219"/>
      <c r="J324" s="222"/>
      <c r="K324" s="199"/>
      <c r="L324" s="199"/>
    </row>
    <row r="325" spans="1:12" ht="24" customHeight="1">
      <c r="A325" s="225"/>
      <c r="B325" s="302" t="s">
        <v>770</v>
      </c>
      <c r="C325" s="260">
        <v>1</v>
      </c>
      <c r="D325" s="297">
        <v>13.25</v>
      </c>
      <c r="E325" s="260">
        <v>13.25</v>
      </c>
      <c r="F325" s="217"/>
      <c r="G325" s="217"/>
      <c r="H325" s="212">
        <f>C325*D325*E325</f>
        <v>175.5625</v>
      </c>
      <c r="I325" s="219"/>
      <c r="J325" s="222"/>
      <c r="K325" s="199"/>
      <c r="L325" s="199"/>
    </row>
    <row r="326" spans="1:12" ht="21">
      <c r="A326" s="225"/>
      <c r="B326" s="302" t="s">
        <v>771</v>
      </c>
      <c r="C326" s="260">
        <v>1</v>
      </c>
      <c r="D326" s="297">
        <v>12.5</v>
      </c>
      <c r="E326" s="260">
        <v>13.25</v>
      </c>
      <c r="F326" s="217"/>
      <c r="G326" s="217"/>
      <c r="H326" s="212">
        <f>C326*D326*E326</f>
        <v>165.625</v>
      </c>
      <c r="I326" s="219"/>
      <c r="J326" s="222"/>
      <c r="K326" s="199"/>
      <c r="L326" s="199"/>
    </row>
    <row r="327" spans="1:12" ht="21">
      <c r="A327" s="225"/>
      <c r="B327" s="237" t="s">
        <v>831</v>
      </c>
      <c r="C327" s="303">
        <v>1</v>
      </c>
      <c r="D327" s="297">
        <v>25.5</v>
      </c>
      <c r="E327" s="260">
        <v>16.25</v>
      </c>
      <c r="F327" s="217"/>
      <c r="G327" s="217"/>
      <c r="H327" s="212">
        <f>C327*D327*E327</f>
        <v>414.375</v>
      </c>
      <c r="I327" s="219"/>
      <c r="J327" s="222"/>
      <c r="K327" s="199"/>
      <c r="L327" s="199"/>
    </row>
    <row r="328" spans="1:12" ht="24" customHeight="1">
      <c r="A328" s="225"/>
      <c r="B328" s="302" t="s">
        <v>627</v>
      </c>
      <c r="C328" s="260">
        <v>1</v>
      </c>
      <c r="D328" s="297">
        <v>23.5</v>
      </c>
      <c r="E328" s="260">
        <v>16.75</v>
      </c>
      <c r="F328" s="217"/>
      <c r="G328" s="217"/>
      <c r="H328" s="212">
        <f t="shared" ref="H328:H336" si="14">C328*D328*E328</f>
        <v>393.625</v>
      </c>
      <c r="I328" s="219"/>
      <c r="J328" s="222"/>
      <c r="K328" s="199"/>
      <c r="L328" s="199"/>
    </row>
    <row r="329" spans="1:12" ht="24" customHeight="1">
      <c r="A329" s="225"/>
      <c r="B329" s="302" t="s">
        <v>822</v>
      </c>
      <c r="C329" s="260">
        <v>1</v>
      </c>
      <c r="D329" s="297">
        <v>5.5</v>
      </c>
      <c r="E329" s="260">
        <v>16.75</v>
      </c>
      <c r="F329" s="217"/>
      <c r="G329" s="217"/>
      <c r="H329" s="212">
        <f t="shared" si="14"/>
        <v>92.125</v>
      </c>
      <c r="I329" s="219"/>
      <c r="J329" s="222"/>
      <c r="K329" s="199"/>
      <c r="L329" s="199"/>
    </row>
    <row r="330" spans="1:12" ht="24" customHeight="1">
      <c r="A330" s="225"/>
      <c r="B330" s="302" t="s">
        <v>809</v>
      </c>
      <c r="C330" s="260">
        <v>1</v>
      </c>
      <c r="D330" s="297">
        <v>4.5</v>
      </c>
      <c r="E330" s="260">
        <v>6.25</v>
      </c>
      <c r="F330" s="217"/>
      <c r="G330" s="217"/>
      <c r="H330" s="212">
        <f t="shared" si="14"/>
        <v>28.125</v>
      </c>
      <c r="I330" s="219"/>
      <c r="J330" s="222"/>
      <c r="K330" s="199"/>
      <c r="L330" s="199"/>
    </row>
    <row r="331" spans="1:12" ht="24" customHeight="1">
      <c r="A331" s="225"/>
      <c r="B331" s="302" t="s">
        <v>810</v>
      </c>
      <c r="C331" s="260">
        <v>1</v>
      </c>
      <c r="D331" s="297">
        <v>12.5</v>
      </c>
      <c r="E331" s="260">
        <v>8</v>
      </c>
      <c r="F331" s="217"/>
      <c r="G331" s="217"/>
      <c r="H331" s="212">
        <f t="shared" si="14"/>
        <v>100</v>
      </c>
      <c r="I331" s="219"/>
      <c r="J331" s="222"/>
      <c r="K331" s="199"/>
      <c r="L331" s="199"/>
    </row>
    <row r="332" spans="1:12" ht="24" customHeight="1">
      <c r="A332" s="225"/>
      <c r="B332" s="302" t="s">
        <v>811</v>
      </c>
      <c r="C332" s="260">
        <v>1</v>
      </c>
      <c r="D332" s="297">
        <v>13.5</v>
      </c>
      <c r="E332" s="260">
        <v>28.5</v>
      </c>
      <c r="F332" s="217"/>
      <c r="G332" s="217"/>
      <c r="H332" s="212">
        <f t="shared" si="14"/>
        <v>384.75</v>
      </c>
      <c r="I332" s="219"/>
      <c r="J332" s="222"/>
      <c r="K332" s="199"/>
      <c r="L332" s="199"/>
    </row>
    <row r="333" spans="1:12" ht="24" customHeight="1">
      <c r="A333" s="225"/>
      <c r="B333" s="302" t="s">
        <v>812</v>
      </c>
      <c r="C333" s="260">
        <v>1</v>
      </c>
      <c r="D333" s="297">
        <v>22.25</v>
      </c>
      <c r="E333" s="260">
        <v>8</v>
      </c>
      <c r="F333" s="217"/>
      <c r="G333" s="217"/>
      <c r="H333" s="212">
        <f t="shared" si="14"/>
        <v>178</v>
      </c>
      <c r="I333" s="219"/>
      <c r="J333" s="222"/>
      <c r="K333" s="199"/>
      <c r="L333" s="199"/>
    </row>
    <row r="334" spans="1:12" ht="24" customHeight="1">
      <c r="A334" s="225"/>
      <c r="B334" s="302" t="s">
        <v>813</v>
      </c>
      <c r="C334" s="260">
        <v>1</v>
      </c>
      <c r="D334" s="297">
        <v>8.75</v>
      </c>
      <c r="E334" s="260">
        <v>12</v>
      </c>
      <c r="F334" s="217"/>
      <c r="G334" s="217"/>
      <c r="H334" s="212">
        <f t="shared" si="14"/>
        <v>105</v>
      </c>
      <c r="I334" s="219"/>
      <c r="J334" s="222"/>
      <c r="K334" s="199"/>
      <c r="L334" s="199"/>
    </row>
    <row r="335" spans="1:12" ht="24" customHeight="1">
      <c r="A335" s="225"/>
      <c r="B335" s="302" t="s">
        <v>54</v>
      </c>
      <c r="C335" s="260">
        <v>1</v>
      </c>
      <c r="D335" s="297">
        <v>7.5</v>
      </c>
      <c r="E335" s="260">
        <v>12</v>
      </c>
      <c r="F335" s="217"/>
      <c r="G335" s="217"/>
      <c r="H335" s="212">
        <f t="shared" si="14"/>
        <v>90</v>
      </c>
      <c r="I335" s="219"/>
      <c r="J335" s="222"/>
      <c r="K335" s="199"/>
      <c r="L335" s="199"/>
    </row>
    <row r="336" spans="1:12" ht="21">
      <c r="A336" s="225"/>
      <c r="B336" s="302" t="s">
        <v>814</v>
      </c>
      <c r="C336" s="260">
        <v>1</v>
      </c>
      <c r="D336" s="297">
        <v>8.5</v>
      </c>
      <c r="E336" s="260">
        <v>12</v>
      </c>
      <c r="F336" s="217"/>
      <c r="G336" s="217"/>
      <c r="H336" s="212">
        <f t="shared" si="14"/>
        <v>102</v>
      </c>
      <c r="I336" s="219"/>
      <c r="J336" s="222"/>
      <c r="K336" s="199"/>
      <c r="L336" s="199"/>
    </row>
    <row r="337" spans="1:12" ht="21">
      <c r="A337" s="225"/>
      <c r="B337" s="302"/>
      <c r="C337" s="260"/>
      <c r="D337" s="297"/>
      <c r="E337" s="260"/>
      <c r="F337" s="217"/>
      <c r="G337" s="217"/>
      <c r="H337" s="212"/>
      <c r="I337" s="219"/>
      <c r="J337" s="222"/>
      <c r="K337" s="199"/>
      <c r="L337" s="199"/>
    </row>
    <row r="338" spans="1:12" ht="21">
      <c r="A338" s="225"/>
      <c r="B338" s="302" t="s">
        <v>845</v>
      </c>
      <c r="C338" s="260"/>
      <c r="D338" s="297"/>
      <c r="E338" s="260"/>
      <c r="F338" s="217"/>
      <c r="G338" s="217"/>
      <c r="H338" s="212"/>
      <c r="I338" s="219"/>
      <c r="J338" s="222"/>
      <c r="K338" s="199"/>
      <c r="L338" s="199"/>
    </row>
    <row r="339" spans="1:12" ht="24" customHeight="1">
      <c r="A339" s="225"/>
      <c r="B339" s="231" t="s">
        <v>807</v>
      </c>
      <c r="C339" s="232">
        <v>1</v>
      </c>
      <c r="D339" s="233">
        <f>2.25+0.5+2.25+1+9.25</f>
        <v>15.25</v>
      </c>
      <c r="E339" s="232">
        <v>0.25</v>
      </c>
      <c r="F339" s="217"/>
      <c r="G339" s="217"/>
      <c r="H339" s="212">
        <f>C339*D339*E339</f>
        <v>3.8125</v>
      </c>
      <c r="I339" s="219"/>
      <c r="J339" s="222"/>
      <c r="K339" s="199"/>
      <c r="L339" s="199"/>
    </row>
    <row r="340" spans="1:12" ht="24" customHeight="1">
      <c r="A340" s="417"/>
      <c r="B340" s="245" t="s">
        <v>808</v>
      </c>
      <c r="C340" s="245">
        <v>1</v>
      </c>
      <c r="D340" s="233">
        <f>12.25+10.25</f>
        <v>22.5</v>
      </c>
      <c r="E340" s="232">
        <v>0.25</v>
      </c>
      <c r="F340" s="301"/>
      <c r="G340" s="301"/>
      <c r="H340" s="212">
        <f>C340*D340*E340</f>
        <v>5.625</v>
      </c>
      <c r="I340" s="219"/>
      <c r="J340" s="222"/>
      <c r="K340" s="199"/>
      <c r="L340" s="199"/>
    </row>
    <row r="341" spans="1:12" ht="24" customHeight="1">
      <c r="A341" s="225"/>
      <c r="B341" s="302" t="s">
        <v>770</v>
      </c>
      <c r="C341" s="260">
        <v>1</v>
      </c>
      <c r="D341" s="233">
        <f>12</f>
        <v>12</v>
      </c>
      <c r="E341" s="232">
        <v>0.25</v>
      </c>
      <c r="F341" s="217"/>
      <c r="G341" s="217"/>
      <c r="H341" s="212">
        <f>C341*D341*E341</f>
        <v>3</v>
      </c>
      <c r="I341" s="219"/>
      <c r="J341" s="222"/>
      <c r="K341" s="199"/>
      <c r="L341" s="199"/>
    </row>
    <row r="342" spans="1:12" ht="21">
      <c r="A342" s="225"/>
      <c r="B342" s="302" t="s">
        <v>771</v>
      </c>
      <c r="C342" s="260">
        <v>1</v>
      </c>
      <c r="D342" s="233">
        <f>12.5+12.5</f>
        <v>25</v>
      </c>
      <c r="E342" s="232">
        <v>0.25</v>
      </c>
      <c r="F342" s="217"/>
      <c r="G342" s="217"/>
      <c r="H342" s="212">
        <f>C342*D342*E342</f>
        <v>6.25</v>
      </c>
      <c r="I342" s="219"/>
      <c r="J342" s="222"/>
      <c r="K342" s="199"/>
      <c r="L342" s="199"/>
    </row>
    <row r="343" spans="1:12" ht="21">
      <c r="A343" s="225"/>
      <c r="B343" s="237" t="s">
        <v>831</v>
      </c>
      <c r="C343" s="303">
        <v>1</v>
      </c>
      <c r="D343" s="233">
        <f>12.25+12</f>
        <v>24.25</v>
      </c>
      <c r="E343" s="232">
        <v>0.25</v>
      </c>
      <c r="F343" s="217"/>
      <c r="G343" s="217"/>
      <c r="H343" s="212">
        <f>C343*D343*E343</f>
        <v>6.0625</v>
      </c>
      <c r="I343" s="219"/>
      <c r="J343" s="222"/>
      <c r="K343" s="199"/>
      <c r="L343" s="199"/>
    </row>
    <row r="344" spans="1:12" ht="24" customHeight="1">
      <c r="A344" s="225"/>
      <c r="B344" s="302" t="s">
        <v>627</v>
      </c>
      <c r="C344" s="260">
        <v>1</v>
      </c>
      <c r="D344" s="233">
        <f>10+11.25</f>
        <v>21.25</v>
      </c>
      <c r="E344" s="232">
        <v>0.25</v>
      </c>
      <c r="F344" s="217"/>
      <c r="G344" s="217"/>
      <c r="H344" s="212">
        <f t="shared" ref="H344:H352" si="15">C344*D344*E344</f>
        <v>5.3125</v>
      </c>
      <c r="I344" s="219"/>
      <c r="J344" s="222"/>
      <c r="K344" s="199"/>
      <c r="L344" s="199"/>
    </row>
    <row r="345" spans="1:12" ht="24" customHeight="1">
      <c r="A345" s="225"/>
      <c r="B345" s="302" t="s">
        <v>822</v>
      </c>
      <c r="C345" s="260">
        <v>1</v>
      </c>
      <c r="D345" s="233">
        <f>10.5+16.75</f>
        <v>27.25</v>
      </c>
      <c r="E345" s="232">
        <v>0.25</v>
      </c>
      <c r="F345" s="217"/>
      <c r="G345" s="217"/>
      <c r="H345" s="212">
        <f t="shared" si="15"/>
        <v>6.8125</v>
      </c>
      <c r="I345" s="219"/>
      <c r="J345" s="222"/>
      <c r="K345" s="199"/>
      <c r="L345" s="199"/>
    </row>
    <row r="346" spans="1:12" ht="24" customHeight="1">
      <c r="A346" s="225"/>
      <c r="B346" s="302" t="s">
        <v>809</v>
      </c>
      <c r="C346" s="260">
        <v>1</v>
      </c>
      <c r="D346" s="233">
        <f>6.75+1.5+7</f>
        <v>15.25</v>
      </c>
      <c r="E346" s="232">
        <v>0.25</v>
      </c>
      <c r="F346" s="217"/>
      <c r="G346" s="217"/>
      <c r="H346" s="212">
        <f t="shared" si="15"/>
        <v>3.8125</v>
      </c>
      <c r="I346" s="219"/>
      <c r="J346" s="222"/>
      <c r="K346" s="199"/>
      <c r="L346" s="199"/>
    </row>
    <row r="347" spans="1:12" ht="24" customHeight="1">
      <c r="A347" s="225"/>
      <c r="B347" s="302" t="s">
        <v>810</v>
      </c>
      <c r="C347" s="260">
        <v>1</v>
      </c>
      <c r="D347" s="233">
        <f>9+8+12.5+8</f>
        <v>37.5</v>
      </c>
      <c r="E347" s="232">
        <v>0.25</v>
      </c>
      <c r="F347" s="217"/>
      <c r="G347" s="217"/>
      <c r="H347" s="212">
        <f t="shared" si="15"/>
        <v>9.375</v>
      </c>
      <c r="I347" s="219"/>
      <c r="J347" s="222"/>
      <c r="K347" s="199"/>
      <c r="L347" s="199"/>
    </row>
    <row r="348" spans="1:12" ht="24" customHeight="1">
      <c r="A348" s="225"/>
      <c r="B348" s="302" t="s">
        <v>811</v>
      </c>
      <c r="C348" s="260">
        <v>1</v>
      </c>
      <c r="D348" s="233">
        <f>8.5+12+13.5</f>
        <v>34</v>
      </c>
      <c r="E348" s="232">
        <v>0.25</v>
      </c>
      <c r="F348" s="217"/>
      <c r="G348" s="217"/>
      <c r="H348" s="212">
        <f t="shared" si="15"/>
        <v>8.5</v>
      </c>
      <c r="I348" s="219"/>
      <c r="J348" s="222"/>
      <c r="K348" s="199"/>
      <c r="L348" s="199"/>
    </row>
    <row r="349" spans="1:12" ht="24" customHeight="1">
      <c r="A349" s="225"/>
      <c r="B349" s="302" t="s">
        <v>812</v>
      </c>
      <c r="C349" s="260">
        <v>1</v>
      </c>
      <c r="D349" s="233">
        <f>9+8+22+8</f>
        <v>47</v>
      </c>
      <c r="E349" s="232">
        <v>0.25</v>
      </c>
      <c r="F349" s="217"/>
      <c r="G349" s="217"/>
      <c r="H349" s="212">
        <f t="shared" si="15"/>
        <v>11.75</v>
      </c>
      <c r="I349" s="219"/>
      <c r="J349" s="222"/>
      <c r="K349" s="199"/>
      <c r="L349" s="199"/>
    </row>
    <row r="350" spans="1:12" ht="24" customHeight="1">
      <c r="A350" s="225"/>
      <c r="B350" s="302" t="s">
        <v>813</v>
      </c>
      <c r="C350" s="260">
        <v>1</v>
      </c>
      <c r="D350" s="233">
        <f>9</f>
        <v>9</v>
      </c>
      <c r="E350" s="232">
        <v>0.25</v>
      </c>
      <c r="F350" s="217"/>
      <c r="G350" s="217"/>
      <c r="H350" s="212">
        <f t="shared" si="15"/>
        <v>2.25</v>
      </c>
      <c r="I350" s="219"/>
      <c r="J350" s="222"/>
      <c r="K350" s="199"/>
      <c r="L350" s="199"/>
    </row>
    <row r="351" spans="1:12" ht="24" customHeight="1">
      <c r="A351" s="225"/>
      <c r="B351" s="302" t="s">
        <v>54</v>
      </c>
      <c r="C351" s="260">
        <v>1</v>
      </c>
      <c r="D351" s="233">
        <v>7.5</v>
      </c>
      <c r="E351" s="232">
        <v>0.25</v>
      </c>
      <c r="F351" s="217"/>
      <c r="G351" s="217"/>
      <c r="H351" s="212">
        <f t="shared" si="15"/>
        <v>1.875</v>
      </c>
      <c r="I351" s="219"/>
      <c r="J351" s="222"/>
      <c r="K351" s="199"/>
      <c r="L351" s="199"/>
    </row>
    <row r="352" spans="1:12" ht="21">
      <c r="A352" s="225"/>
      <c r="B352" s="302" t="s">
        <v>814</v>
      </c>
      <c r="C352" s="260">
        <v>1</v>
      </c>
      <c r="D352" s="233">
        <f>8.5</f>
        <v>8.5</v>
      </c>
      <c r="E352" s="232">
        <v>0.25</v>
      </c>
      <c r="F352" s="217"/>
      <c r="G352" s="217"/>
      <c r="H352" s="212">
        <f t="shared" si="15"/>
        <v>2.125</v>
      </c>
      <c r="I352" s="219"/>
      <c r="J352" s="222"/>
      <c r="K352" s="199"/>
      <c r="L352" s="199"/>
    </row>
    <row r="353" spans="1:12" ht="21">
      <c r="A353" s="225"/>
      <c r="B353" s="302"/>
      <c r="C353" s="260"/>
      <c r="D353" s="297"/>
      <c r="E353" s="260"/>
      <c r="F353" s="217"/>
      <c r="G353" s="217"/>
      <c r="H353" s="212"/>
      <c r="I353" s="219"/>
      <c r="J353" s="222"/>
      <c r="K353" s="199"/>
      <c r="L353" s="199"/>
    </row>
    <row r="354" spans="1:12" ht="24" customHeight="1">
      <c r="A354" s="225"/>
      <c r="B354" s="194" t="s">
        <v>753</v>
      </c>
      <c r="C354" s="260"/>
      <c r="D354" s="297"/>
      <c r="E354" s="260"/>
      <c r="F354" s="217"/>
      <c r="G354" s="217"/>
      <c r="H354" s="212"/>
      <c r="I354" s="219"/>
      <c r="J354" s="222"/>
      <c r="K354" s="199"/>
      <c r="L354" s="199"/>
    </row>
    <row r="355" spans="1:12" ht="24" customHeight="1">
      <c r="A355" s="225"/>
      <c r="B355" s="302" t="s">
        <v>752</v>
      </c>
      <c r="C355" s="260">
        <v>1</v>
      </c>
      <c r="D355" s="297">
        <v>93.75</v>
      </c>
      <c r="E355" s="260">
        <v>7.75</v>
      </c>
      <c r="F355" s="217"/>
      <c r="G355" s="217"/>
      <c r="H355" s="212">
        <f t="shared" ref="H355:H369" si="16">C355*D355*E355</f>
        <v>726.5625</v>
      </c>
      <c r="I355" s="219"/>
      <c r="J355" s="222"/>
      <c r="K355" s="199"/>
      <c r="L355" s="199"/>
    </row>
    <row r="356" spans="1:12" ht="24" customHeight="1">
      <c r="A356" s="225"/>
      <c r="B356" s="302" t="s">
        <v>815</v>
      </c>
      <c r="C356" s="260">
        <v>1</v>
      </c>
      <c r="D356" s="297">
        <v>11.25</v>
      </c>
      <c r="E356" s="260">
        <v>16.75</v>
      </c>
      <c r="F356" s="217"/>
      <c r="G356" s="217"/>
      <c r="H356" s="212">
        <f t="shared" si="16"/>
        <v>188.4375</v>
      </c>
      <c r="I356" s="219"/>
      <c r="J356" s="222"/>
      <c r="K356" s="199"/>
      <c r="L356" s="199"/>
    </row>
    <row r="357" spans="1:12" ht="24" customHeight="1">
      <c r="A357" s="225"/>
      <c r="B357" s="302" t="s">
        <v>816</v>
      </c>
      <c r="C357" s="260">
        <v>1</v>
      </c>
      <c r="D357" s="297">
        <v>11.75</v>
      </c>
      <c r="E357" s="260">
        <v>16.75</v>
      </c>
      <c r="F357" s="217"/>
      <c r="G357" s="217"/>
      <c r="H357" s="212">
        <f t="shared" si="16"/>
        <v>196.8125</v>
      </c>
      <c r="I357" s="219"/>
      <c r="J357" s="222"/>
      <c r="K357" s="199"/>
      <c r="L357" s="199"/>
    </row>
    <row r="358" spans="1:12" ht="24" customHeight="1">
      <c r="A358" s="225"/>
      <c r="B358" s="302" t="s">
        <v>770</v>
      </c>
      <c r="C358" s="260">
        <v>1</v>
      </c>
      <c r="D358" s="297">
        <v>12.75</v>
      </c>
      <c r="E358" s="260">
        <v>16.75</v>
      </c>
      <c r="F358" s="217"/>
      <c r="G358" s="217"/>
      <c r="H358" s="212">
        <f t="shared" si="16"/>
        <v>213.5625</v>
      </c>
      <c r="I358" s="219"/>
      <c r="J358" s="222"/>
      <c r="K358" s="199"/>
      <c r="L358" s="199"/>
    </row>
    <row r="359" spans="1:12" ht="24" customHeight="1">
      <c r="A359" s="225"/>
      <c r="B359" s="302" t="s">
        <v>771</v>
      </c>
      <c r="C359" s="260">
        <v>1</v>
      </c>
      <c r="D359" s="297">
        <v>12.5</v>
      </c>
      <c r="E359" s="260">
        <v>16</v>
      </c>
      <c r="F359" s="217"/>
      <c r="G359" s="217"/>
      <c r="H359" s="212">
        <f t="shared" si="16"/>
        <v>200</v>
      </c>
      <c r="I359" s="219"/>
      <c r="J359" s="222"/>
      <c r="K359" s="199"/>
      <c r="L359" s="199"/>
    </row>
    <row r="360" spans="1:12" ht="24" customHeight="1">
      <c r="A360" s="225"/>
      <c r="B360" s="302" t="s">
        <v>772</v>
      </c>
      <c r="C360" s="260">
        <v>1</v>
      </c>
      <c r="D360" s="297">
        <v>12.5</v>
      </c>
      <c r="E360" s="260">
        <v>13.25</v>
      </c>
      <c r="F360" s="217"/>
      <c r="G360" s="217"/>
      <c r="H360" s="212">
        <f t="shared" si="16"/>
        <v>165.625</v>
      </c>
      <c r="I360" s="219"/>
      <c r="J360" s="222"/>
      <c r="K360" s="199"/>
      <c r="L360" s="199"/>
    </row>
    <row r="361" spans="1:12" ht="24" customHeight="1">
      <c r="A361" s="225"/>
      <c r="B361" s="302" t="s">
        <v>773</v>
      </c>
      <c r="C361" s="260">
        <v>1</v>
      </c>
      <c r="D361" s="297">
        <v>12.75</v>
      </c>
      <c r="E361" s="260">
        <v>13.25</v>
      </c>
      <c r="F361" s="217"/>
      <c r="G361" s="217"/>
      <c r="H361" s="212">
        <f t="shared" si="16"/>
        <v>168.9375</v>
      </c>
      <c r="I361" s="219"/>
      <c r="J361" s="222"/>
      <c r="K361" s="199"/>
      <c r="L361" s="199"/>
    </row>
    <row r="362" spans="1:12" ht="24" customHeight="1">
      <c r="A362" s="225"/>
      <c r="B362" s="302" t="s">
        <v>817</v>
      </c>
      <c r="C362" s="260">
        <v>1</v>
      </c>
      <c r="D362" s="297">
        <v>10.75</v>
      </c>
      <c r="E362" s="260">
        <v>13.25</v>
      </c>
      <c r="F362" s="217"/>
      <c r="G362" s="217"/>
      <c r="H362" s="212">
        <f t="shared" si="16"/>
        <v>142.4375</v>
      </c>
      <c r="I362" s="219"/>
      <c r="J362" s="222"/>
      <c r="K362" s="199"/>
      <c r="L362" s="199"/>
    </row>
    <row r="363" spans="1:12" ht="24" customHeight="1">
      <c r="A363" s="225"/>
      <c r="B363" s="302" t="s">
        <v>818</v>
      </c>
      <c r="C363" s="260">
        <v>1</v>
      </c>
      <c r="D363" s="297">
        <v>8.5</v>
      </c>
      <c r="E363" s="260">
        <v>12</v>
      </c>
      <c r="F363" s="217"/>
      <c r="G363" s="217"/>
      <c r="H363" s="212">
        <f t="shared" si="16"/>
        <v>102</v>
      </c>
      <c r="I363" s="219"/>
      <c r="J363" s="222"/>
      <c r="K363" s="199"/>
      <c r="L363" s="199"/>
    </row>
    <row r="364" spans="1:12" ht="24" customHeight="1">
      <c r="A364" s="225"/>
      <c r="B364" s="302" t="s">
        <v>819</v>
      </c>
      <c r="C364" s="260">
        <v>1</v>
      </c>
      <c r="D364" s="297">
        <v>7.5</v>
      </c>
      <c r="E364" s="260">
        <v>12</v>
      </c>
      <c r="F364" s="217"/>
      <c r="G364" s="217"/>
      <c r="H364" s="212">
        <f t="shared" si="16"/>
        <v>90</v>
      </c>
      <c r="I364" s="219"/>
      <c r="J364" s="222"/>
      <c r="K364" s="199"/>
      <c r="L364" s="199"/>
    </row>
    <row r="365" spans="1:12" ht="24" customHeight="1">
      <c r="A365" s="225"/>
      <c r="B365" s="302" t="s">
        <v>820</v>
      </c>
      <c r="C365" s="260">
        <v>1</v>
      </c>
      <c r="D365" s="297">
        <v>8.75</v>
      </c>
      <c r="E365" s="260">
        <v>12</v>
      </c>
      <c r="F365" s="217"/>
      <c r="G365" s="217"/>
      <c r="H365" s="212">
        <f t="shared" si="16"/>
        <v>105</v>
      </c>
      <c r="I365" s="219"/>
      <c r="J365" s="222"/>
      <c r="K365" s="199"/>
      <c r="L365" s="199"/>
    </row>
    <row r="366" spans="1:12" ht="24" customHeight="1">
      <c r="A366" s="225"/>
      <c r="B366" s="302" t="s">
        <v>811</v>
      </c>
      <c r="C366" s="260">
        <v>1</v>
      </c>
      <c r="D366" s="297">
        <v>13.5</v>
      </c>
      <c r="E366" s="260">
        <v>28.25</v>
      </c>
      <c r="F366" s="217"/>
      <c r="G366" s="217"/>
      <c r="H366" s="212">
        <f t="shared" si="16"/>
        <v>381.375</v>
      </c>
      <c r="I366" s="219"/>
      <c r="J366" s="222"/>
      <c r="K366" s="199"/>
      <c r="L366" s="199"/>
    </row>
    <row r="367" spans="1:12" ht="24" customHeight="1">
      <c r="A367" s="225"/>
      <c r="B367" s="302" t="s">
        <v>812</v>
      </c>
      <c r="C367" s="260">
        <v>1</v>
      </c>
      <c r="D367" s="297">
        <v>22.25</v>
      </c>
      <c r="E367" s="260">
        <v>8</v>
      </c>
      <c r="F367" s="217"/>
      <c r="G367" s="217"/>
      <c r="H367" s="212">
        <f t="shared" si="16"/>
        <v>178</v>
      </c>
      <c r="I367" s="219"/>
      <c r="J367" s="222"/>
      <c r="K367" s="199"/>
      <c r="L367" s="199"/>
    </row>
    <row r="368" spans="1:12" ht="24" customHeight="1">
      <c r="A368" s="225"/>
      <c r="B368" s="302" t="s">
        <v>821</v>
      </c>
      <c r="C368" s="260">
        <v>1</v>
      </c>
      <c r="D368" s="297">
        <v>12.5</v>
      </c>
      <c r="E368" s="260">
        <v>8</v>
      </c>
      <c r="F368" s="217"/>
      <c r="G368" s="217"/>
      <c r="H368" s="212">
        <f t="shared" si="16"/>
        <v>100</v>
      </c>
      <c r="I368" s="219"/>
      <c r="J368" s="222"/>
      <c r="K368" s="199"/>
      <c r="L368" s="199"/>
    </row>
    <row r="369" spans="1:12" ht="24" customHeight="1">
      <c r="A369" s="225"/>
      <c r="B369" s="302" t="s">
        <v>809</v>
      </c>
      <c r="C369" s="260">
        <v>1</v>
      </c>
      <c r="D369" s="297">
        <v>4.25</v>
      </c>
      <c r="E369" s="260">
        <v>7.25</v>
      </c>
      <c r="F369" s="217"/>
      <c r="G369" s="217"/>
      <c r="H369" s="212">
        <f t="shared" si="16"/>
        <v>30.8125</v>
      </c>
      <c r="I369" s="219"/>
      <c r="J369" s="222"/>
      <c r="K369" s="199"/>
      <c r="L369" s="199"/>
    </row>
    <row r="370" spans="1:12" ht="24" customHeight="1">
      <c r="A370" s="225"/>
      <c r="B370" s="302"/>
      <c r="C370" s="260"/>
      <c r="D370" s="297"/>
      <c r="E370" s="260"/>
      <c r="F370" s="217"/>
      <c r="G370" s="217"/>
      <c r="H370" s="212"/>
      <c r="I370" s="219"/>
      <c r="J370" s="222"/>
      <c r="K370" s="199"/>
      <c r="L370" s="199"/>
    </row>
    <row r="371" spans="1:12" ht="21">
      <c r="A371" s="225"/>
      <c r="B371" s="302" t="s">
        <v>845</v>
      </c>
      <c r="C371" s="260"/>
      <c r="D371" s="297"/>
      <c r="E371" s="260"/>
      <c r="F371" s="217"/>
      <c r="G371" s="217"/>
      <c r="H371" s="212"/>
      <c r="I371" s="219"/>
      <c r="J371" s="222"/>
      <c r="K371" s="199"/>
      <c r="L371" s="199"/>
    </row>
    <row r="372" spans="1:12" ht="24" customHeight="1">
      <c r="A372" s="225"/>
      <c r="B372" s="302" t="s">
        <v>752</v>
      </c>
      <c r="C372" s="260">
        <v>1</v>
      </c>
      <c r="D372" s="297">
        <f>2.25+0.5+2.25+1+9.25</f>
        <v>15.25</v>
      </c>
      <c r="E372" s="232">
        <v>0.25</v>
      </c>
      <c r="F372" s="217"/>
      <c r="G372" s="217"/>
      <c r="H372" s="212">
        <f t="shared" ref="H372:H386" si="17">C372*D372*E372</f>
        <v>3.8125</v>
      </c>
      <c r="I372" s="219"/>
      <c r="J372" s="222"/>
      <c r="K372" s="199"/>
      <c r="L372" s="199"/>
    </row>
    <row r="373" spans="1:12" ht="24" customHeight="1">
      <c r="A373" s="225"/>
      <c r="B373" s="302" t="s">
        <v>815</v>
      </c>
      <c r="C373" s="260">
        <v>1</v>
      </c>
      <c r="D373" s="297">
        <f>9+5+11.25</f>
        <v>25.25</v>
      </c>
      <c r="E373" s="232">
        <v>0.25</v>
      </c>
      <c r="F373" s="217"/>
      <c r="G373" s="217"/>
      <c r="H373" s="212">
        <f t="shared" si="17"/>
        <v>6.3125</v>
      </c>
      <c r="I373" s="219"/>
      <c r="J373" s="222"/>
      <c r="K373" s="199"/>
      <c r="L373" s="199"/>
    </row>
    <row r="374" spans="1:12" ht="24" customHeight="1">
      <c r="A374" s="225"/>
      <c r="B374" s="302" t="s">
        <v>816</v>
      </c>
      <c r="C374" s="260">
        <v>1</v>
      </c>
      <c r="D374" s="297">
        <v>10</v>
      </c>
      <c r="E374" s="232">
        <v>0.25</v>
      </c>
      <c r="F374" s="217"/>
      <c r="G374" s="217"/>
      <c r="H374" s="212">
        <f t="shared" si="17"/>
        <v>2.5</v>
      </c>
      <c r="I374" s="219"/>
      <c r="J374" s="222"/>
      <c r="K374" s="199"/>
      <c r="L374" s="199"/>
    </row>
    <row r="375" spans="1:12" ht="24" customHeight="1">
      <c r="A375" s="225"/>
      <c r="B375" s="302" t="s">
        <v>770</v>
      </c>
      <c r="C375" s="260">
        <v>1</v>
      </c>
      <c r="D375" s="297">
        <v>12</v>
      </c>
      <c r="E375" s="232">
        <v>0.25</v>
      </c>
      <c r="F375" s="217"/>
      <c r="G375" s="217"/>
      <c r="H375" s="212">
        <f t="shared" si="17"/>
        <v>3</v>
      </c>
      <c r="I375" s="219"/>
      <c r="J375" s="222"/>
      <c r="K375" s="199"/>
      <c r="L375" s="199"/>
    </row>
    <row r="376" spans="1:12" ht="24" customHeight="1">
      <c r="A376" s="225"/>
      <c r="B376" s="302" t="s">
        <v>771</v>
      </c>
      <c r="C376" s="260">
        <v>1</v>
      </c>
      <c r="D376" s="297">
        <f>12.25+15.75</f>
        <v>28</v>
      </c>
      <c r="E376" s="232">
        <v>0.25</v>
      </c>
      <c r="F376" s="217"/>
      <c r="G376" s="217"/>
      <c r="H376" s="212">
        <f t="shared" si="17"/>
        <v>7</v>
      </c>
      <c r="I376" s="219"/>
      <c r="J376" s="222"/>
      <c r="K376" s="199"/>
      <c r="L376" s="199"/>
    </row>
    <row r="377" spans="1:12" ht="24" customHeight="1">
      <c r="A377" s="225"/>
      <c r="B377" s="302" t="s">
        <v>772</v>
      </c>
      <c r="C377" s="260">
        <v>1</v>
      </c>
      <c r="D377" s="297">
        <f>11.75+13</f>
        <v>24.75</v>
      </c>
      <c r="E377" s="232">
        <v>0.25</v>
      </c>
      <c r="F377" s="217"/>
      <c r="G377" s="217"/>
      <c r="H377" s="212">
        <f t="shared" si="17"/>
        <v>6.1875</v>
      </c>
      <c r="I377" s="219"/>
      <c r="J377" s="222"/>
      <c r="K377" s="199"/>
      <c r="L377" s="199"/>
    </row>
    <row r="378" spans="1:12" ht="24" customHeight="1">
      <c r="A378" s="225"/>
      <c r="B378" s="302" t="s">
        <v>773</v>
      </c>
      <c r="C378" s="260">
        <v>1</v>
      </c>
      <c r="D378" s="297">
        <f>12</f>
        <v>12</v>
      </c>
      <c r="E378" s="232">
        <v>0.25</v>
      </c>
      <c r="F378" s="217"/>
      <c r="G378" s="217"/>
      <c r="H378" s="212">
        <f t="shared" si="17"/>
        <v>3</v>
      </c>
      <c r="I378" s="219"/>
      <c r="J378" s="222"/>
      <c r="K378" s="199"/>
      <c r="L378" s="199"/>
    </row>
    <row r="379" spans="1:12" ht="24" customHeight="1">
      <c r="A379" s="225"/>
      <c r="B379" s="302" t="s">
        <v>817</v>
      </c>
      <c r="C379" s="260">
        <v>1</v>
      </c>
      <c r="D379" s="297">
        <f>10.25+11.75</f>
        <v>22</v>
      </c>
      <c r="E379" s="232">
        <v>0.25</v>
      </c>
      <c r="F379" s="217"/>
      <c r="G379" s="217"/>
      <c r="H379" s="212">
        <f t="shared" si="17"/>
        <v>5.5</v>
      </c>
      <c r="I379" s="219"/>
      <c r="J379" s="222"/>
      <c r="K379" s="199"/>
      <c r="L379" s="199"/>
    </row>
    <row r="380" spans="1:12" ht="24" customHeight="1">
      <c r="A380" s="225"/>
      <c r="B380" s="302" t="s">
        <v>818</v>
      </c>
      <c r="C380" s="260">
        <v>1</v>
      </c>
      <c r="D380" s="297">
        <f>11+8.5</f>
        <v>19.5</v>
      </c>
      <c r="E380" s="232">
        <v>0.25</v>
      </c>
      <c r="F380" s="217"/>
      <c r="G380" s="217"/>
      <c r="H380" s="212">
        <f t="shared" si="17"/>
        <v>4.875</v>
      </c>
      <c r="I380" s="219"/>
      <c r="J380" s="222"/>
      <c r="K380" s="199"/>
      <c r="L380" s="199"/>
    </row>
    <row r="381" spans="1:12" ht="24" customHeight="1">
      <c r="A381" s="225"/>
      <c r="B381" s="302" t="s">
        <v>819</v>
      </c>
      <c r="C381" s="260">
        <v>1</v>
      </c>
      <c r="D381" s="297">
        <v>7.5</v>
      </c>
      <c r="E381" s="232">
        <v>0.25</v>
      </c>
      <c r="F381" s="217"/>
      <c r="G381" s="217"/>
      <c r="H381" s="212">
        <f t="shared" si="17"/>
        <v>1.875</v>
      </c>
      <c r="I381" s="219"/>
      <c r="J381" s="222"/>
      <c r="K381" s="199"/>
      <c r="L381" s="199"/>
    </row>
    <row r="382" spans="1:12" ht="24" customHeight="1">
      <c r="A382" s="225"/>
      <c r="B382" s="302" t="s">
        <v>820</v>
      </c>
      <c r="C382" s="260">
        <v>1</v>
      </c>
      <c r="D382" s="297">
        <f>8.75</f>
        <v>8.75</v>
      </c>
      <c r="E382" s="232">
        <v>0.25</v>
      </c>
      <c r="F382" s="217"/>
      <c r="G382" s="217"/>
      <c r="H382" s="212">
        <f t="shared" si="17"/>
        <v>2.1875</v>
      </c>
      <c r="I382" s="219"/>
      <c r="J382" s="222"/>
      <c r="K382" s="199"/>
      <c r="L382" s="199"/>
    </row>
    <row r="383" spans="1:12" ht="24" customHeight="1">
      <c r="A383" s="225"/>
      <c r="B383" s="302" t="s">
        <v>811</v>
      </c>
      <c r="C383" s="260">
        <v>1</v>
      </c>
      <c r="D383" s="297">
        <f>13.5+28.5+8.5</f>
        <v>50.5</v>
      </c>
      <c r="E383" s="232">
        <v>0.25</v>
      </c>
      <c r="F383" s="217"/>
      <c r="G383" s="217"/>
      <c r="H383" s="212">
        <f t="shared" si="17"/>
        <v>12.625</v>
      </c>
      <c r="I383" s="219"/>
      <c r="J383" s="222"/>
      <c r="K383" s="199"/>
      <c r="L383" s="199"/>
    </row>
    <row r="384" spans="1:12" ht="24" customHeight="1">
      <c r="A384" s="225"/>
      <c r="B384" s="302" t="s">
        <v>812</v>
      </c>
      <c r="C384" s="260">
        <v>1</v>
      </c>
      <c r="D384" s="297">
        <f>9+8+22+7.5</f>
        <v>46.5</v>
      </c>
      <c r="E384" s="232">
        <v>0.25</v>
      </c>
      <c r="F384" s="217"/>
      <c r="G384" s="217"/>
      <c r="H384" s="212">
        <f t="shared" si="17"/>
        <v>11.625</v>
      </c>
      <c r="I384" s="219"/>
      <c r="J384" s="222"/>
      <c r="K384" s="199"/>
      <c r="L384" s="199"/>
    </row>
    <row r="385" spans="1:12" ht="24" customHeight="1">
      <c r="A385" s="225"/>
      <c r="B385" s="302" t="s">
        <v>821</v>
      </c>
      <c r="C385" s="260">
        <v>1</v>
      </c>
      <c r="D385" s="297">
        <f>12.5+8+8.25+8</f>
        <v>36.75</v>
      </c>
      <c r="E385" s="232">
        <v>0.25</v>
      </c>
      <c r="F385" s="217"/>
      <c r="G385" s="217"/>
      <c r="H385" s="212">
        <f t="shared" si="17"/>
        <v>9.1875</v>
      </c>
      <c r="I385" s="219"/>
      <c r="J385" s="222"/>
      <c r="K385" s="199"/>
      <c r="L385" s="199"/>
    </row>
    <row r="386" spans="1:12" ht="24" customHeight="1">
      <c r="A386" s="225"/>
      <c r="B386" s="302" t="s">
        <v>809</v>
      </c>
      <c r="C386" s="260">
        <v>1</v>
      </c>
      <c r="D386" s="297">
        <f>6.75+4.5+6.75</f>
        <v>18</v>
      </c>
      <c r="E386" s="232">
        <v>0.25</v>
      </c>
      <c r="F386" s="217"/>
      <c r="G386" s="217"/>
      <c r="H386" s="212">
        <f t="shared" si="17"/>
        <v>4.5</v>
      </c>
      <c r="I386" s="219"/>
      <c r="J386" s="222"/>
      <c r="K386" s="199"/>
      <c r="L386" s="199"/>
    </row>
    <row r="387" spans="1:12" ht="24" customHeight="1">
      <c r="A387" s="225"/>
      <c r="B387" s="302"/>
      <c r="C387" s="260"/>
      <c r="D387" s="297"/>
      <c r="E387" s="260"/>
      <c r="F387" s="217"/>
      <c r="G387" s="217"/>
      <c r="H387" s="212"/>
      <c r="I387" s="219"/>
      <c r="J387" s="222"/>
      <c r="K387" s="199"/>
      <c r="L387" s="199"/>
    </row>
    <row r="388" spans="1:12" ht="24" customHeight="1">
      <c r="A388" s="225"/>
      <c r="B388" s="194" t="s">
        <v>606</v>
      </c>
      <c r="C388" s="260"/>
      <c r="D388" s="297"/>
      <c r="E388" s="260"/>
      <c r="F388" s="217"/>
      <c r="G388" s="217"/>
      <c r="H388" s="212"/>
      <c r="I388" s="219"/>
      <c r="J388" s="222"/>
      <c r="K388" s="199"/>
      <c r="L388" s="199"/>
    </row>
    <row r="389" spans="1:12" ht="24" customHeight="1">
      <c r="A389" s="225"/>
      <c r="B389" s="302" t="s">
        <v>823</v>
      </c>
      <c r="C389" s="260">
        <v>1</v>
      </c>
      <c r="D389" s="297">
        <v>10.25</v>
      </c>
      <c r="E389" s="260">
        <v>10.75</v>
      </c>
      <c r="F389" s="217"/>
      <c r="G389" s="217"/>
      <c r="H389" s="212">
        <f t="shared" ref="H389:H403" si="18">C389*D389*E389</f>
        <v>110.1875</v>
      </c>
      <c r="I389" s="219"/>
      <c r="J389" s="222"/>
      <c r="K389" s="199"/>
      <c r="L389" s="199"/>
    </row>
    <row r="390" spans="1:12" ht="24" customHeight="1">
      <c r="A390" s="225"/>
      <c r="B390" s="302" t="s">
        <v>824</v>
      </c>
      <c r="C390" s="260">
        <v>1</v>
      </c>
      <c r="D390" s="297">
        <v>7.5</v>
      </c>
      <c r="E390" s="260">
        <v>8</v>
      </c>
      <c r="F390" s="217"/>
      <c r="G390" s="217"/>
      <c r="H390" s="212">
        <f t="shared" si="18"/>
        <v>60</v>
      </c>
      <c r="I390" s="219"/>
      <c r="J390" s="222"/>
      <c r="K390" s="199"/>
      <c r="L390" s="199"/>
    </row>
    <row r="391" spans="1:12" ht="24" customHeight="1">
      <c r="A391" s="225"/>
      <c r="B391" s="231" t="s">
        <v>825</v>
      </c>
      <c r="C391" s="260">
        <v>1</v>
      </c>
      <c r="D391" s="297">
        <v>37.75</v>
      </c>
      <c r="E391" s="260">
        <v>11.5</v>
      </c>
      <c r="F391" s="217"/>
      <c r="G391" s="217"/>
      <c r="H391" s="212">
        <f t="shared" si="18"/>
        <v>434.125</v>
      </c>
      <c r="I391" s="219"/>
      <c r="J391" s="222"/>
      <c r="K391" s="199"/>
      <c r="L391" s="199"/>
    </row>
    <row r="392" spans="1:12" ht="24" customHeight="1">
      <c r="A392" s="225"/>
      <c r="B392" s="302"/>
      <c r="C392" s="260">
        <v>1</v>
      </c>
      <c r="D392" s="297">
        <v>37.5</v>
      </c>
      <c r="E392" s="260">
        <v>13</v>
      </c>
      <c r="F392" s="217"/>
      <c r="G392" s="217"/>
      <c r="H392" s="212">
        <f t="shared" si="18"/>
        <v>487.5</v>
      </c>
      <c r="I392" s="219"/>
      <c r="J392" s="222"/>
      <c r="K392" s="199"/>
      <c r="L392" s="199"/>
    </row>
    <row r="393" spans="1:12" ht="24" customHeight="1">
      <c r="A393" s="225"/>
      <c r="B393" s="302" t="s">
        <v>826</v>
      </c>
      <c r="C393" s="260">
        <v>1</v>
      </c>
      <c r="D393" s="297">
        <v>7</v>
      </c>
      <c r="E393" s="260">
        <v>12.5</v>
      </c>
      <c r="F393" s="217"/>
      <c r="G393" s="217"/>
      <c r="H393" s="212">
        <f t="shared" si="18"/>
        <v>87.5</v>
      </c>
      <c r="I393" s="219"/>
      <c r="J393" s="222"/>
      <c r="K393" s="199"/>
      <c r="L393" s="199"/>
    </row>
    <row r="394" spans="1:12" ht="24" customHeight="1">
      <c r="A394" s="225"/>
      <c r="B394" s="302" t="s">
        <v>607</v>
      </c>
      <c r="C394" s="260">
        <v>1</v>
      </c>
      <c r="D394" s="297">
        <v>12.25</v>
      </c>
      <c r="E394" s="260">
        <v>8.5</v>
      </c>
      <c r="F394" s="217"/>
      <c r="G394" s="217"/>
      <c r="H394" s="212">
        <f t="shared" si="18"/>
        <v>104.125</v>
      </c>
      <c r="I394" s="219"/>
      <c r="J394" s="222"/>
      <c r="K394" s="199"/>
      <c r="L394" s="199"/>
    </row>
    <row r="395" spans="1:12" ht="24" customHeight="1">
      <c r="A395" s="225"/>
      <c r="B395" s="302" t="s">
        <v>757</v>
      </c>
      <c r="C395" s="260">
        <v>1</v>
      </c>
      <c r="D395" s="297">
        <v>37.5</v>
      </c>
      <c r="E395" s="260">
        <v>24.75</v>
      </c>
      <c r="F395" s="217"/>
      <c r="G395" s="217"/>
      <c r="H395" s="212">
        <f t="shared" si="18"/>
        <v>928.125</v>
      </c>
      <c r="I395" s="219"/>
      <c r="J395" s="222"/>
      <c r="K395" s="199"/>
      <c r="L395" s="199"/>
    </row>
    <row r="396" spans="1:12" ht="24" customHeight="1">
      <c r="A396" s="225"/>
      <c r="B396" s="302" t="s">
        <v>758</v>
      </c>
      <c r="C396" s="260">
        <v>1</v>
      </c>
      <c r="D396" s="297">
        <v>10.5</v>
      </c>
      <c r="E396" s="260">
        <v>13.25</v>
      </c>
      <c r="F396" s="217"/>
      <c r="G396" s="217"/>
      <c r="H396" s="212">
        <f t="shared" si="18"/>
        <v>139.125</v>
      </c>
      <c r="I396" s="219"/>
      <c r="J396" s="222"/>
      <c r="K396" s="199"/>
      <c r="L396" s="199"/>
    </row>
    <row r="397" spans="1:12" ht="24" customHeight="1">
      <c r="A397" s="225"/>
      <c r="B397" s="302" t="s">
        <v>756</v>
      </c>
      <c r="C397" s="260">
        <v>1</v>
      </c>
      <c r="D397" s="297">
        <v>7.5</v>
      </c>
      <c r="E397" s="260">
        <v>7</v>
      </c>
      <c r="F397" s="217"/>
      <c r="G397" s="217"/>
      <c r="H397" s="212">
        <f t="shared" si="18"/>
        <v>52.5</v>
      </c>
      <c r="I397" s="219"/>
      <c r="J397" s="222"/>
      <c r="K397" s="199"/>
      <c r="L397" s="199"/>
    </row>
    <row r="398" spans="1:12" ht="24" customHeight="1">
      <c r="A398" s="225"/>
      <c r="B398" s="302"/>
      <c r="C398" s="260">
        <v>1</v>
      </c>
      <c r="D398" s="297">
        <v>17.5</v>
      </c>
      <c r="E398" s="260">
        <v>5</v>
      </c>
      <c r="F398" s="217"/>
      <c r="G398" s="217"/>
      <c r="H398" s="212">
        <f t="shared" si="18"/>
        <v>87.5</v>
      </c>
      <c r="I398" s="219"/>
      <c r="J398" s="222"/>
      <c r="K398" s="199"/>
      <c r="L398" s="199"/>
    </row>
    <row r="399" spans="1:12" ht="24" customHeight="1">
      <c r="A399" s="225"/>
      <c r="B399" s="302" t="s">
        <v>827</v>
      </c>
      <c r="C399" s="260">
        <v>1</v>
      </c>
      <c r="D399" s="297">
        <v>24.75</v>
      </c>
      <c r="E399" s="260">
        <v>11.75</v>
      </c>
      <c r="F399" s="217"/>
      <c r="G399" s="217"/>
      <c r="H399" s="212">
        <f t="shared" si="18"/>
        <v>290.8125</v>
      </c>
      <c r="I399" s="219"/>
      <c r="J399" s="222"/>
      <c r="K399" s="199"/>
      <c r="L399" s="199"/>
    </row>
    <row r="400" spans="1:12" ht="24" customHeight="1">
      <c r="A400" s="225"/>
      <c r="B400" s="302" t="s">
        <v>828</v>
      </c>
      <c r="C400" s="260">
        <v>1</v>
      </c>
      <c r="D400" s="297">
        <v>13.5</v>
      </c>
      <c r="E400" s="260">
        <v>15.5</v>
      </c>
      <c r="F400" s="217"/>
      <c r="G400" s="217"/>
      <c r="H400" s="212">
        <f t="shared" si="18"/>
        <v>209.25</v>
      </c>
      <c r="I400" s="219"/>
      <c r="J400" s="222"/>
      <c r="K400" s="199"/>
      <c r="L400" s="199"/>
    </row>
    <row r="401" spans="1:12" ht="24" customHeight="1">
      <c r="A401" s="225"/>
      <c r="B401" s="302" t="s">
        <v>608</v>
      </c>
      <c r="C401" s="260">
        <v>1</v>
      </c>
      <c r="D401" s="297">
        <v>13.5</v>
      </c>
      <c r="E401" s="260">
        <v>14.25</v>
      </c>
      <c r="F401" s="217"/>
      <c r="G401" s="217"/>
      <c r="H401" s="212">
        <f t="shared" si="18"/>
        <v>192.375</v>
      </c>
      <c r="I401" s="219"/>
      <c r="J401" s="222"/>
      <c r="K401" s="199"/>
      <c r="L401" s="199"/>
    </row>
    <row r="402" spans="1:12" ht="24" customHeight="1">
      <c r="A402" s="225"/>
      <c r="B402" s="302" t="s">
        <v>609</v>
      </c>
      <c r="C402" s="260">
        <v>1</v>
      </c>
      <c r="D402" s="297">
        <v>17</v>
      </c>
      <c r="E402" s="260">
        <v>19.25</v>
      </c>
      <c r="F402" s="217"/>
      <c r="G402" s="217"/>
      <c r="H402" s="212">
        <f t="shared" si="18"/>
        <v>327.25</v>
      </c>
      <c r="I402" s="219"/>
      <c r="J402" s="222"/>
      <c r="K402" s="199"/>
      <c r="L402" s="199"/>
    </row>
    <row r="403" spans="1:12" ht="24" customHeight="1">
      <c r="A403" s="225"/>
      <c r="B403" s="302" t="s">
        <v>829</v>
      </c>
      <c r="C403" s="260">
        <v>1</v>
      </c>
      <c r="D403" s="297">
        <v>3.25</v>
      </c>
      <c r="E403" s="260">
        <v>8.25</v>
      </c>
      <c r="F403" s="217"/>
      <c r="G403" s="217"/>
      <c r="H403" s="212">
        <f t="shared" si="18"/>
        <v>26.8125</v>
      </c>
      <c r="I403" s="219"/>
      <c r="J403" s="222"/>
      <c r="K403" s="199"/>
      <c r="L403" s="199"/>
    </row>
    <row r="404" spans="1:12" ht="24" customHeight="1">
      <c r="A404" s="225"/>
      <c r="B404" s="302"/>
      <c r="C404" s="260"/>
      <c r="D404" s="297"/>
      <c r="E404" s="260"/>
      <c r="F404" s="217"/>
      <c r="G404" s="217"/>
      <c r="H404" s="212"/>
      <c r="I404" s="219"/>
      <c r="J404" s="222"/>
      <c r="K404" s="199"/>
      <c r="L404" s="199"/>
    </row>
    <row r="405" spans="1:12" ht="21">
      <c r="A405" s="225"/>
      <c r="B405" s="302" t="s">
        <v>845</v>
      </c>
      <c r="C405" s="260"/>
      <c r="D405" s="297"/>
      <c r="E405" s="260"/>
      <c r="F405" s="217"/>
      <c r="G405" s="217"/>
      <c r="H405" s="212"/>
      <c r="I405" s="219"/>
      <c r="J405" s="222"/>
      <c r="K405" s="199"/>
      <c r="L405" s="199"/>
    </row>
    <row r="406" spans="1:12" ht="24" customHeight="1">
      <c r="A406" s="225"/>
      <c r="B406" s="302" t="s">
        <v>846</v>
      </c>
      <c r="C406" s="260">
        <v>1</v>
      </c>
      <c r="D406" s="297">
        <f>7+7.5+0.5+4.25+3</f>
        <v>22.25</v>
      </c>
      <c r="E406" s="260">
        <v>0.25</v>
      </c>
      <c r="F406" s="217"/>
      <c r="G406" s="217"/>
      <c r="H406" s="212">
        <f t="shared" ref="H406:H416" si="19">C406*D406*E406</f>
        <v>5.5625</v>
      </c>
      <c r="I406" s="219"/>
      <c r="J406" s="222"/>
      <c r="K406" s="199"/>
      <c r="L406" s="199"/>
    </row>
    <row r="407" spans="1:12" ht="24" customHeight="1">
      <c r="A407" s="225"/>
      <c r="B407" s="302" t="s">
        <v>825</v>
      </c>
      <c r="C407" s="260">
        <v>1</v>
      </c>
      <c r="D407" s="297">
        <f>2.25+16+2.25+11.5+49+13</f>
        <v>94</v>
      </c>
      <c r="E407" s="260">
        <v>0.25</v>
      </c>
      <c r="F407" s="217"/>
      <c r="G407" s="217"/>
      <c r="H407" s="212">
        <f t="shared" si="19"/>
        <v>23.5</v>
      </c>
      <c r="I407" s="219"/>
      <c r="J407" s="222"/>
      <c r="K407" s="199"/>
      <c r="L407" s="199"/>
    </row>
    <row r="408" spans="1:12" ht="24" customHeight="1">
      <c r="A408" s="225"/>
      <c r="B408" s="302" t="s">
        <v>826</v>
      </c>
      <c r="C408" s="260">
        <v>1</v>
      </c>
      <c r="D408" s="297">
        <f>7+12.5+7</f>
        <v>26.5</v>
      </c>
      <c r="E408" s="260">
        <v>0.25</v>
      </c>
      <c r="F408" s="217"/>
      <c r="G408" s="217"/>
      <c r="H408" s="212">
        <f t="shared" si="19"/>
        <v>6.625</v>
      </c>
      <c r="I408" s="219"/>
      <c r="J408" s="222"/>
      <c r="K408" s="199"/>
      <c r="L408" s="199"/>
    </row>
    <row r="409" spans="1:12" ht="24" customHeight="1">
      <c r="A409" s="225"/>
      <c r="B409" s="302" t="s">
        <v>757</v>
      </c>
      <c r="C409" s="260">
        <v>1</v>
      </c>
      <c r="D409" s="297">
        <f>37.25+24.75</f>
        <v>62</v>
      </c>
      <c r="E409" s="260">
        <v>0.25</v>
      </c>
      <c r="F409" s="217"/>
      <c r="G409" s="217"/>
      <c r="H409" s="212">
        <f t="shared" si="19"/>
        <v>15.5</v>
      </c>
      <c r="I409" s="219"/>
      <c r="J409" s="222"/>
      <c r="K409" s="199"/>
      <c r="L409" s="199"/>
    </row>
    <row r="410" spans="1:12" ht="24" customHeight="1">
      <c r="A410" s="225"/>
      <c r="B410" s="302" t="s">
        <v>758</v>
      </c>
      <c r="C410" s="260">
        <v>1</v>
      </c>
      <c r="D410" s="297">
        <f>13+10.5+13</f>
        <v>36.5</v>
      </c>
      <c r="E410" s="260">
        <v>0.25</v>
      </c>
      <c r="F410" s="217"/>
      <c r="G410" s="217"/>
      <c r="H410" s="212">
        <f t="shared" si="19"/>
        <v>9.125</v>
      </c>
      <c r="I410" s="219"/>
      <c r="J410" s="222"/>
      <c r="K410" s="199"/>
      <c r="L410" s="199"/>
    </row>
    <row r="411" spans="1:12" ht="24" customHeight="1">
      <c r="A411" s="225"/>
      <c r="B411" s="302" t="s">
        <v>756</v>
      </c>
      <c r="C411" s="260">
        <v>1</v>
      </c>
      <c r="D411" s="297">
        <f>9.5+12.25+1.75+2+0.75+3.25+0.5</f>
        <v>30</v>
      </c>
      <c r="E411" s="260">
        <v>0.25</v>
      </c>
      <c r="F411" s="217"/>
      <c r="G411" s="217"/>
      <c r="H411" s="212">
        <f t="shared" si="19"/>
        <v>7.5</v>
      </c>
      <c r="I411" s="219"/>
      <c r="J411" s="222"/>
      <c r="K411" s="199"/>
      <c r="L411" s="199"/>
    </row>
    <row r="412" spans="1:12" ht="24" customHeight="1">
      <c r="A412" s="225"/>
      <c r="B412" s="302" t="s">
        <v>827</v>
      </c>
      <c r="C412" s="260">
        <v>1</v>
      </c>
      <c r="D412" s="297">
        <f>9.5+11.25+25+11.75</f>
        <v>57.5</v>
      </c>
      <c r="E412" s="260">
        <v>0.25</v>
      </c>
      <c r="F412" s="217"/>
      <c r="G412" s="217"/>
      <c r="H412" s="212">
        <f t="shared" si="19"/>
        <v>14.375</v>
      </c>
      <c r="I412" s="219"/>
      <c r="J412" s="222"/>
      <c r="K412" s="199"/>
      <c r="L412" s="199"/>
    </row>
    <row r="413" spans="1:12" ht="24" customHeight="1">
      <c r="A413" s="225"/>
      <c r="B413" s="302" t="s">
        <v>828</v>
      </c>
      <c r="C413" s="260">
        <v>1</v>
      </c>
      <c r="D413" s="297">
        <f>12.5+14+15.5+10.25</f>
        <v>52.25</v>
      </c>
      <c r="E413" s="260">
        <v>0.25</v>
      </c>
      <c r="F413" s="217"/>
      <c r="G413" s="217"/>
      <c r="H413" s="212">
        <f t="shared" si="19"/>
        <v>13.0625</v>
      </c>
      <c r="I413" s="219"/>
      <c r="J413" s="222"/>
      <c r="K413" s="199"/>
      <c r="L413" s="199"/>
    </row>
    <row r="414" spans="1:12" ht="24" customHeight="1">
      <c r="A414" s="225"/>
      <c r="B414" s="302" t="s">
        <v>608</v>
      </c>
      <c r="C414" s="260">
        <v>1</v>
      </c>
      <c r="D414" s="297">
        <f>10.25+14.25+2.25+9+15</f>
        <v>50.75</v>
      </c>
      <c r="E414" s="260">
        <v>0.25</v>
      </c>
      <c r="F414" s="217"/>
      <c r="G414" s="217"/>
      <c r="H414" s="212">
        <f t="shared" si="19"/>
        <v>12.6875</v>
      </c>
      <c r="I414" s="219"/>
      <c r="J414" s="222"/>
      <c r="K414" s="199"/>
      <c r="L414" s="199"/>
    </row>
    <row r="415" spans="1:12" ht="24" customHeight="1">
      <c r="A415" s="225"/>
      <c r="B415" s="302" t="s">
        <v>609</v>
      </c>
      <c r="C415" s="260">
        <v>1</v>
      </c>
      <c r="D415" s="297">
        <f>6+8+1+8+19</f>
        <v>42</v>
      </c>
      <c r="E415" s="260">
        <v>0.25</v>
      </c>
      <c r="F415" s="217"/>
      <c r="G415" s="217"/>
      <c r="H415" s="212">
        <f t="shared" si="19"/>
        <v>10.5</v>
      </c>
      <c r="I415" s="219"/>
      <c r="J415" s="222"/>
      <c r="K415" s="199"/>
      <c r="L415" s="199"/>
    </row>
    <row r="416" spans="1:12" ht="24" customHeight="1">
      <c r="A416" s="225"/>
      <c r="B416" s="302" t="s">
        <v>829</v>
      </c>
      <c r="C416" s="260">
        <v>1</v>
      </c>
      <c r="D416" s="297">
        <f>8+8</f>
        <v>16</v>
      </c>
      <c r="E416" s="260">
        <v>0.25</v>
      </c>
      <c r="F416" s="217"/>
      <c r="G416" s="217"/>
      <c r="H416" s="212">
        <f t="shared" si="19"/>
        <v>4</v>
      </c>
      <c r="I416" s="219"/>
      <c r="J416" s="222"/>
      <c r="K416" s="199"/>
      <c r="L416" s="199"/>
    </row>
    <row r="417" spans="1:12" ht="24" customHeight="1">
      <c r="A417" s="417"/>
      <c r="B417" s="195" t="s">
        <v>929</v>
      </c>
      <c r="C417" s="303"/>
      <c r="D417" s="297"/>
      <c r="E417" s="260"/>
      <c r="F417" s="217"/>
      <c r="G417" s="217"/>
      <c r="H417" s="212"/>
      <c r="I417" s="219"/>
      <c r="J417" s="222"/>
      <c r="K417" s="199"/>
      <c r="L417" s="199"/>
    </row>
    <row r="418" spans="1:12" ht="24" customHeight="1">
      <c r="A418" s="417"/>
      <c r="B418" s="237" t="s">
        <v>830</v>
      </c>
      <c r="C418" s="303">
        <v>1</v>
      </c>
      <c r="D418" s="297">
        <v>5</v>
      </c>
      <c r="E418" s="260">
        <v>7.5</v>
      </c>
      <c r="F418" s="217"/>
      <c r="G418" s="217"/>
      <c r="H418" s="212">
        <f t="shared" ref="H418:H425" si="20">C418*D418*E418</f>
        <v>37.5</v>
      </c>
      <c r="I418" s="219"/>
      <c r="J418" s="222"/>
      <c r="K418" s="199"/>
      <c r="L418" s="199"/>
    </row>
    <row r="419" spans="1:12" ht="24" customHeight="1">
      <c r="A419" s="417"/>
      <c r="B419" s="237" t="s">
        <v>832</v>
      </c>
      <c r="C419" s="304">
        <v>1</v>
      </c>
      <c r="D419" s="305">
        <v>6.5</v>
      </c>
      <c r="E419" s="306">
        <v>6</v>
      </c>
      <c r="F419" s="234"/>
      <c r="G419" s="234"/>
      <c r="H419" s="212">
        <f t="shared" si="20"/>
        <v>39</v>
      </c>
      <c r="I419" s="219"/>
      <c r="J419" s="222"/>
      <c r="K419" s="199"/>
      <c r="L419" s="199"/>
    </row>
    <row r="420" spans="1:12" ht="24" customHeight="1">
      <c r="A420" s="422"/>
      <c r="B420" s="237" t="s">
        <v>833</v>
      </c>
      <c r="C420" s="307">
        <v>1</v>
      </c>
      <c r="D420" s="239">
        <v>3.5</v>
      </c>
      <c r="E420" s="238">
        <v>12</v>
      </c>
      <c r="F420" s="240"/>
      <c r="G420" s="334"/>
      <c r="H420" s="212">
        <f t="shared" si="20"/>
        <v>42</v>
      </c>
      <c r="I420" s="219"/>
      <c r="J420" s="222"/>
      <c r="K420" s="199"/>
      <c r="L420" s="199"/>
    </row>
    <row r="421" spans="1:12" ht="24" customHeight="1">
      <c r="A421" s="424"/>
      <c r="B421" s="237" t="s">
        <v>834</v>
      </c>
      <c r="C421" s="307">
        <v>1</v>
      </c>
      <c r="D421" s="239">
        <v>4.75</v>
      </c>
      <c r="E421" s="238">
        <v>3.5</v>
      </c>
      <c r="F421" s="240"/>
      <c r="G421" s="334"/>
      <c r="H421" s="212">
        <f t="shared" si="20"/>
        <v>16.625</v>
      </c>
      <c r="I421" s="289"/>
      <c r="J421" s="222"/>
      <c r="K421" s="199"/>
      <c r="L421" s="199"/>
    </row>
    <row r="422" spans="1:12" ht="24" customHeight="1">
      <c r="A422" s="425"/>
      <c r="B422" s="308" t="s">
        <v>836</v>
      </c>
      <c r="C422" s="309">
        <v>1</v>
      </c>
      <c r="D422" s="291">
        <v>4</v>
      </c>
      <c r="E422" s="290">
        <v>4</v>
      </c>
      <c r="F422" s="292"/>
      <c r="G422" s="334"/>
      <c r="H422" s="235">
        <f t="shared" si="20"/>
        <v>16</v>
      </c>
      <c r="I422" s="293"/>
      <c r="J422" s="222"/>
      <c r="K422" s="199"/>
      <c r="L422" s="199"/>
    </row>
    <row r="423" spans="1:12" ht="24" customHeight="1">
      <c r="A423" s="243"/>
      <c r="B423" s="245" t="s">
        <v>837</v>
      </c>
      <c r="C423" s="309">
        <v>1</v>
      </c>
      <c r="D423" s="245">
        <v>3.75</v>
      </c>
      <c r="E423" s="245">
        <v>12</v>
      </c>
      <c r="F423" s="245"/>
      <c r="G423" s="593"/>
      <c r="H423" s="235">
        <f t="shared" si="20"/>
        <v>45</v>
      </c>
      <c r="I423" s="242"/>
      <c r="J423" s="222"/>
      <c r="K423" s="199"/>
      <c r="L423" s="199"/>
    </row>
    <row r="424" spans="1:12" ht="24" customHeight="1">
      <c r="A424" s="243"/>
      <c r="B424" s="237" t="s">
        <v>839</v>
      </c>
      <c r="C424" s="238">
        <v>1</v>
      </c>
      <c r="D424" s="239">
        <v>8</v>
      </c>
      <c r="E424" s="238">
        <v>4</v>
      </c>
      <c r="F424" s="240"/>
      <c r="G424" s="240"/>
      <c r="H424" s="241">
        <f t="shared" si="20"/>
        <v>32</v>
      </c>
      <c r="I424" s="242"/>
      <c r="J424" s="222"/>
      <c r="K424" s="199"/>
      <c r="L424" s="199"/>
    </row>
    <row r="425" spans="1:12" ht="24" customHeight="1">
      <c r="A425" s="243"/>
      <c r="B425" s="308" t="s">
        <v>838</v>
      </c>
      <c r="C425" s="238">
        <v>1</v>
      </c>
      <c r="D425" s="239">
        <v>3.75</v>
      </c>
      <c r="E425" s="238">
        <v>8</v>
      </c>
      <c r="F425" s="240"/>
      <c r="G425" s="240"/>
      <c r="H425" s="241">
        <f t="shared" si="20"/>
        <v>30</v>
      </c>
      <c r="I425" s="242"/>
      <c r="J425" s="222"/>
      <c r="K425" s="199"/>
      <c r="L425" s="199"/>
    </row>
    <row r="426" spans="1:12" ht="24" customHeight="1">
      <c r="A426" s="243"/>
      <c r="B426" s="237"/>
      <c r="C426" s="238"/>
      <c r="D426" s="239"/>
      <c r="E426" s="238"/>
      <c r="F426" s="240"/>
      <c r="G426" s="240"/>
      <c r="H426" s="241"/>
      <c r="I426" s="242"/>
      <c r="J426" s="222"/>
      <c r="K426" s="199"/>
      <c r="L426" s="199"/>
    </row>
    <row r="427" spans="1:12" ht="21">
      <c r="A427" s="225"/>
      <c r="B427" s="302" t="s">
        <v>845</v>
      </c>
      <c r="C427" s="260"/>
      <c r="D427" s="297"/>
      <c r="E427" s="260"/>
      <c r="F427" s="217"/>
      <c r="G427" s="217"/>
      <c r="H427" s="212"/>
      <c r="I427" s="219"/>
      <c r="J427" s="222"/>
      <c r="K427" s="199"/>
      <c r="L427" s="199"/>
    </row>
    <row r="428" spans="1:12" ht="24" customHeight="1">
      <c r="A428" s="417"/>
      <c r="B428" s="237" t="s">
        <v>830</v>
      </c>
      <c r="C428" s="303">
        <v>1</v>
      </c>
      <c r="D428" s="297">
        <v>5</v>
      </c>
      <c r="E428" s="260">
        <v>7.5</v>
      </c>
      <c r="F428" s="217"/>
      <c r="G428" s="217"/>
      <c r="H428" s="212">
        <f t="shared" ref="H428:H435" si="21">C428*D428*E428</f>
        <v>37.5</v>
      </c>
      <c r="I428" s="219"/>
      <c r="J428" s="222"/>
      <c r="K428" s="199"/>
      <c r="L428" s="199"/>
    </row>
    <row r="429" spans="1:12" ht="24" customHeight="1">
      <c r="A429" s="417"/>
      <c r="B429" s="237" t="s">
        <v>832</v>
      </c>
      <c r="C429" s="304">
        <v>1</v>
      </c>
      <c r="D429" s="305">
        <v>6.5</v>
      </c>
      <c r="E429" s="306">
        <v>6</v>
      </c>
      <c r="F429" s="234"/>
      <c r="G429" s="234"/>
      <c r="H429" s="212">
        <f t="shared" si="21"/>
        <v>39</v>
      </c>
      <c r="I429" s="219"/>
      <c r="J429" s="222"/>
      <c r="K429" s="199"/>
      <c r="L429" s="199"/>
    </row>
    <row r="430" spans="1:12" ht="24" customHeight="1">
      <c r="A430" s="422"/>
      <c r="B430" s="237" t="s">
        <v>833</v>
      </c>
      <c r="C430" s="307">
        <v>1</v>
      </c>
      <c r="D430" s="239">
        <v>3.5</v>
      </c>
      <c r="E430" s="238">
        <v>12</v>
      </c>
      <c r="F430" s="240"/>
      <c r="G430" s="334"/>
      <c r="H430" s="212">
        <f t="shared" si="21"/>
        <v>42</v>
      </c>
      <c r="I430" s="219"/>
      <c r="J430" s="222"/>
      <c r="K430" s="199"/>
      <c r="L430" s="199"/>
    </row>
    <row r="431" spans="1:12" ht="24" customHeight="1">
      <c r="A431" s="424"/>
      <c r="B431" s="237" t="s">
        <v>834</v>
      </c>
      <c r="C431" s="307">
        <v>1</v>
      </c>
      <c r="D431" s="239">
        <v>4.75</v>
      </c>
      <c r="E431" s="238">
        <v>3.5</v>
      </c>
      <c r="F431" s="240"/>
      <c r="G431" s="334"/>
      <c r="H431" s="212">
        <f t="shared" si="21"/>
        <v>16.625</v>
      </c>
      <c r="I431" s="289"/>
      <c r="J431" s="222"/>
      <c r="K431" s="199"/>
      <c r="L431" s="199"/>
    </row>
    <row r="432" spans="1:12" ht="24" customHeight="1">
      <c r="A432" s="425"/>
      <c r="B432" s="308" t="s">
        <v>836</v>
      </c>
      <c r="C432" s="309">
        <v>1</v>
      </c>
      <c r="D432" s="291">
        <v>4</v>
      </c>
      <c r="E432" s="290">
        <v>4</v>
      </c>
      <c r="F432" s="292"/>
      <c r="G432" s="334"/>
      <c r="H432" s="235">
        <f t="shared" si="21"/>
        <v>16</v>
      </c>
      <c r="I432" s="293"/>
      <c r="J432" s="222"/>
      <c r="K432" s="199"/>
      <c r="L432" s="199"/>
    </row>
    <row r="433" spans="1:12" ht="24" customHeight="1">
      <c r="A433" s="243"/>
      <c r="B433" s="245" t="s">
        <v>837</v>
      </c>
      <c r="C433" s="309">
        <v>1</v>
      </c>
      <c r="D433" s="245">
        <v>3.75</v>
      </c>
      <c r="E433" s="245">
        <v>12</v>
      </c>
      <c r="F433" s="245"/>
      <c r="G433" s="593"/>
      <c r="H433" s="235">
        <f t="shared" si="21"/>
        <v>45</v>
      </c>
      <c r="I433" s="242"/>
      <c r="J433" s="222"/>
      <c r="K433" s="199"/>
      <c r="L433" s="199"/>
    </row>
    <row r="434" spans="1:12" ht="24" customHeight="1">
      <c r="A434" s="243"/>
      <c r="B434" s="237" t="s">
        <v>839</v>
      </c>
      <c r="C434" s="238">
        <v>1</v>
      </c>
      <c r="D434" s="239">
        <v>8</v>
      </c>
      <c r="E434" s="238">
        <v>4</v>
      </c>
      <c r="F434" s="240"/>
      <c r="G434" s="240"/>
      <c r="H434" s="241">
        <f t="shared" si="21"/>
        <v>32</v>
      </c>
      <c r="I434" s="242"/>
      <c r="J434" s="222"/>
      <c r="K434" s="199"/>
      <c r="L434" s="199"/>
    </row>
    <row r="435" spans="1:12" ht="24" customHeight="1">
      <c r="A435" s="243"/>
      <c r="B435" s="308" t="s">
        <v>838</v>
      </c>
      <c r="C435" s="238">
        <v>1</v>
      </c>
      <c r="D435" s="239">
        <v>3.75</v>
      </c>
      <c r="E435" s="238">
        <v>8</v>
      </c>
      <c r="F435" s="240"/>
      <c r="G435" s="240"/>
      <c r="H435" s="241">
        <f t="shared" si="21"/>
        <v>30</v>
      </c>
      <c r="I435" s="242"/>
      <c r="J435" s="222"/>
      <c r="K435" s="199"/>
      <c r="L435" s="199"/>
    </row>
    <row r="436" spans="1:12" ht="24" customHeight="1">
      <c r="A436" s="243"/>
      <c r="B436" s="237"/>
      <c r="C436" s="238"/>
      <c r="D436" s="239"/>
      <c r="E436" s="238"/>
      <c r="F436" s="240"/>
      <c r="G436" s="240"/>
      <c r="H436" s="241"/>
      <c r="I436" s="242"/>
      <c r="J436" s="222"/>
      <c r="K436" s="199"/>
      <c r="L436" s="199"/>
    </row>
    <row r="437" spans="1:12" ht="24" customHeight="1">
      <c r="A437" s="243"/>
      <c r="B437" s="194" t="s">
        <v>930</v>
      </c>
      <c r="C437" s="238"/>
      <c r="D437" s="239"/>
      <c r="E437" s="238"/>
      <c r="F437" s="240"/>
      <c r="G437" s="240"/>
      <c r="H437" s="241"/>
      <c r="I437" s="242"/>
      <c r="J437" s="222"/>
      <c r="K437" s="199"/>
      <c r="L437" s="199"/>
    </row>
    <row r="438" spans="1:12" ht="24" customHeight="1">
      <c r="A438" s="243"/>
      <c r="B438" s="237" t="s">
        <v>840</v>
      </c>
      <c r="C438" s="304">
        <v>1</v>
      </c>
      <c r="D438" s="305">
        <v>6.5</v>
      </c>
      <c r="E438" s="306">
        <v>6</v>
      </c>
      <c r="F438" s="234"/>
      <c r="G438" s="234"/>
      <c r="H438" s="212">
        <f t="shared" ref="H438:H444" si="22">C438*D438*E438</f>
        <v>39</v>
      </c>
      <c r="I438" s="242"/>
      <c r="J438" s="222"/>
      <c r="K438" s="199"/>
      <c r="L438" s="199"/>
    </row>
    <row r="439" spans="1:12" ht="24" customHeight="1">
      <c r="A439" s="243"/>
      <c r="B439" s="237" t="s">
        <v>833</v>
      </c>
      <c r="C439" s="307">
        <v>1</v>
      </c>
      <c r="D439" s="239">
        <v>3.5</v>
      </c>
      <c r="E439" s="238">
        <v>12</v>
      </c>
      <c r="F439" s="240"/>
      <c r="G439" s="334"/>
      <c r="H439" s="212">
        <f t="shared" si="22"/>
        <v>42</v>
      </c>
      <c r="I439" s="242"/>
      <c r="J439" s="222"/>
      <c r="K439" s="199"/>
      <c r="L439" s="199"/>
    </row>
    <row r="440" spans="1:12" ht="24" customHeight="1">
      <c r="A440" s="426"/>
      <c r="B440" s="237" t="s">
        <v>834</v>
      </c>
      <c r="C440" s="307">
        <v>1</v>
      </c>
      <c r="D440" s="239">
        <v>4.75</v>
      </c>
      <c r="E440" s="238">
        <v>3.5</v>
      </c>
      <c r="F440" s="240"/>
      <c r="G440" s="334"/>
      <c r="H440" s="212">
        <f t="shared" si="22"/>
        <v>16.625</v>
      </c>
      <c r="I440" s="310"/>
      <c r="J440" s="222"/>
      <c r="K440" s="199"/>
      <c r="L440" s="199"/>
    </row>
    <row r="441" spans="1:12" ht="24" customHeight="1">
      <c r="A441" s="424"/>
      <c r="B441" s="308" t="s">
        <v>836</v>
      </c>
      <c r="C441" s="309">
        <v>1</v>
      </c>
      <c r="D441" s="291">
        <v>4</v>
      </c>
      <c r="E441" s="290">
        <v>4</v>
      </c>
      <c r="F441" s="292"/>
      <c r="G441" s="334"/>
      <c r="H441" s="235">
        <f t="shared" si="22"/>
        <v>16</v>
      </c>
      <c r="I441" s="289"/>
      <c r="J441" s="222"/>
      <c r="K441" s="199"/>
      <c r="L441" s="199"/>
    </row>
    <row r="442" spans="1:12" ht="24" customHeight="1">
      <c r="A442" s="424"/>
      <c r="B442" s="245" t="s">
        <v>837</v>
      </c>
      <c r="C442" s="309">
        <v>1</v>
      </c>
      <c r="D442" s="245">
        <v>3.75</v>
      </c>
      <c r="E442" s="245">
        <v>12</v>
      </c>
      <c r="F442" s="245"/>
      <c r="G442" s="593"/>
      <c r="H442" s="235">
        <f t="shared" si="22"/>
        <v>45</v>
      </c>
      <c r="I442" s="289"/>
      <c r="J442" s="222"/>
      <c r="K442" s="199"/>
      <c r="L442" s="199"/>
    </row>
    <row r="443" spans="1:12" ht="24" customHeight="1">
      <c r="A443" s="424"/>
      <c r="B443" s="237" t="s">
        <v>839</v>
      </c>
      <c r="C443" s="238">
        <v>1</v>
      </c>
      <c r="D443" s="239">
        <v>8</v>
      </c>
      <c r="E443" s="238">
        <v>4</v>
      </c>
      <c r="F443" s="240"/>
      <c r="G443" s="240"/>
      <c r="H443" s="241">
        <f t="shared" si="22"/>
        <v>32</v>
      </c>
      <c r="I443" s="289"/>
      <c r="J443" s="222"/>
      <c r="K443" s="199"/>
      <c r="L443" s="199"/>
    </row>
    <row r="444" spans="1:12" ht="24" customHeight="1">
      <c r="A444" s="424"/>
      <c r="B444" s="308" t="s">
        <v>838</v>
      </c>
      <c r="C444" s="238">
        <v>1</v>
      </c>
      <c r="D444" s="239">
        <v>3.75</v>
      </c>
      <c r="E444" s="238">
        <v>8</v>
      </c>
      <c r="F444" s="240"/>
      <c r="G444" s="240"/>
      <c r="H444" s="241">
        <f t="shared" si="22"/>
        <v>30</v>
      </c>
      <c r="I444" s="289"/>
      <c r="J444" s="222"/>
      <c r="K444" s="199"/>
      <c r="L444" s="199"/>
    </row>
    <row r="445" spans="1:12" ht="24" customHeight="1">
      <c r="A445" s="424"/>
      <c r="B445" s="237"/>
      <c r="C445" s="307"/>
      <c r="D445" s="239"/>
      <c r="E445" s="238"/>
      <c r="F445" s="240"/>
      <c r="G445" s="240"/>
      <c r="H445" s="241"/>
      <c r="I445" s="289"/>
      <c r="J445" s="222"/>
      <c r="K445" s="199"/>
      <c r="L445" s="199"/>
    </row>
    <row r="446" spans="1:12" ht="21">
      <c r="A446" s="225"/>
      <c r="B446" s="302" t="s">
        <v>845</v>
      </c>
      <c r="C446" s="260"/>
      <c r="D446" s="297"/>
      <c r="E446" s="260"/>
      <c r="F446" s="217"/>
      <c r="G446" s="217"/>
      <c r="H446" s="212"/>
      <c r="I446" s="219"/>
      <c r="J446" s="222"/>
      <c r="K446" s="199"/>
      <c r="L446" s="199"/>
    </row>
    <row r="447" spans="1:12" ht="24" customHeight="1">
      <c r="A447" s="243"/>
      <c r="B447" s="237" t="s">
        <v>840</v>
      </c>
      <c r="C447" s="304">
        <v>1</v>
      </c>
      <c r="D447" s="305">
        <v>6.5</v>
      </c>
      <c r="E447" s="306">
        <v>6</v>
      </c>
      <c r="F447" s="234"/>
      <c r="G447" s="234"/>
      <c r="H447" s="212">
        <f t="shared" ref="H447:H453" si="23">C447*D447*E447</f>
        <v>39</v>
      </c>
      <c r="I447" s="242"/>
      <c r="J447" s="222"/>
      <c r="K447" s="199"/>
      <c r="L447" s="199"/>
    </row>
    <row r="448" spans="1:12" ht="24" customHeight="1">
      <c r="A448" s="243"/>
      <c r="B448" s="237" t="s">
        <v>833</v>
      </c>
      <c r="C448" s="307">
        <v>1</v>
      </c>
      <c r="D448" s="239">
        <v>3.5</v>
      </c>
      <c r="E448" s="238">
        <v>12</v>
      </c>
      <c r="F448" s="240"/>
      <c r="G448" s="334"/>
      <c r="H448" s="212">
        <f t="shared" si="23"/>
        <v>42</v>
      </c>
      <c r="I448" s="242"/>
      <c r="J448" s="222"/>
      <c r="K448" s="199"/>
      <c r="L448" s="199"/>
    </row>
    <row r="449" spans="1:12" ht="24" customHeight="1">
      <c r="A449" s="426"/>
      <c r="B449" s="237" t="s">
        <v>834</v>
      </c>
      <c r="C449" s="307">
        <v>1</v>
      </c>
      <c r="D449" s="239">
        <v>4.75</v>
      </c>
      <c r="E449" s="238">
        <v>3.5</v>
      </c>
      <c r="F449" s="240"/>
      <c r="G449" s="334"/>
      <c r="H449" s="212">
        <f t="shared" si="23"/>
        <v>16.625</v>
      </c>
      <c r="I449" s="310"/>
      <c r="J449" s="222"/>
      <c r="K449" s="199"/>
      <c r="L449" s="199"/>
    </row>
    <row r="450" spans="1:12" ht="24" customHeight="1">
      <c r="A450" s="424"/>
      <c r="B450" s="308" t="s">
        <v>836</v>
      </c>
      <c r="C450" s="309">
        <v>1</v>
      </c>
      <c r="D450" s="291">
        <v>4</v>
      </c>
      <c r="E450" s="290">
        <v>4</v>
      </c>
      <c r="F450" s="292"/>
      <c r="G450" s="334"/>
      <c r="H450" s="235">
        <f t="shared" si="23"/>
        <v>16</v>
      </c>
      <c r="I450" s="289"/>
      <c r="J450" s="222"/>
      <c r="K450" s="199"/>
      <c r="L450" s="199"/>
    </row>
    <row r="451" spans="1:12" ht="24" customHeight="1">
      <c r="A451" s="424"/>
      <c r="B451" s="245" t="s">
        <v>837</v>
      </c>
      <c r="C451" s="309">
        <v>1</v>
      </c>
      <c r="D451" s="245">
        <v>3.75</v>
      </c>
      <c r="E451" s="245">
        <v>12</v>
      </c>
      <c r="F451" s="245"/>
      <c r="G451" s="593"/>
      <c r="H451" s="235">
        <f t="shared" si="23"/>
        <v>45</v>
      </c>
      <c r="I451" s="289"/>
      <c r="J451" s="222"/>
      <c r="K451" s="199"/>
      <c r="L451" s="199"/>
    </row>
    <row r="452" spans="1:12" ht="24" customHeight="1">
      <c r="A452" s="424"/>
      <c r="B452" s="237" t="s">
        <v>839</v>
      </c>
      <c r="C452" s="238">
        <v>1</v>
      </c>
      <c r="D452" s="239">
        <v>8</v>
      </c>
      <c r="E452" s="238">
        <v>4</v>
      </c>
      <c r="F452" s="240"/>
      <c r="G452" s="240"/>
      <c r="H452" s="241">
        <f t="shared" si="23"/>
        <v>32</v>
      </c>
      <c r="I452" s="289"/>
      <c r="J452" s="222"/>
      <c r="K452" s="199"/>
      <c r="L452" s="199"/>
    </row>
    <row r="453" spans="1:12" ht="24" customHeight="1">
      <c r="A453" s="425"/>
      <c r="B453" s="308" t="s">
        <v>838</v>
      </c>
      <c r="C453" s="290">
        <v>1</v>
      </c>
      <c r="D453" s="291">
        <v>3.75</v>
      </c>
      <c r="E453" s="238">
        <v>8</v>
      </c>
      <c r="F453" s="240"/>
      <c r="G453" s="240"/>
      <c r="H453" s="241">
        <f t="shared" si="23"/>
        <v>30</v>
      </c>
      <c r="I453" s="289"/>
      <c r="J453" s="222"/>
      <c r="K453" s="199"/>
      <c r="L453" s="199"/>
    </row>
    <row r="454" spans="1:12" ht="24" customHeight="1">
      <c r="A454" s="243"/>
      <c r="B454" s="237"/>
      <c r="C454" s="238"/>
      <c r="D454" s="239"/>
      <c r="E454" s="290"/>
      <c r="F454" s="292"/>
      <c r="G454" s="292"/>
      <c r="H454" s="311"/>
      <c r="I454" s="293"/>
      <c r="J454" s="222"/>
      <c r="K454" s="199"/>
      <c r="L454" s="199"/>
    </row>
    <row r="455" spans="1:12" ht="24" customHeight="1">
      <c r="A455" s="427"/>
      <c r="B455" s="196" t="s">
        <v>931</v>
      </c>
      <c r="C455" s="312"/>
      <c r="D455" s="313"/>
      <c r="E455" s="290"/>
      <c r="F455" s="292"/>
      <c r="G455" s="292"/>
      <c r="H455" s="311"/>
      <c r="I455" s="293"/>
      <c r="J455" s="222"/>
      <c r="K455" s="199"/>
      <c r="L455" s="199"/>
    </row>
    <row r="456" spans="1:12" ht="24" customHeight="1">
      <c r="A456" s="243"/>
      <c r="B456" s="237" t="s">
        <v>841</v>
      </c>
      <c r="C456" s="238">
        <v>1</v>
      </c>
      <c r="D456" s="239">
        <v>6.5</v>
      </c>
      <c r="E456" s="238">
        <v>6</v>
      </c>
      <c r="F456" s="240"/>
      <c r="G456" s="240"/>
      <c r="H456" s="241">
        <f>C456*D456*E456</f>
        <v>39</v>
      </c>
      <c r="I456" s="242"/>
      <c r="J456" s="222"/>
      <c r="K456" s="199"/>
      <c r="L456" s="199"/>
    </row>
    <row r="457" spans="1:12" ht="24" customHeight="1">
      <c r="A457" s="243"/>
      <c r="B457" s="237" t="s">
        <v>842</v>
      </c>
      <c r="C457" s="238">
        <v>1</v>
      </c>
      <c r="D457" s="239">
        <v>4</v>
      </c>
      <c r="E457" s="238">
        <v>7.5</v>
      </c>
      <c r="F457" s="240"/>
      <c r="G457" s="240"/>
      <c r="H457" s="241">
        <f>C457*D457*E457</f>
        <v>30</v>
      </c>
      <c r="I457" s="242"/>
      <c r="J457" s="222"/>
      <c r="K457" s="199"/>
      <c r="L457" s="199"/>
    </row>
    <row r="458" spans="1:12" ht="24" customHeight="1">
      <c r="A458" s="243"/>
      <c r="B458" s="237" t="s">
        <v>843</v>
      </c>
      <c r="C458" s="238">
        <v>1</v>
      </c>
      <c r="D458" s="239">
        <v>7.25</v>
      </c>
      <c r="E458" s="238">
        <v>7.75</v>
      </c>
      <c r="F458" s="240"/>
      <c r="G458" s="240"/>
      <c r="H458" s="241">
        <f>C458*D458*E458</f>
        <v>56.1875</v>
      </c>
      <c r="I458" s="242"/>
      <c r="J458" s="222"/>
      <c r="K458" s="199"/>
      <c r="L458" s="199"/>
    </row>
    <row r="459" spans="1:12" ht="24" customHeight="1">
      <c r="A459" s="243"/>
      <c r="B459" s="237"/>
      <c r="C459" s="238">
        <v>1</v>
      </c>
      <c r="D459" s="239">
        <v>2.5</v>
      </c>
      <c r="E459" s="238">
        <v>2</v>
      </c>
      <c r="F459" s="240"/>
      <c r="G459" s="240"/>
      <c r="H459" s="241">
        <f>C459*D459*E459</f>
        <v>5</v>
      </c>
      <c r="I459" s="242"/>
      <c r="J459" s="222"/>
      <c r="K459" s="199"/>
      <c r="L459" s="199"/>
    </row>
    <row r="460" spans="1:12" ht="24" customHeight="1">
      <c r="A460" s="243"/>
      <c r="B460" s="237" t="s">
        <v>844</v>
      </c>
      <c r="C460" s="238">
        <v>1</v>
      </c>
      <c r="D460" s="239">
        <v>13.5</v>
      </c>
      <c r="E460" s="238">
        <v>6</v>
      </c>
      <c r="F460" s="240"/>
      <c r="G460" s="240"/>
      <c r="H460" s="241">
        <f>C460*D460*E460</f>
        <v>81</v>
      </c>
      <c r="I460" s="242"/>
      <c r="J460" s="222"/>
      <c r="K460" s="199"/>
      <c r="L460" s="199"/>
    </row>
    <row r="461" spans="1:12" ht="24" customHeight="1">
      <c r="A461" s="243"/>
      <c r="B461" s="237"/>
      <c r="C461" s="238"/>
      <c r="D461" s="239"/>
      <c r="E461" s="238"/>
      <c r="F461" s="240"/>
      <c r="G461" s="240"/>
      <c r="H461" s="241"/>
      <c r="I461" s="242"/>
      <c r="J461" s="222"/>
      <c r="K461" s="199"/>
      <c r="L461" s="199"/>
    </row>
    <row r="462" spans="1:12" ht="21">
      <c r="A462" s="423"/>
      <c r="B462" s="302" t="s">
        <v>845</v>
      </c>
      <c r="C462" s="260"/>
      <c r="D462" s="297"/>
      <c r="E462" s="260"/>
      <c r="F462" s="298"/>
      <c r="G462" s="298"/>
      <c r="H462" s="261"/>
      <c r="I462" s="300"/>
      <c r="J462" s="222"/>
      <c r="K462" s="199"/>
      <c r="L462" s="199"/>
    </row>
    <row r="463" spans="1:12" ht="24" customHeight="1">
      <c r="A463" s="243"/>
      <c r="B463" s="237" t="s">
        <v>841</v>
      </c>
      <c r="C463" s="238">
        <v>1</v>
      </c>
      <c r="D463" s="239">
        <v>6.5</v>
      </c>
      <c r="E463" s="238">
        <v>6</v>
      </c>
      <c r="F463" s="240"/>
      <c r="G463" s="240"/>
      <c r="H463" s="241">
        <f>C463*D463*E463</f>
        <v>39</v>
      </c>
      <c r="I463" s="242"/>
      <c r="J463" s="222"/>
      <c r="K463" s="199"/>
      <c r="L463" s="199"/>
    </row>
    <row r="464" spans="1:12" ht="24" customHeight="1">
      <c r="A464" s="243"/>
      <c r="B464" s="237" t="s">
        <v>842</v>
      </c>
      <c r="C464" s="238">
        <v>1</v>
      </c>
      <c r="D464" s="239">
        <v>4</v>
      </c>
      <c r="E464" s="238">
        <v>7.5</v>
      </c>
      <c r="F464" s="240"/>
      <c r="G464" s="240"/>
      <c r="H464" s="241">
        <f>C464*D464*E464</f>
        <v>30</v>
      </c>
      <c r="I464" s="242"/>
      <c r="J464" s="222"/>
      <c r="K464" s="199"/>
      <c r="L464" s="199"/>
    </row>
    <row r="465" spans="1:12" ht="24" customHeight="1">
      <c r="A465" s="243"/>
      <c r="B465" s="237" t="s">
        <v>843</v>
      </c>
      <c r="C465" s="238">
        <v>1</v>
      </c>
      <c r="D465" s="239">
        <v>7.25</v>
      </c>
      <c r="E465" s="238">
        <v>7.75</v>
      </c>
      <c r="F465" s="240"/>
      <c r="G465" s="240"/>
      <c r="H465" s="241">
        <f>C465*D465*E465</f>
        <v>56.1875</v>
      </c>
      <c r="I465" s="242"/>
      <c r="J465" s="222"/>
      <c r="K465" s="199"/>
      <c r="L465" s="199"/>
    </row>
    <row r="466" spans="1:12" ht="24" customHeight="1">
      <c r="A466" s="243"/>
      <c r="B466" s="237"/>
      <c r="C466" s="238">
        <v>1</v>
      </c>
      <c r="D466" s="239">
        <v>2.5</v>
      </c>
      <c r="E466" s="238">
        <v>2</v>
      </c>
      <c r="F466" s="240"/>
      <c r="G466" s="240"/>
      <c r="H466" s="241">
        <f>C466*D466*E466</f>
        <v>5</v>
      </c>
      <c r="I466" s="242"/>
      <c r="J466" s="222"/>
      <c r="K466" s="199"/>
      <c r="L466" s="199"/>
    </row>
    <row r="467" spans="1:12" ht="24" customHeight="1">
      <c r="A467" s="243"/>
      <c r="B467" s="237" t="s">
        <v>844</v>
      </c>
      <c r="C467" s="238">
        <v>1</v>
      </c>
      <c r="D467" s="239">
        <v>13.5</v>
      </c>
      <c r="E467" s="238">
        <v>6</v>
      </c>
      <c r="F467" s="240"/>
      <c r="G467" s="240"/>
      <c r="H467" s="241">
        <f>C467*D467*E467</f>
        <v>81</v>
      </c>
      <c r="I467" s="242"/>
      <c r="J467" s="222"/>
      <c r="K467" s="199"/>
      <c r="L467" s="199"/>
    </row>
    <row r="468" spans="1:12" ht="24" customHeight="1">
      <c r="A468" s="243"/>
      <c r="B468" s="237"/>
      <c r="C468" s="238"/>
      <c r="D468" s="239"/>
      <c r="E468" s="238"/>
      <c r="F468" s="240"/>
      <c r="G468" s="240"/>
      <c r="H468" s="241"/>
      <c r="I468" s="242"/>
      <c r="J468" s="222"/>
      <c r="K468" s="199"/>
      <c r="L468" s="199"/>
    </row>
    <row r="469" spans="1:12" ht="24" customHeight="1">
      <c r="A469" s="449"/>
      <c r="B469" s="454" t="s">
        <v>1066</v>
      </c>
      <c r="C469" s="246"/>
      <c r="D469" s="247"/>
      <c r="E469" s="246"/>
      <c r="F469" s="246"/>
      <c r="G469" s="246"/>
      <c r="H469" s="248"/>
      <c r="I469" s="246"/>
      <c r="J469" s="199"/>
      <c r="K469" s="199"/>
      <c r="L469" s="199"/>
    </row>
    <row r="470" spans="1:12" ht="24" customHeight="1">
      <c r="A470" s="450"/>
      <c r="B470" s="237" t="s">
        <v>1067</v>
      </c>
      <c r="C470" s="303">
        <v>1</v>
      </c>
      <c r="D470" s="297">
        <v>11</v>
      </c>
      <c r="E470" s="260">
        <v>10</v>
      </c>
      <c r="F470" s="423"/>
      <c r="G470" s="423"/>
      <c r="H470" s="261">
        <f>C470*D470*E470</f>
        <v>110</v>
      </c>
      <c r="I470" s="258"/>
      <c r="J470" s="199"/>
      <c r="K470" s="199"/>
      <c r="L470" s="199"/>
    </row>
    <row r="471" spans="1:12" ht="24" customHeight="1">
      <c r="A471" s="449"/>
      <c r="B471" s="237" t="s">
        <v>1068</v>
      </c>
      <c r="C471" s="303">
        <v>1</v>
      </c>
      <c r="D471" s="297">
        <v>7</v>
      </c>
      <c r="E471" s="260">
        <v>16</v>
      </c>
      <c r="F471" s="423"/>
      <c r="G471" s="423"/>
      <c r="H471" s="261">
        <f>C471*D471*E471</f>
        <v>112</v>
      </c>
      <c r="I471" s="226"/>
      <c r="J471" s="199"/>
      <c r="K471" s="199"/>
      <c r="L471" s="199"/>
    </row>
    <row r="472" spans="1:12" ht="24" customHeight="1">
      <c r="A472" s="449"/>
      <c r="B472" s="237" t="s">
        <v>1068</v>
      </c>
      <c r="C472" s="364">
        <v>1</v>
      </c>
      <c r="D472" s="221">
        <v>10</v>
      </c>
      <c r="E472" s="220">
        <v>11</v>
      </c>
      <c r="F472" s="225"/>
      <c r="G472" s="225"/>
      <c r="H472" s="212">
        <f>C472*D472*E472</f>
        <v>110</v>
      </c>
      <c r="I472" s="226"/>
      <c r="J472" s="199"/>
      <c r="K472" s="199"/>
      <c r="L472" s="199"/>
    </row>
    <row r="473" spans="1:12" ht="18.75" customHeight="1">
      <c r="A473" s="449"/>
      <c r="B473" s="447"/>
      <c r="C473" s="220"/>
      <c r="D473" s="221"/>
      <c r="E473" s="220"/>
      <c r="F473" s="217"/>
      <c r="G473" s="217"/>
      <c r="H473" s="212"/>
      <c r="I473" s="226"/>
      <c r="J473" s="199"/>
      <c r="K473" s="199"/>
      <c r="L473" s="199"/>
    </row>
    <row r="474" spans="1:12" ht="24" customHeight="1">
      <c r="A474" s="243"/>
      <c r="B474" s="237"/>
      <c r="C474" s="238"/>
      <c r="D474" s="239"/>
      <c r="E474" s="238"/>
      <c r="F474" s="240"/>
      <c r="G474" s="240"/>
      <c r="H474" s="241"/>
      <c r="I474" s="242"/>
      <c r="J474" s="222"/>
      <c r="K474" s="199"/>
      <c r="L474" s="199"/>
    </row>
    <row r="475" spans="1:12" ht="341.25">
      <c r="A475" s="374" t="s">
        <v>956</v>
      </c>
      <c r="B475" s="356" t="s">
        <v>973</v>
      </c>
      <c r="C475" s="354"/>
      <c r="D475" s="354"/>
      <c r="E475" s="354"/>
      <c r="F475" s="348" t="s">
        <v>620</v>
      </c>
      <c r="G475" s="348"/>
      <c r="H475" s="349">
        <f>H476/10.764</f>
        <v>107.95243403939057</v>
      </c>
      <c r="I475" s="355" t="s">
        <v>328</v>
      </c>
      <c r="J475" s="222"/>
      <c r="K475" s="199"/>
      <c r="L475" s="199"/>
    </row>
    <row r="476" spans="1:12" ht="24" customHeight="1">
      <c r="A476" s="428"/>
      <c r="B476" s="194"/>
      <c r="C476" s="220"/>
      <c r="D476" s="221"/>
      <c r="E476" s="220"/>
      <c r="F476" s="217" t="s">
        <v>620</v>
      </c>
      <c r="G476" s="217"/>
      <c r="H476" s="218">
        <f>SUM(H477:H482)</f>
        <v>1162</v>
      </c>
      <c r="I476" s="219" t="s">
        <v>621</v>
      </c>
      <c r="J476" s="222"/>
      <c r="K476" s="199"/>
      <c r="L476" s="199"/>
    </row>
    <row r="477" spans="1:12" ht="24" customHeight="1">
      <c r="A477" s="428"/>
      <c r="B477" s="224"/>
      <c r="C477" s="220"/>
      <c r="D477" s="221"/>
      <c r="E477" s="220"/>
      <c r="F477" s="217"/>
      <c r="G477" s="217"/>
      <c r="H477" s="228"/>
      <c r="I477" s="226"/>
      <c r="J477" s="222"/>
      <c r="K477" s="199"/>
      <c r="L477" s="199"/>
    </row>
    <row r="478" spans="1:12" ht="24" customHeight="1">
      <c r="A478" s="428"/>
      <c r="B478" s="223" t="s">
        <v>622</v>
      </c>
      <c r="C478" s="220"/>
      <c r="D478" s="221"/>
      <c r="E478" s="220"/>
      <c r="F478" s="217"/>
      <c r="G478" s="217"/>
      <c r="H478" s="228"/>
      <c r="I478" s="226"/>
      <c r="J478" s="222"/>
      <c r="K478" s="199"/>
      <c r="L478" s="199"/>
    </row>
    <row r="479" spans="1:12" ht="24" customHeight="1">
      <c r="A479" s="428"/>
      <c r="B479" s="224" t="s">
        <v>858</v>
      </c>
      <c r="C479" s="220">
        <v>1</v>
      </c>
      <c r="D479" s="221">
        <f>15.5+10.5+15.5</f>
        <v>41.5</v>
      </c>
      <c r="E479" s="220">
        <v>23</v>
      </c>
      <c r="F479" s="217"/>
      <c r="G479" s="217"/>
      <c r="H479" s="228">
        <f>E479*D479*C479</f>
        <v>954.5</v>
      </c>
      <c r="I479" s="226"/>
      <c r="J479" s="222"/>
      <c r="K479" s="199"/>
      <c r="L479" s="199"/>
    </row>
    <row r="480" spans="1:12" ht="24" customHeight="1">
      <c r="A480" s="428"/>
      <c r="B480" s="224" t="s">
        <v>859</v>
      </c>
      <c r="C480" s="220">
        <v>-1</v>
      </c>
      <c r="D480" s="221">
        <v>5</v>
      </c>
      <c r="E480" s="220">
        <v>8</v>
      </c>
      <c r="F480" s="217"/>
      <c r="G480" s="217"/>
      <c r="H480" s="228">
        <f>E480*D480*C480</f>
        <v>-40</v>
      </c>
      <c r="I480" s="226"/>
      <c r="J480" s="222"/>
      <c r="K480" s="199"/>
      <c r="L480" s="199"/>
    </row>
    <row r="481" spans="1:12" ht="24" customHeight="1">
      <c r="A481" s="428"/>
      <c r="B481" s="224" t="s">
        <v>857</v>
      </c>
      <c r="C481" s="220">
        <v>1</v>
      </c>
      <c r="D481" s="221">
        <f>1.25+6.5+1.25</f>
        <v>9</v>
      </c>
      <c r="E481" s="220">
        <v>22.25</v>
      </c>
      <c r="F481" s="217"/>
      <c r="G481" s="217"/>
      <c r="H481" s="228">
        <f>E481*D481*C481</f>
        <v>200.25</v>
      </c>
      <c r="I481" s="226"/>
      <c r="J481" s="222"/>
      <c r="K481" s="199"/>
      <c r="L481" s="199"/>
    </row>
    <row r="482" spans="1:12" ht="24" customHeight="1">
      <c r="A482" s="428"/>
      <c r="B482" s="224" t="s">
        <v>860</v>
      </c>
      <c r="C482" s="220">
        <v>1</v>
      </c>
      <c r="D482" s="221">
        <f>2.75+2.5</f>
        <v>5.25</v>
      </c>
      <c r="E482" s="220">
        <v>9</v>
      </c>
      <c r="F482" s="217"/>
      <c r="G482" s="217"/>
      <c r="H482" s="228">
        <f>E482*D482*C482</f>
        <v>47.25</v>
      </c>
      <c r="I482" s="226"/>
      <c r="J482" s="222"/>
      <c r="K482" s="199"/>
      <c r="L482" s="199"/>
    </row>
    <row r="483" spans="1:12" ht="24" customHeight="1">
      <c r="A483" s="428"/>
      <c r="B483" s="194"/>
      <c r="C483" s="220"/>
      <c r="D483" s="221"/>
      <c r="E483" s="220"/>
      <c r="F483" s="217"/>
      <c r="G483" s="217"/>
      <c r="H483" s="228"/>
      <c r="I483" s="219"/>
      <c r="J483" s="222"/>
      <c r="K483" s="199"/>
      <c r="L483" s="199"/>
    </row>
    <row r="484" spans="1:12" ht="24" customHeight="1">
      <c r="A484" s="428"/>
      <c r="B484" s="314" t="s">
        <v>637</v>
      </c>
      <c r="C484" s="220"/>
      <c r="D484" s="221"/>
      <c r="E484" s="220"/>
      <c r="F484" s="217"/>
      <c r="G484" s="217"/>
      <c r="H484" s="228"/>
      <c r="I484" s="226"/>
      <c r="J484" s="222"/>
      <c r="K484" s="199"/>
      <c r="L484" s="199"/>
    </row>
    <row r="485" spans="1:12" ht="24" customHeight="1">
      <c r="A485" s="428"/>
      <c r="B485" s="224" t="s">
        <v>860</v>
      </c>
      <c r="C485" s="220">
        <v>1</v>
      </c>
      <c r="D485" s="221">
        <f>2.75+2.5</f>
        <v>5.25</v>
      </c>
      <c r="E485" s="220">
        <v>9</v>
      </c>
      <c r="F485" s="217"/>
      <c r="G485" s="217"/>
      <c r="H485" s="228">
        <f>E485*D485*C485</f>
        <v>47.25</v>
      </c>
      <c r="I485" s="226"/>
      <c r="J485" s="222"/>
      <c r="K485" s="199"/>
      <c r="L485" s="199"/>
    </row>
    <row r="486" spans="1:12" ht="24" customHeight="1">
      <c r="A486" s="428"/>
      <c r="B486" s="224"/>
      <c r="C486" s="220"/>
      <c r="D486" s="221"/>
      <c r="E486" s="220"/>
      <c r="F486" s="217"/>
      <c r="G486" s="217"/>
      <c r="H486" s="228"/>
      <c r="I486" s="226"/>
      <c r="J486" s="222"/>
      <c r="K486" s="199"/>
      <c r="L486" s="199"/>
    </row>
    <row r="487" spans="1:12" ht="24" customHeight="1">
      <c r="A487" s="428"/>
      <c r="B487" s="223" t="s">
        <v>640</v>
      </c>
      <c r="C487" s="226"/>
      <c r="D487" s="227"/>
      <c r="E487" s="226"/>
      <c r="F487" s="226"/>
      <c r="G487" s="226"/>
      <c r="H487" s="228"/>
      <c r="I487" s="226"/>
      <c r="J487" s="222"/>
      <c r="K487" s="199"/>
      <c r="L487" s="199"/>
    </row>
    <row r="488" spans="1:12" ht="24" customHeight="1">
      <c r="A488" s="428"/>
      <c r="B488" s="224" t="s">
        <v>860</v>
      </c>
      <c r="C488" s="220">
        <v>1</v>
      </c>
      <c r="D488" s="221">
        <f>2.75+2.5</f>
        <v>5.25</v>
      </c>
      <c r="E488" s="220">
        <v>9</v>
      </c>
      <c r="F488" s="217"/>
      <c r="G488" s="217"/>
      <c r="H488" s="228">
        <f>E488*D488*C488</f>
        <v>47.25</v>
      </c>
      <c r="I488" s="226"/>
      <c r="J488" s="222"/>
      <c r="K488" s="199"/>
      <c r="L488" s="199"/>
    </row>
    <row r="489" spans="1:12" ht="24" customHeight="1">
      <c r="A489" s="428"/>
      <c r="B489" s="224"/>
      <c r="C489" s="220"/>
      <c r="D489" s="221"/>
      <c r="E489" s="220"/>
      <c r="F489" s="217"/>
      <c r="G489" s="217"/>
      <c r="H489" s="228"/>
      <c r="I489" s="226"/>
      <c r="J489" s="222"/>
      <c r="K489" s="199"/>
      <c r="L489" s="199"/>
    </row>
    <row r="490" spans="1:12" ht="24" customHeight="1">
      <c r="A490" s="225"/>
      <c r="B490" s="194"/>
      <c r="C490" s="220"/>
      <c r="D490" s="221"/>
      <c r="E490" s="220"/>
      <c r="F490" s="217"/>
      <c r="G490" s="217"/>
      <c r="H490" s="218"/>
      <c r="I490" s="219"/>
      <c r="J490" s="222"/>
      <c r="K490" s="199"/>
      <c r="L490" s="199"/>
    </row>
    <row r="491" spans="1:12" ht="294">
      <c r="A491" s="374" t="s">
        <v>955</v>
      </c>
      <c r="B491" s="375" t="s">
        <v>972</v>
      </c>
      <c r="C491" s="369"/>
      <c r="D491" s="370"/>
      <c r="E491" s="369"/>
      <c r="F491" s="348" t="s">
        <v>620</v>
      </c>
      <c r="G491" s="348"/>
      <c r="H491" s="349">
        <f>H492/10.764</f>
        <v>275.42967298402084</v>
      </c>
      <c r="I491" s="355" t="s">
        <v>328</v>
      </c>
      <c r="J491" s="222"/>
      <c r="K491" s="199"/>
      <c r="L491" s="199"/>
    </row>
    <row r="492" spans="1:12" ht="24" customHeight="1">
      <c r="A492" s="225"/>
      <c r="B492" s="215" t="s">
        <v>90</v>
      </c>
      <c r="C492" s="220"/>
      <c r="D492" s="221"/>
      <c r="E492" s="220"/>
      <c r="F492" s="217" t="s">
        <v>620</v>
      </c>
      <c r="G492" s="217"/>
      <c r="H492" s="218">
        <f>SUM(H496:H565)</f>
        <v>2964.7249999999999</v>
      </c>
      <c r="I492" s="219" t="s">
        <v>621</v>
      </c>
      <c r="J492" s="222"/>
      <c r="K492" s="199"/>
      <c r="L492" s="199"/>
    </row>
    <row r="493" spans="1:12" ht="24" customHeight="1">
      <c r="A493" s="225"/>
      <c r="C493" s="220"/>
      <c r="D493" s="221"/>
      <c r="E493" s="220"/>
      <c r="F493" s="217"/>
      <c r="G493" s="217"/>
      <c r="H493" s="218"/>
      <c r="I493" s="219"/>
      <c r="J493" s="222"/>
      <c r="K493" s="199"/>
      <c r="L493" s="199"/>
    </row>
    <row r="494" spans="1:12" ht="24" customHeight="1">
      <c r="A494" s="225"/>
      <c r="B494" s="223" t="s">
        <v>622</v>
      </c>
      <c r="C494" s="220"/>
      <c r="D494" s="221"/>
      <c r="E494" s="220"/>
      <c r="F494" s="217"/>
      <c r="G494" s="217"/>
      <c r="H494" s="212"/>
      <c r="I494" s="219"/>
      <c r="J494" s="222"/>
      <c r="K494" s="199"/>
      <c r="L494" s="199"/>
    </row>
    <row r="495" spans="1:12" ht="24" customHeight="1">
      <c r="A495" s="225"/>
      <c r="B495" s="224" t="s">
        <v>626</v>
      </c>
      <c r="C495" s="220"/>
      <c r="D495" s="221"/>
      <c r="E495" s="220"/>
      <c r="F495" s="217"/>
      <c r="G495" s="217"/>
      <c r="H495" s="212"/>
      <c r="I495" s="219"/>
      <c r="J495" s="222"/>
      <c r="K495" s="199"/>
      <c r="L495" s="199"/>
    </row>
    <row r="496" spans="1:12" ht="24" customHeight="1">
      <c r="A496" s="225"/>
      <c r="B496" s="224" t="s">
        <v>847</v>
      </c>
      <c r="C496" s="220">
        <v>2</v>
      </c>
      <c r="D496" s="221">
        <v>7.25</v>
      </c>
      <c r="E496" s="220">
        <v>8</v>
      </c>
      <c r="F496" s="217"/>
      <c r="G496" s="217"/>
      <c r="H496" s="212">
        <f t="shared" ref="H496:H520" si="24">C496*D496*E496</f>
        <v>116</v>
      </c>
      <c r="I496" s="219"/>
      <c r="J496" s="222"/>
      <c r="K496" s="199"/>
      <c r="L496" s="199"/>
    </row>
    <row r="497" spans="1:12" ht="24" customHeight="1">
      <c r="A497" s="225"/>
      <c r="B497" s="224" t="s">
        <v>848</v>
      </c>
      <c r="C497" s="220">
        <v>2</v>
      </c>
      <c r="D497" s="221">
        <v>5</v>
      </c>
      <c r="E497" s="220">
        <v>8</v>
      </c>
      <c r="F497" s="217"/>
      <c r="G497" s="217"/>
      <c r="H497" s="212">
        <f t="shared" si="24"/>
        <v>80</v>
      </c>
      <c r="I497" s="219"/>
      <c r="J497" s="222"/>
      <c r="K497" s="199"/>
      <c r="L497" s="199"/>
    </row>
    <row r="498" spans="1:12" ht="24" customHeight="1">
      <c r="A498" s="225"/>
      <c r="B498" s="224" t="s">
        <v>665</v>
      </c>
      <c r="C498" s="220">
        <v>-1</v>
      </c>
      <c r="D498" s="221">
        <v>2.75</v>
      </c>
      <c r="E498" s="220">
        <v>8</v>
      </c>
      <c r="F498" s="217"/>
      <c r="G498" s="217"/>
      <c r="H498" s="212">
        <f t="shared" si="24"/>
        <v>-22</v>
      </c>
      <c r="I498" s="219"/>
      <c r="J498" s="222"/>
      <c r="K498" s="199"/>
      <c r="L498" s="199"/>
    </row>
    <row r="499" spans="1:12" ht="24" customHeight="1">
      <c r="A499" s="225"/>
      <c r="B499" s="226" t="s">
        <v>667</v>
      </c>
      <c r="C499" s="220">
        <v>-1</v>
      </c>
      <c r="D499" s="221">
        <v>2</v>
      </c>
      <c r="E499" s="220">
        <v>3</v>
      </c>
      <c r="F499" s="217"/>
      <c r="G499" s="217"/>
      <c r="H499" s="212">
        <f t="shared" si="24"/>
        <v>-6</v>
      </c>
      <c r="I499" s="219"/>
      <c r="J499" s="222"/>
      <c r="K499" s="199"/>
      <c r="L499" s="199"/>
    </row>
    <row r="500" spans="1:12" ht="24" customHeight="1">
      <c r="A500" s="225"/>
      <c r="B500" s="224" t="s">
        <v>628</v>
      </c>
      <c r="C500" s="220"/>
      <c r="D500" s="221"/>
      <c r="E500" s="220"/>
      <c r="F500" s="217"/>
      <c r="G500" s="217"/>
      <c r="H500" s="212"/>
      <c r="I500" s="219"/>
      <c r="J500" s="222"/>
      <c r="K500" s="199"/>
      <c r="L500" s="199"/>
    </row>
    <row r="501" spans="1:12" ht="24" customHeight="1">
      <c r="A501" s="225"/>
      <c r="B501" s="224" t="s">
        <v>847</v>
      </c>
      <c r="C501" s="220">
        <v>2</v>
      </c>
      <c r="D501" s="221">
        <v>6.5</v>
      </c>
      <c r="E501" s="220">
        <v>8</v>
      </c>
      <c r="F501" s="225"/>
      <c r="G501" s="225"/>
      <c r="H501" s="212">
        <f t="shared" si="24"/>
        <v>104</v>
      </c>
      <c r="I501" s="219"/>
      <c r="J501" s="222"/>
      <c r="K501" s="199"/>
      <c r="L501" s="199"/>
    </row>
    <row r="502" spans="1:12" ht="24" customHeight="1">
      <c r="A502" s="225"/>
      <c r="B502" s="224" t="s">
        <v>848</v>
      </c>
      <c r="C502" s="220">
        <v>2</v>
      </c>
      <c r="D502" s="221">
        <v>6</v>
      </c>
      <c r="E502" s="220">
        <v>8</v>
      </c>
      <c r="F502" s="225"/>
      <c r="G502" s="225"/>
      <c r="H502" s="212">
        <f t="shared" si="24"/>
        <v>96</v>
      </c>
      <c r="I502" s="219"/>
      <c r="J502" s="222"/>
      <c r="K502" s="199"/>
      <c r="L502" s="199"/>
    </row>
    <row r="503" spans="1:12" ht="24" customHeight="1">
      <c r="A503" s="225"/>
      <c r="B503" s="224" t="s">
        <v>665</v>
      </c>
      <c r="C503" s="220">
        <v>-1</v>
      </c>
      <c r="D503" s="221">
        <v>2.5</v>
      </c>
      <c r="E503" s="220">
        <v>8</v>
      </c>
      <c r="F503" s="217"/>
      <c r="G503" s="217"/>
      <c r="H503" s="212">
        <f t="shared" si="24"/>
        <v>-20</v>
      </c>
      <c r="I503" s="219"/>
      <c r="J503" s="222"/>
      <c r="K503" s="199"/>
      <c r="L503" s="199"/>
    </row>
    <row r="504" spans="1:12" ht="24" customHeight="1">
      <c r="A504" s="225"/>
      <c r="B504" s="226" t="s">
        <v>667</v>
      </c>
      <c r="C504" s="220">
        <v>-1</v>
      </c>
      <c r="D504" s="221">
        <v>2</v>
      </c>
      <c r="E504" s="220">
        <v>3</v>
      </c>
      <c r="F504" s="217"/>
      <c r="G504" s="217"/>
      <c r="H504" s="212">
        <f t="shared" si="24"/>
        <v>-6</v>
      </c>
      <c r="I504" s="219"/>
      <c r="J504" s="222"/>
      <c r="K504" s="199"/>
      <c r="L504" s="199"/>
    </row>
    <row r="505" spans="1:12" ht="24" customHeight="1">
      <c r="A505" s="433"/>
      <c r="B505" s="226" t="s">
        <v>849</v>
      </c>
      <c r="C505" s="226">
        <v>1</v>
      </c>
      <c r="D505" s="227">
        <f>3.5+8.5+4.75+3.25+8.25+11.75</f>
        <v>40</v>
      </c>
      <c r="E505" s="226">
        <v>8</v>
      </c>
      <c r="F505" s="226"/>
      <c r="G505" s="226"/>
      <c r="H505" s="228">
        <f t="shared" si="24"/>
        <v>320</v>
      </c>
      <c r="I505" s="226"/>
      <c r="J505" s="199"/>
      <c r="K505" s="199"/>
      <c r="L505" s="199"/>
    </row>
    <row r="506" spans="1:12" ht="24" customHeight="1">
      <c r="A506" s="433"/>
      <c r="B506" s="226" t="s">
        <v>665</v>
      </c>
      <c r="C506" s="226">
        <v>-2</v>
      </c>
      <c r="D506" s="227">
        <v>2.5</v>
      </c>
      <c r="E506" s="226">
        <v>8</v>
      </c>
      <c r="F506" s="226"/>
      <c r="G506" s="226"/>
      <c r="H506" s="228">
        <f t="shared" si="24"/>
        <v>-40</v>
      </c>
      <c r="I506" s="226"/>
      <c r="J506" s="199"/>
      <c r="K506" s="199"/>
      <c r="L506" s="199"/>
    </row>
    <row r="507" spans="1:12" ht="24" customHeight="1">
      <c r="A507" s="433"/>
      <c r="B507" s="226" t="s">
        <v>633</v>
      </c>
      <c r="C507" s="226">
        <v>2</v>
      </c>
      <c r="D507" s="227">
        <v>4</v>
      </c>
      <c r="E507" s="226">
        <v>8</v>
      </c>
      <c r="F507" s="226"/>
      <c r="G507" s="226"/>
      <c r="H507" s="228">
        <f>C507*D507*E507</f>
        <v>64</v>
      </c>
      <c r="I507" s="226"/>
      <c r="J507" s="199"/>
      <c r="K507" s="199"/>
      <c r="L507" s="199"/>
    </row>
    <row r="508" spans="1:12" ht="24" customHeight="1">
      <c r="A508" s="433"/>
      <c r="B508" s="224" t="s">
        <v>665</v>
      </c>
      <c r="C508" s="220">
        <v>-1</v>
      </c>
      <c r="D508" s="221">
        <v>2.5</v>
      </c>
      <c r="E508" s="220">
        <v>8</v>
      </c>
      <c r="F508" s="217"/>
      <c r="G508" s="217"/>
      <c r="H508" s="212">
        <f>C508*D508*E508</f>
        <v>-20</v>
      </c>
      <c r="I508" s="226"/>
      <c r="J508" s="199"/>
      <c r="K508" s="199"/>
      <c r="L508" s="199"/>
    </row>
    <row r="509" spans="1:12" ht="24" customHeight="1">
      <c r="A509" s="433"/>
      <c r="B509" s="226" t="s">
        <v>667</v>
      </c>
      <c r="C509" s="226">
        <v>-1</v>
      </c>
      <c r="D509" s="227">
        <v>2.25</v>
      </c>
      <c r="E509" s="226">
        <v>3</v>
      </c>
      <c r="F509" s="226"/>
      <c r="G509" s="226"/>
      <c r="H509" s="228">
        <f t="shared" si="24"/>
        <v>-6.75</v>
      </c>
      <c r="I509" s="226"/>
      <c r="J509" s="199"/>
      <c r="K509" s="199"/>
      <c r="L509" s="199"/>
    </row>
    <row r="510" spans="1:12" ht="24" customHeight="1">
      <c r="A510" s="225"/>
      <c r="B510" s="315" t="s">
        <v>850</v>
      </c>
      <c r="C510" s="254">
        <v>2</v>
      </c>
      <c r="D510" s="256">
        <v>3.75</v>
      </c>
      <c r="E510" s="254">
        <v>12</v>
      </c>
      <c r="H510" s="257">
        <f t="shared" si="24"/>
        <v>90</v>
      </c>
      <c r="I510" s="219"/>
      <c r="J510" s="222"/>
      <c r="K510" s="199"/>
      <c r="L510" s="199"/>
    </row>
    <row r="511" spans="1:12" ht="24" customHeight="1">
      <c r="A511" s="439"/>
      <c r="B511" s="246" t="s">
        <v>665</v>
      </c>
      <c r="C511" s="316">
        <v>-2</v>
      </c>
      <c r="D511" s="227">
        <v>2.5</v>
      </c>
      <c r="E511" s="226">
        <v>8</v>
      </c>
      <c r="F511" s="226"/>
      <c r="G511" s="226"/>
      <c r="H511" s="228">
        <f>C511*D511*E511</f>
        <v>-40</v>
      </c>
      <c r="I511" s="226"/>
      <c r="J511" s="199"/>
      <c r="K511" s="199"/>
      <c r="L511" s="199"/>
    </row>
    <row r="512" spans="1:12" ht="24" customHeight="1">
      <c r="A512" s="439"/>
      <c r="B512" s="253" t="s">
        <v>665</v>
      </c>
      <c r="C512" s="317">
        <v>-1</v>
      </c>
      <c r="D512" s="318">
        <v>2.75</v>
      </c>
      <c r="E512" s="315">
        <v>8</v>
      </c>
      <c r="F512" s="315"/>
      <c r="G512" s="315"/>
      <c r="H512" s="287">
        <f>C512*D512*E512</f>
        <v>-22</v>
      </c>
      <c r="I512" s="226"/>
      <c r="J512" s="199"/>
      <c r="K512" s="199"/>
      <c r="L512" s="199"/>
    </row>
    <row r="513" spans="1:12" ht="24" customHeight="1">
      <c r="A513" s="439"/>
      <c r="B513" s="226" t="s">
        <v>636</v>
      </c>
      <c r="C513" s="317"/>
      <c r="D513" s="318"/>
      <c r="E513" s="315"/>
      <c r="F513" s="315"/>
      <c r="G513" s="315"/>
      <c r="H513" s="287"/>
      <c r="I513" s="316"/>
      <c r="J513" s="199"/>
      <c r="K513" s="199"/>
      <c r="L513" s="199"/>
    </row>
    <row r="514" spans="1:12" ht="24" customHeight="1">
      <c r="A514" s="439"/>
      <c r="B514" s="224" t="s">
        <v>847</v>
      </c>
      <c r="C514" s="226">
        <v>2</v>
      </c>
      <c r="D514" s="227">
        <v>8.25</v>
      </c>
      <c r="E514" s="226">
        <v>8</v>
      </c>
      <c r="F514" s="226"/>
      <c r="G514" s="226"/>
      <c r="H514" s="228">
        <f>C514*D514*E514</f>
        <v>132</v>
      </c>
      <c r="I514" s="316"/>
      <c r="J514" s="199"/>
      <c r="K514" s="199"/>
      <c r="L514" s="199"/>
    </row>
    <row r="515" spans="1:12" ht="24" customHeight="1">
      <c r="A515" s="439"/>
      <c r="B515" s="224" t="s">
        <v>848</v>
      </c>
      <c r="C515" s="226">
        <v>2</v>
      </c>
      <c r="D515" s="227">
        <v>4</v>
      </c>
      <c r="E515" s="226">
        <v>8</v>
      </c>
      <c r="F515" s="226"/>
      <c r="G515" s="226"/>
      <c r="H515" s="228">
        <f>C515*D515*E515</f>
        <v>64</v>
      </c>
      <c r="I515" s="316"/>
      <c r="J515" s="199"/>
      <c r="K515" s="199"/>
      <c r="L515" s="199"/>
    </row>
    <row r="516" spans="1:12" ht="24" customHeight="1">
      <c r="A516" s="433"/>
      <c r="B516" s="224" t="s">
        <v>665</v>
      </c>
      <c r="C516" s="220">
        <v>-1</v>
      </c>
      <c r="D516" s="221">
        <v>2.5</v>
      </c>
      <c r="E516" s="220">
        <v>8</v>
      </c>
      <c r="F516" s="217"/>
      <c r="G516" s="217"/>
      <c r="H516" s="212">
        <f>C516*D516*E516</f>
        <v>-20</v>
      </c>
      <c r="I516" s="226"/>
      <c r="J516" s="199"/>
      <c r="K516" s="199"/>
      <c r="L516" s="199"/>
    </row>
    <row r="517" spans="1:12" ht="24" customHeight="1">
      <c r="A517" s="433"/>
      <c r="B517" s="226" t="s">
        <v>635</v>
      </c>
      <c r="C517" s="220"/>
      <c r="D517" s="221"/>
      <c r="E517" s="220"/>
      <c r="F517" s="217"/>
      <c r="G517" s="217"/>
      <c r="H517" s="212"/>
      <c r="I517" s="226"/>
      <c r="J517" s="199"/>
      <c r="K517" s="199"/>
      <c r="L517" s="199"/>
    </row>
    <row r="518" spans="1:12" ht="24" customHeight="1">
      <c r="A518" s="433"/>
      <c r="B518" s="224" t="s">
        <v>847</v>
      </c>
      <c r="C518" s="226">
        <v>2</v>
      </c>
      <c r="D518" s="227">
        <v>3.75</v>
      </c>
      <c r="E518" s="226">
        <v>8</v>
      </c>
      <c r="F518" s="226"/>
      <c r="G518" s="226"/>
      <c r="H518" s="228">
        <f>C518*D518*E518</f>
        <v>60</v>
      </c>
      <c r="I518" s="226"/>
      <c r="J518" s="199"/>
      <c r="K518" s="199"/>
      <c r="L518" s="199"/>
    </row>
    <row r="519" spans="1:12" ht="24" customHeight="1">
      <c r="A519" s="433"/>
      <c r="B519" s="224" t="s">
        <v>848</v>
      </c>
      <c r="C519" s="226">
        <v>2</v>
      </c>
      <c r="D519" s="227">
        <v>8</v>
      </c>
      <c r="E519" s="226">
        <v>8</v>
      </c>
      <c r="F519" s="226"/>
      <c r="G519" s="226"/>
      <c r="H519" s="228">
        <f>C519*D519*E519</f>
        <v>128</v>
      </c>
      <c r="I519" s="226"/>
      <c r="J519" s="199"/>
      <c r="K519" s="199"/>
      <c r="L519" s="199"/>
    </row>
    <row r="520" spans="1:12" ht="24" customHeight="1">
      <c r="A520" s="415"/>
      <c r="B520" s="231" t="s">
        <v>665</v>
      </c>
      <c r="C520" s="232">
        <v>-1</v>
      </c>
      <c r="D520" s="233">
        <v>2.5</v>
      </c>
      <c r="E520" s="232">
        <v>8</v>
      </c>
      <c r="F520" s="234"/>
      <c r="G520" s="234"/>
      <c r="H520" s="235">
        <f t="shared" si="24"/>
        <v>-20</v>
      </c>
      <c r="I520" s="236"/>
      <c r="J520" s="222"/>
      <c r="K520" s="199"/>
      <c r="L520" s="199"/>
    </row>
    <row r="521" spans="1:12" ht="24" customHeight="1">
      <c r="A521" s="435"/>
      <c r="B521" s="226" t="s">
        <v>629</v>
      </c>
      <c r="C521" s="226">
        <v>1</v>
      </c>
      <c r="D521" s="227">
        <v>11.75</v>
      </c>
      <c r="E521" s="226">
        <v>5.5</v>
      </c>
      <c r="F521" s="226"/>
      <c r="G521" s="226"/>
      <c r="H521" s="228">
        <f>C521*D521*E521</f>
        <v>64.625</v>
      </c>
      <c r="I521" s="246"/>
      <c r="J521" s="199"/>
      <c r="K521" s="199"/>
      <c r="L521" s="199"/>
    </row>
    <row r="522" spans="1:12" ht="24" customHeight="1">
      <c r="A522" s="435"/>
      <c r="B522" s="245"/>
      <c r="C522" s="245">
        <v>1</v>
      </c>
      <c r="D522" s="256">
        <v>3</v>
      </c>
      <c r="E522" s="245">
        <v>2.75</v>
      </c>
      <c r="F522" s="245"/>
      <c r="G522" s="245"/>
      <c r="H522" s="245">
        <f>C522*D522*E522</f>
        <v>8.25</v>
      </c>
      <c r="I522" s="246"/>
      <c r="J522" s="199"/>
      <c r="K522" s="199"/>
      <c r="L522" s="199"/>
    </row>
    <row r="523" spans="1:12" ht="24" customHeight="1">
      <c r="A523" s="243"/>
      <c r="B523" s="245"/>
      <c r="C523" s="245">
        <v>1</v>
      </c>
      <c r="D523" s="245">
        <v>7.5</v>
      </c>
      <c r="E523" s="245">
        <v>1</v>
      </c>
      <c r="F523" s="245"/>
      <c r="G523" s="245"/>
      <c r="H523" s="245">
        <f>C523*D523*E523</f>
        <v>7.5</v>
      </c>
      <c r="I523" s="242"/>
      <c r="J523" s="222"/>
      <c r="K523" s="199"/>
      <c r="L523" s="199"/>
    </row>
    <row r="524" spans="1:12" ht="24" customHeight="1">
      <c r="A524" s="243"/>
      <c r="B524" s="245"/>
      <c r="C524" s="245"/>
      <c r="D524" s="245"/>
      <c r="E524" s="245"/>
      <c r="F524" s="245"/>
      <c r="G524" s="245"/>
      <c r="H524" s="245"/>
      <c r="I524" s="242"/>
      <c r="J524" s="222"/>
      <c r="K524" s="199"/>
      <c r="L524" s="199"/>
    </row>
    <row r="525" spans="1:12" ht="24" customHeight="1">
      <c r="A525" s="428"/>
      <c r="B525" s="314" t="s">
        <v>637</v>
      </c>
      <c r="C525" s="258"/>
      <c r="D525" s="259"/>
      <c r="E525" s="258"/>
      <c r="F525" s="258"/>
      <c r="G525" s="258"/>
      <c r="H525" s="319"/>
      <c r="I525" s="258"/>
      <c r="J525" s="199"/>
      <c r="K525" s="199"/>
      <c r="L525" s="199"/>
    </row>
    <row r="526" spans="1:12" ht="24" customHeight="1">
      <c r="A526" s="433"/>
      <c r="B526" s="224" t="s">
        <v>852</v>
      </c>
      <c r="C526" s="220"/>
      <c r="D526" s="221"/>
      <c r="E526" s="220"/>
      <c r="F526" s="217"/>
      <c r="G526" s="217"/>
      <c r="H526" s="212"/>
      <c r="I526" s="226"/>
      <c r="J526" s="199"/>
      <c r="K526" s="199"/>
      <c r="L526" s="199"/>
    </row>
    <row r="527" spans="1:12" ht="24" customHeight="1">
      <c r="A527" s="433"/>
      <c r="B527" s="224" t="s">
        <v>847</v>
      </c>
      <c r="C527" s="220">
        <v>2</v>
      </c>
      <c r="D527" s="221">
        <v>6.5</v>
      </c>
      <c r="E527" s="220">
        <v>8</v>
      </c>
      <c r="F527" s="225"/>
      <c r="G527" s="225"/>
      <c r="H527" s="212">
        <f t="shared" ref="H527:H532" si="25">C527*D527*E527</f>
        <v>104</v>
      </c>
      <c r="I527" s="226"/>
      <c r="J527" s="199"/>
      <c r="K527" s="199"/>
      <c r="L527" s="199"/>
    </row>
    <row r="528" spans="1:12" ht="24" customHeight="1">
      <c r="A528" s="433"/>
      <c r="B528" s="224" t="s">
        <v>848</v>
      </c>
      <c r="C528" s="220">
        <v>2</v>
      </c>
      <c r="D528" s="221">
        <v>6</v>
      </c>
      <c r="E528" s="220">
        <v>8</v>
      </c>
      <c r="F528" s="225"/>
      <c r="G528" s="225"/>
      <c r="H528" s="212">
        <f t="shared" si="25"/>
        <v>96</v>
      </c>
      <c r="I528" s="226"/>
      <c r="J528" s="199"/>
      <c r="K528" s="199"/>
      <c r="L528" s="199"/>
    </row>
    <row r="529" spans="1:12" ht="24" customHeight="1">
      <c r="A529" s="433"/>
      <c r="B529" s="224" t="s">
        <v>665</v>
      </c>
      <c r="C529" s="220">
        <v>-1</v>
      </c>
      <c r="D529" s="221">
        <v>2.5</v>
      </c>
      <c r="E529" s="220">
        <v>8</v>
      </c>
      <c r="F529" s="217"/>
      <c r="G529" s="217"/>
      <c r="H529" s="212">
        <f t="shared" si="25"/>
        <v>-20</v>
      </c>
      <c r="I529" s="226"/>
      <c r="J529" s="199"/>
      <c r="K529" s="199"/>
      <c r="L529" s="199"/>
    </row>
    <row r="530" spans="1:12" ht="24" customHeight="1">
      <c r="A530" s="433"/>
      <c r="B530" s="226" t="s">
        <v>667</v>
      </c>
      <c r="C530" s="220">
        <v>-1</v>
      </c>
      <c r="D530" s="221">
        <v>2</v>
      </c>
      <c r="E530" s="220">
        <v>3</v>
      </c>
      <c r="F530" s="217"/>
      <c r="G530" s="217"/>
      <c r="H530" s="212">
        <f t="shared" si="25"/>
        <v>-6</v>
      </c>
      <c r="I530" s="226"/>
      <c r="J530" s="199"/>
      <c r="K530" s="199"/>
      <c r="L530" s="199"/>
    </row>
    <row r="531" spans="1:12" ht="24" customHeight="1">
      <c r="A531" s="433"/>
      <c r="B531" s="226" t="s">
        <v>849</v>
      </c>
      <c r="C531" s="226">
        <v>1</v>
      </c>
      <c r="D531" s="227">
        <f>3.5+8.5+4.75+3.25+8.25+11.75</f>
        <v>40</v>
      </c>
      <c r="E531" s="226">
        <v>8</v>
      </c>
      <c r="F531" s="226"/>
      <c r="G531" s="226"/>
      <c r="H531" s="228">
        <f t="shared" si="25"/>
        <v>320</v>
      </c>
      <c r="I531" s="226"/>
      <c r="J531" s="199"/>
      <c r="K531" s="199"/>
      <c r="L531" s="199"/>
    </row>
    <row r="532" spans="1:12" ht="24" customHeight="1">
      <c r="A532" s="433"/>
      <c r="B532" s="226" t="s">
        <v>665</v>
      </c>
      <c r="C532" s="226">
        <v>-2</v>
      </c>
      <c r="D532" s="227">
        <v>2.5</v>
      </c>
      <c r="E532" s="226">
        <v>8</v>
      </c>
      <c r="F532" s="226"/>
      <c r="G532" s="226"/>
      <c r="H532" s="228">
        <f t="shared" si="25"/>
        <v>-40</v>
      </c>
      <c r="I532" s="226"/>
      <c r="J532" s="199"/>
      <c r="K532" s="199"/>
      <c r="L532" s="199"/>
    </row>
    <row r="533" spans="1:12" ht="24" customHeight="1">
      <c r="A533" s="433"/>
      <c r="B533" s="226" t="s">
        <v>633</v>
      </c>
      <c r="C533" s="226">
        <v>2</v>
      </c>
      <c r="D533" s="227">
        <v>4</v>
      </c>
      <c r="E533" s="226">
        <v>8</v>
      </c>
      <c r="F533" s="226"/>
      <c r="G533" s="226"/>
      <c r="H533" s="228">
        <f t="shared" ref="H533:H538" si="26">C533*D533*E533</f>
        <v>64</v>
      </c>
      <c r="I533" s="226"/>
      <c r="J533" s="199"/>
      <c r="K533" s="199"/>
      <c r="L533" s="199"/>
    </row>
    <row r="534" spans="1:12" ht="24" customHeight="1">
      <c r="A534" s="433"/>
      <c r="B534" s="224" t="s">
        <v>665</v>
      </c>
      <c r="C534" s="220">
        <v>-1</v>
      </c>
      <c r="D534" s="221">
        <v>2.5</v>
      </c>
      <c r="E534" s="220">
        <v>8</v>
      </c>
      <c r="F534" s="217"/>
      <c r="G534" s="217"/>
      <c r="H534" s="212">
        <f t="shared" si="26"/>
        <v>-20</v>
      </c>
      <c r="I534" s="226"/>
      <c r="J534" s="199"/>
      <c r="K534" s="199"/>
      <c r="L534" s="199"/>
    </row>
    <row r="535" spans="1:12" ht="24" customHeight="1">
      <c r="A535" s="225"/>
      <c r="B535" s="226" t="s">
        <v>667</v>
      </c>
      <c r="C535" s="226">
        <v>-1</v>
      </c>
      <c r="D535" s="227">
        <v>2.25</v>
      </c>
      <c r="E535" s="226">
        <v>3</v>
      </c>
      <c r="F535" s="226"/>
      <c r="G535" s="226"/>
      <c r="H535" s="228">
        <f t="shared" si="26"/>
        <v>-6.75</v>
      </c>
      <c r="I535" s="219"/>
      <c r="J535" s="222"/>
      <c r="K535" s="199"/>
      <c r="L535" s="199"/>
    </row>
    <row r="536" spans="1:12" ht="24" customHeight="1">
      <c r="A536" s="433"/>
      <c r="B536" s="315" t="s">
        <v>850</v>
      </c>
      <c r="C536" s="254">
        <v>2</v>
      </c>
      <c r="D536" s="256">
        <v>3.75</v>
      </c>
      <c r="E536" s="254">
        <v>12</v>
      </c>
      <c r="H536" s="257">
        <f t="shared" si="26"/>
        <v>90</v>
      </c>
      <c r="I536" s="226"/>
      <c r="J536" s="199"/>
      <c r="K536" s="199"/>
      <c r="L536" s="199"/>
    </row>
    <row r="537" spans="1:12" ht="24" customHeight="1">
      <c r="A537" s="433"/>
      <c r="B537" s="246" t="s">
        <v>665</v>
      </c>
      <c r="C537" s="316">
        <v>-2</v>
      </c>
      <c r="D537" s="227">
        <v>2.5</v>
      </c>
      <c r="E537" s="226">
        <v>8</v>
      </c>
      <c r="F537" s="226"/>
      <c r="G537" s="226"/>
      <c r="H537" s="228">
        <f t="shared" si="26"/>
        <v>-40</v>
      </c>
      <c r="I537" s="226"/>
      <c r="J537" s="199"/>
      <c r="K537" s="199"/>
      <c r="L537" s="199"/>
    </row>
    <row r="538" spans="1:12" ht="24" customHeight="1">
      <c r="A538" s="433"/>
      <c r="B538" s="253" t="s">
        <v>665</v>
      </c>
      <c r="C538" s="317">
        <v>-1</v>
      </c>
      <c r="D538" s="318">
        <v>2.75</v>
      </c>
      <c r="E538" s="315">
        <v>8</v>
      </c>
      <c r="F538" s="315"/>
      <c r="G538" s="315"/>
      <c r="H538" s="287">
        <f t="shared" si="26"/>
        <v>-22</v>
      </c>
      <c r="I538" s="226"/>
      <c r="J538" s="199"/>
      <c r="K538" s="199"/>
      <c r="L538" s="199"/>
    </row>
    <row r="539" spans="1:12" ht="24" customHeight="1">
      <c r="A539" s="433"/>
      <c r="B539" s="226" t="s">
        <v>636</v>
      </c>
      <c r="C539" s="317"/>
      <c r="D539" s="318"/>
      <c r="E539" s="315"/>
      <c r="F539" s="315"/>
      <c r="G539" s="315"/>
      <c r="H539" s="287"/>
      <c r="I539" s="226"/>
      <c r="J539" s="199"/>
      <c r="K539" s="199"/>
      <c r="L539" s="199"/>
    </row>
    <row r="540" spans="1:12" ht="24" customHeight="1">
      <c r="A540" s="433"/>
      <c r="B540" s="224" t="s">
        <v>847</v>
      </c>
      <c r="C540" s="226">
        <v>2</v>
      </c>
      <c r="D540" s="227">
        <v>8.25</v>
      </c>
      <c r="E540" s="226">
        <v>8</v>
      </c>
      <c r="F540" s="226"/>
      <c r="G540" s="226"/>
      <c r="H540" s="228">
        <f>C540*D540*E540</f>
        <v>132</v>
      </c>
      <c r="I540" s="226"/>
      <c r="J540" s="199"/>
      <c r="K540" s="199"/>
      <c r="L540" s="199"/>
    </row>
    <row r="541" spans="1:12" ht="24" customHeight="1">
      <c r="A541" s="433"/>
      <c r="B541" s="224" t="s">
        <v>848</v>
      </c>
      <c r="C541" s="226">
        <v>2</v>
      </c>
      <c r="D541" s="227">
        <v>4</v>
      </c>
      <c r="E541" s="226">
        <v>8</v>
      </c>
      <c r="F541" s="226"/>
      <c r="G541" s="226"/>
      <c r="H541" s="228">
        <f>C541*D541*E541</f>
        <v>64</v>
      </c>
      <c r="I541" s="226"/>
      <c r="J541" s="199"/>
      <c r="K541" s="199"/>
      <c r="L541" s="199"/>
    </row>
    <row r="542" spans="1:12" ht="24" customHeight="1">
      <c r="A542" s="225"/>
      <c r="B542" s="224" t="s">
        <v>665</v>
      </c>
      <c r="C542" s="220">
        <v>-1</v>
      </c>
      <c r="D542" s="221">
        <v>2.5</v>
      </c>
      <c r="E542" s="220">
        <v>8</v>
      </c>
      <c r="F542" s="217"/>
      <c r="G542" s="217"/>
      <c r="H542" s="212">
        <f>C542*D542*E542</f>
        <v>-20</v>
      </c>
      <c r="I542" s="219"/>
      <c r="J542" s="222"/>
      <c r="K542" s="199"/>
      <c r="L542" s="199"/>
    </row>
    <row r="543" spans="1:12" ht="24" customHeight="1">
      <c r="A543" s="433"/>
      <c r="B543" s="226" t="s">
        <v>635</v>
      </c>
      <c r="C543" s="220"/>
      <c r="D543" s="221"/>
      <c r="E543" s="220"/>
      <c r="F543" s="217"/>
      <c r="G543" s="217"/>
      <c r="H543" s="212"/>
      <c r="I543" s="226"/>
      <c r="J543" s="199"/>
      <c r="K543" s="199"/>
      <c r="L543" s="199"/>
    </row>
    <row r="544" spans="1:12" ht="24" customHeight="1">
      <c r="A544" s="433"/>
      <c r="B544" s="224" t="s">
        <v>847</v>
      </c>
      <c r="C544" s="226">
        <v>2</v>
      </c>
      <c r="D544" s="227">
        <v>3.75</v>
      </c>
      <c r="E544" s="226">
        <v>8</v>
      </c>
      <c r="F544" s="226"/>
      <c r="G544" s="226"/>
      <c r="H544" s="228">
        <f>C544*D544*E544</f>
        <v>60</v>
      </c>
      <c r="I544" s="226"/>
      <c r="J544" s="199"/>
      <c r="K544" s="199"/>
      <c r="L544" s="199"/>
    </row>
    <row r="545" spans="1:12" ht="24" customHeight="1">
      <c r="A545" s="225"/>
      <c r="B545" s="224" t="s">
        <v>848</v>
      </c>
      <c r="C545" s="226">
        <v>2</v>
      </c>
      <c r="D545" s="227">
        <v>8</v>
      </c>
      <c r="E545" s="226">
        <v>8</v>
      </c>
      <c r="F545" s="226"/>
      <c r="G545" s="226"/>
      <c r="H545" s="228">
        <f>C545*D545*E545</f>
        <v>128</v>
      </c>
      <c r="I545" s="219"/>
      <c r="J545" s="222"/>
      <c r="K545" s="199"/>
      <c r="L545" s="199"/>
    </row>
    <row r="546" spans="1:12" ht="24" customHeight="1">
      <c r="A546" s="433"/>
      <c r="B546" s="231" t="s">
        <v>665</v>
      </c>
      <c r="C546" s="232">
        <v>-1</v>
      </c>
      <c r="D546" s="233">
        <v>2.5</v>
      </c>
      <c r="E546" s="232">
        <v>8</v>
      </c>
      <c r="F546" s="234"/>
      <c r="G546" s="234"/>
      <c r="H546" s="235">
        <f>C546*D546*E546</f>
        <v>-20</v>
      </c>
      <c r="I546" s="226"/>
      <c r="J546" s="199"/>
      <c r="K546" s="199"/>
      <c r="L546" s="199"/>
    </row>
    <row r="547" spans="1:12" ht="24" customHeight="1">
      <c r="A547" s="433"/>
      <c r="B547" s="231"/>
      <c r="C547" s="232"/>
      <c r="D547" s="233"/>
      <c r="E547" s="232"/>
      <c r="F547" s="234"/>
      <c r="G547" s="234"/>
      <c r="H547" s="235"/>
      <c r="I547" s="226"/>
      <c r="J547" s="199"/>
      <c r="K547" s="199"/>
      <c r="L547" s="199"/>
    </row>
    <row r="548" spans="1:12" ht="24" customHeight="1">
      <c r="A548" s="444"/>
      <c r="B548" s="223" t="s">
        <v>640</v>
      </c>
      <c r="C548" s="226"/>
      <c r="D548" s="227"/>
      <c r="E548" s="226"/>
      <c r="F548" s="226"/>
      <c r="G548" s="226"/>
      <c r="H548" s="228"/>
      <c r="I548" s="226"/>
      <c r="J548" s="199"/>
      <c r="K548" s="199"/>
      <c r="L548" s="199"/>
    </row>
    <row r="549" spans="1:12" ht="24" customHeight="1">
      <c r="A549" s="449"/>
      <c r="B549" s="447" t="s">
        <v>853</v>
      </c>
      <c r="C549" s="220"/>
      <c r="D549" s="221"/>
      <c r="E549" s="220"/>
      <c r="F549" s="217"/>
      <c r="G549" s="217"/>
      <c r="H549" s="212"/>
      <c r="I549" s="226"/>
      <c r="J549" s="199"/>
      <c r="K549" s="199"/>
      <c r="L549" s="199"/>
    </row>
    <row r="550" spans="1:12" ht="24" customHeight="1">
      <c r="A550" s="449"/>
      <c r="B550" s="447" t="s">
        <v>847</v>
      </c>
      <c r="C550" s="220">
        <v>2</v>
      </c>
      <c r="D550" s="221">
        <v>6.5</v>
      </c>
      <c r="E550" s="220">
        <v>8</v>
      </c>
      <c r="F550" s="225"/>
      <c r="G550" s="225"/>
      <c r="H550" s="212">
        <f>C550*D550*E550</f>
        <v>104</v>
      </c>
      <c r="I550" s="226"/>
      <c r="J550" s="199"/>
      <c r="K550" s="199"/>
      <c r="L550" s="199"/>
    </row>
    <row r="551" spans="1:12" ht="24" customHeight="1">
      <c r="A551" s="449"/>
      <c r="B551" s="447" t="s">
        <v>848</v>
      </c>
      <c r="C551" s="220">
        <v>2</v>
      </c>
      <c r="D551" s="221">
        <v>6</v>
      </c>
      <c r="E551" s="220">
        <v>8</v>
      </c>
      <c r="F551" s="225"/>
      <c r="G551" s="225"/>
      <c r="H551" s="212">
        <f>C551*D551*E551</f>
        <v>96</v>
      </c>
      <c r="I551" s="226"/>
      <c r="J551" s="199"/>
      <c r="K551" s="199"/>
      <c r="L551" s="199"/>
    </row>
    <row r="552" spans="1:12" ht="24" customHeight="1">
      <c r="A552" s="449"/>
      <c r="B552" s="447" t="s">
        <v>665</v>
      </c>
      <c r="C552" s="220">
        <v>-1</v>
      </c>
      <c r="D552" s="221">
        <v>2.5</v>
      </c>
      <c r="E552" s="220">
        <v>8</v>
      </c>
      <c r="F552" s="217"/>
      <c r="G552" s="217"/>
      <c r="H552" s="212">
        <f>C552*D552*E552</f>
        <v>-20</v>
      </c>
      <c r="I552" s="226"/>
      <c r="J552" s="199"/>
      <c r="K552" s="199"/>
      <c r="L552" s="199"/>
    </row>
    <row r="553" spans="1:12" ht="24" customHeight="1">
      <c r="A553" s="449"/>
      <c r="B553" s="316" t="s">
        <v>667</v>
      </c>
      <c r="C553" s="220">
        <v>-1</v>
      </c>
      <c r="D553" s="221">
        <v>2</v>
      </c>
      <c r="E553" s="220">
        <v>3</v>
      </c>
      <c r="F553" s="217"/>
      <c r="G553" s="217"/>
      <c r="H553" s="212">
        <f>C553*D553*E553</f>
        <v>-6</v>
      </c>
      <c r="I553" s="226"/>
      <c r="J553" s="199"/>
      <c r="K553" s="199"/>
      <c r="L553" s="199"/>
    </row>
    <row r="554" spans="1:12" ht="24" customHeight="1">
      <c r="A554" s="449"/>
      <c r="B554" s="447" t="s">
        <v>855</v>
      </c>
      <c r="C554" s="220"/>
      <c r="D554" s="221"/>
      <c r="E554" s="220"/>
      <c r="F554" s="217"/>
      <c r="G554" s="217"/>
      <c r="H554" s="212"/>
      <c r="I554" s="226"/>
      <c r="J554" s="199"/>
      <c r="K554" s="199"/>
      <c r="L554" s="199"/>
    </row>
    <row r="555" spans="1:12" ht="24" customHeight="1">
      <c r="A555" s="449"/>
      <c r="B555" s="447" t="s">
        <v>847</v>
      </c>
      <c r="C555" s="226">
        <v>2</v>
      </c>
      <c r="D555" s="227">
        <v>4</v>
      </c>
      <c r="E555" s="226">
        <v>8</v>
      </c>
      <c r="F555" s="226"/>
      <c r="G555" s="226"/>
      <c r="H555" s="228">
        <f>C555*D555*E555</f>
        <v>64</v>
      </c>
      <c r="I555" s="226"/>
      <c r="J555" s="199"/>
      <c r="K555" s="199"/>
      <c r="L555" s="199"/>
    </row>
    <row r="556" spans="1:12" ht="24" customHeight="1">
      <c r="A556" s="449"/>
      <c r="B556" s="447" t="s">
        <v>848</v>
      </c>
      <c r="C556" s="226">
        <v>2</v>
      </c>
      <c r="D556" s="227">
        <v>7.5</v>
      </c>
      <c r="E556" s="226">
        <v>8</v>
      </c>
      <c r="F556" s="226"/>
      <c r="G556" s="226"/>
      <c r="H556" s="228">
        <f>C556*D556*E556</f>
        <v>120</v>
      </c>
      <c r="I556" s="226"/>
      <c r="J556" s="199"/>
      <c r="K556" s="199"/>
      <c r="L556" s="199"/>
    </row>
    <row r="557" spans="1:12" ht="24" customHeight="1">
      <c r="A557" s="449"/>
      <c r="B557" s="447" t="s">
        <v>665</v>
      </c>
      <c r="C557" s="220">
        <v>-1</v>
      </c>
      <c r="D557" s="221">
        <v>2.5</v>
      </c>
      <c r="E557" s="220">
        <v>8</v>
      </c>
      <c r="F557" s="217"/>
      <c r="G557" s="217"/>
      <c r="H557" s="212">
        <f>C557*D557*E557</f>
        <v>-20</v>
      </c>
      <c r="I557" s="226"/>
      <c r="J557" s="199"/>
      <c r="K557" s="199"/>
      <c r="L557" s="199"/>
    </row>
    <row r="558" spans="1:12" ht="24" customHeight="1">
      <c r="A558" s="449"/>
      <c r="B558" s="447" t="s">
        <v>854</v>
      </c>
      <c r="C558" s="220">
        <v>1</v>
      </c>
      <c r="D558" s="221">
        <f>7+2.5+2+4.75+7.75+7</f>
        <v>31</v>
      </c>
      <c r="E558" s="220">
        <v>8</v>
      </c>
      <c r="F558" s="217"/>
      <c r="G558" s="217"/>
      <c r="H558" s="212">
        <f>E558*D558*C558</f>
        <v>248</v>
      </c>
      <c r="I558" s="219"/>
      <c r="J558" s="222"/>
      <c r="K558" s="199"/>
      <c r="L558" s="199"/>
    </row>
    <row r="559" spans="1:12" ht="24" customHeight="1">
      <c r="A559" s="449"/>
      <c r="B559" s="316" t="s">
        <v>856</v>
      </c>
      <c r="C559" s="226">
        <v>1</v>
      </c>
      <c r="D559" s="227">
        <f>2.5+6+13.25+6+8.75</f>
        <v>36.5</v>
      </c>
      <c r="E559" s="226">
        <v>8</v>
      </c>
      <c r="F559" s="226"/>
      <c r="G559" s="226"/>
      <c r="H559" s="212">
        <f>E559*D559*C559</f>
        <v>292</v>
      </c>
      <c r="I559" s="219"/>
      <c r="J559" s="222"/>
      <c r="K559" s="199"/>
      <c r="L559" s="199"/>
    </row>
    <row r="560" spans="1:12" ht="24" customHeight="1">
      <c r="A560" s="449"/>
      <c r="B560" s="448" t="s">
        <v>780</v>
      </c>
      <c r="C560" s="254">
        <v>-1</v>
      </c>
      <c r="D560" s="256">
        <v>2</v>
      </c>
      <c r="E560" s="254">
        <v>3</v>
      </c>
      <c r="H560" s="212">
        <f>E560*D560*C560</f>
        <v>-6</v>
      </c>
      <c r="I560" s="219"/>
      <c r="J560" s="222"/>
      <c r="K560" s="199"/>
      <c r="L560" s="199"/>
    </row>
    <row r="561" spans="1:12" ht="24" customHeight="1">
      <c r="A561" s="449"/>
      <c r="B561" s="447" t="s">
        <v>648</v>
      </c>
      <c r="C561" s="220">
        <v>1</v>
      </c>
      <c r="D561" s="221">
        <v>11.75</v>
      </c>
      <c r="E561" s="220">
        <v>5.5</v>
      </c>
      <c r="F561" s="217"/>
      <c r="G561" s="217"/>
      <c r="H561" s="212">
        <f>E561*D561*C561</f>
        <v>64.625</v>
      </c>
      <c r="I561" s="226"/>
      <c r="J561" s="199"/>
      <c r="K561" s="199"/>
      <c r="L561" s="199"/>
    </row>
    <row r="562" spans="1:12" ht="24" customHeight="1">
      <c r="A562" s="449"/>
      <c r="B562" s="447"/>
      <c r="C562" s="220"/>
      <c r="D562" s="221"/>
      <c r="E562" s="220"/>
      <c r="F562" s="217"/>
      <c r="G562" s="217"/>
      <c r="H562" s="212"/>
      <c r="I562" s="226"/>
      <c r="J562" s="199"/>
      <c r="K562" s="199"/>
      <c r="L562" s="199"/>
    </row>
    <row r="563" spans="1:12" ht="24" hidden="1" customHeight="1">
      <c r="A563" s="449"/>
      <c r="B563" s="447"/>
      <c r="C563" s="220">
        <v>1</v>
      </c>
      <c r="D563" s="221">
        <v>0.75</v>
      </c>
      <c r="E563" s="220">
        <v>2.75</v>
      </c>
      <c r="F563" s="217"/>
      <c r="G563" s="217"/>
      <c r="H563" s="212">
        <f>E563*D563*C563</f>
        <v>2.0625</v>
      </c>
      <c r="I563" s="226"/>
      <c r="J563" s="199"/>
      <c r="K563" s="199"/>
      <c r="L563" s="199"/>
    </row>
    <row r="564" spans="1:12" ht="24" hidden="1" customHeight="1">
      <c r="A564" s="449"/>
      <c r="B564" s="447"/>
      <c r="C564" s="220">
        <v>1</v>
      </c>
      <c r="D564" s="221">
        <v>8</v>
      </c>
      <c r="E564" s="220">
        <v>5.45</v>
      </c>
      <c r="F564" s="217"/>
      <c r="G564" s="217"/>
      <c r="H564" s="212">
        <f>E564*D564*C564</f>
        <v>43.6</v>
      </c>
      <c r="I564" s="226"/>
      <c r="J564" s="199"/>
      <c r="K564" s="199"/>
      <c r="L564" s="199"/>
    </row>
    <row r="565" spans="1:12" ht="24" hidden="1" customHeight="1">
      <c r="A565" s="449"/>
      <c r="B565" s="447"/>
      <c r="C565" s="220">
        <v>1</v>
      </c>
      <c r="D565" s="221">
        <v>2.75</v>
      </c>
      <c r="E565" s="220">
        <v>2.75</v>
      </c>
      <c r="F565" s="217"/>
      <c r="G565" s="217"/>
      <c r="H565" s="228">
        <f>E565*D565*C565</f>
        <v>7.5625</v>
      </c>
      <c r="I565" s="226"/>
      <c r="J565" s="199"/>
      <c r="K565" s="199"/>
      <c r="L565" s="199"/>
    </row>
    <row r="566" spans="1:12" ht="24" hidden="1" customHeight="1">
      <c r="A566" s="423"/>
      <c r="B566" s="194"/>
      <c r="C566" s="220"/>
      <c r="D566" s="221"/>
      <c r="E566" s="220"/>
      <c r="F566" s="217"/>
      <c r="G566" s="217"/>
      <c r="H566" s="218"/>
      <c r="I566" s="219"/>
      <c r="J566" s="222"/>
      <c r="K566" s="199"/>
      <c r="L566" s="199"/>
    </row>
    <row r="567" spans="1:12" ht="409.5">
      <c r="A567" s="345" t="s">
        <v>967</v>
      </c>
      <c r="B567" s="356" t="s">
        <v>978</v>
      </c>
      <c r="C567" s="354"/>
      <c r="D567" s="354"/>
      <c r="E567" s="354"/>
      <c r="F567" s="348" t="s">
        <v>620</v>
      </c>
      <c r="G567" s="348"/>
      <c r="H567" s="349">
        <f>SUM(H570:H588)</f>
        <v>11</v>
      </c>
      <c r="I567" s="355" t="s">
        <v>105</v>
      </c>
      <c r="J567" s="222"/>
      <c r="K567" s="199"/>
      <c r="L567" s="199"/>
    </row>
    <row r="568" spans="1:12" ht="24" customHeight="1">
      <c r="A568" s="225"/>
      <c r="B568" s="194"/>
      <c r="C568" s="220"/>
      <c r="D568" s="221"/>
      <c r="E568" s="220"/>
      <c r="F568" s="217"/>
      <c r="G568" s="217"/>
      <c r="H568" s="218"/>
      <c r="I568" s="219"/>
      <c r="J568" s="222"/>
      <c r="K568" s="199"/>
      <c r="L568" s="199"/>
    </row>
    <row r="569" spans="1:12" ht="24" customHeight="1">
      <c r="A569" s="225"/>
      <c r="B569" s="223" t="s">
        <v>622</v>
      </c>
      <c r="C569" s="220"/>
      <c r="D569" s="221"/>
      <c r="E569" s="220"/>
      <c r="F569" s="217"/>
      <c r="G569" s="217"/>
      <c r="H569" s="212"/>
      <c r="I569" s="219"/>
      <c r="J569" s="222"/>
      <c r="K569" s="199"/>
      <c r="L569" s="199"/>
    </row>
    <row r="570" spans="1:12" ht="24" customHeight="1">
      <c r="A570" s="225"/>
      <c r="B570" s="224" t="s">
        <v>626</v>
      </c>
      <c r="C570" s="220">
        <v>1</v>
      </c>
      <c r="D570" s="221"/>
      <c r="E570" s="220"/>
      <c r="F570" s="217"/>
      <c r="G570" s="217"/>
      <c r="H570" s="212">
        <f>C570</f>
        <v>1</v>
      </c>
      <c r="I570" s="219"/>
      <c r="J570" s="222"/>
      <c r="K570" s="199"/>
      <c r="L570" s="199"/>
    </row>
    <row r="571" spans="1:12" ht="24" customHeight="1">
      <c r="A571" s="225"/>
      <c r="B571" s="224" t="s">
        <v>628</v>
      </c>
      <c r="C571" s="220">
        <v>1</v>
      </c>
      <c r="D571" s="221"/>
      <c r="E571" s="220"/>
      <c r="F571" s="225"/>
      <c r="G571" s="225"/>
      <c r="H571" s="212">
        <f>C571</f>
        <v>1</v>
      </c>
      <c r="I571" s="219"/>
      <c r="J571" s="222"/>
      <c r="K571" s="199"/>
      <c r="L571" s="199"/>
    </row>
    <row r="572" spans="1:12" ht="24" customHeight="1">
      <c r="A572" s="433"/>
      <c r="B572" s="226" t="s">
        <v>632</v>
      </c>
      <c r="C572" s="226"/>
      <c r="D572" s="227"/>
      <c r="E572" s="226"/>
      <c r="F572" s="226"/>
      <c r="G572" s="226"/>
      <c r="H572" s="212"/>
      <c r="I572" s="226"/>
      <c r="J572" s="199"/>
      <c r="K572" s="199"/>
      <c r="L572" s="199"/>
    </row>
    <row r="573" spans="1:12" ht="24" customHeight="1">
      <c r="A573" s="433"/>
      <c r="B573" s="226" t="s">
        <v>633</v>
      </c>
      <c r="C573" s="226">
        <v>1</v>
      </c>
      <c r="D573" s="227"/>
      <c r="E573" s="226"/>
      <c r="F573" s="226"/>
      <c r="G573" s="226"/>
      <c r="H573" s="212">
        <f>C573</f>
        <v>1</v>
      </c>
      <c r="I573" s="226"/>
      <c r="J573" s="199"/>
      <c r="K573" s="199"/>
      <c r="L573" s="199"/>
    </row>
    <row r="574" spans="1:12" ht="24" customHeight="1">
      <c r="A574" s="433"/>
      <c r="B574" s="226" t="s">
        <v>634</v>
      </c>
      <c r="C574" s="226"/>
      <c r="D574" s="227"/>
      <c r="E574" s="226"/>
      <c r="F574" s="226"/>
      <c r="G574" s="226"/>
      <c r="H574" s="212"/>
      <c r="I574" s="226"/>
      <c r="J574" s="199"/>
      <c r="K574" s="199"/>
      <c r="L574" s="199"/>
    </row>
    <row r="575" spans="1:12" ht="24" customHeight="1">
      <c r="A575" s="433"/>
      <c r="B575" s="226" t="s">
        <v>635</v>
      </c>
      <c r="C575" s="226">
        <v>1</v>
      </c>
      <c r="D575" s="227"/>
      <c r="E575" s="226"/>
      <c r="F575" s="226"/>
      <c r="G575" s="226"/>
      <c r="H575" s="212">
        <f>C575</f>
        <v>1</v>
      </c>
      <c r="I575" s="226"/>
      <c r="J575" s="199"/>
      <c r="K575" s="199"/>
      <c r="L575" s="199"/>
    </row>
    <row r="576" spans="1:12" ht="24" customHeight="1">
      <c r="A576" s="433"/>
      <c r="B576" s="226"/>
      <c r="C576" s="226"/>
      <c r="D576" s="227"/>
      <c r="E576" s="226"/>
      <c r="F576" s="226"/>
      <c r="G576" s="226"/>
      <c r="H576" s="212"/>
      <c r="I576" s="226"/>
      <c r="J576" s="199"/>
      <c r="K576" s="199"/>
      <c r="L576" s="199"/>
    </row>
    <row r="577" spans="1:12" ht="24" customHeight="1">
      <c r="A577" s="433"/>
      <c r="B577" s="223" t="s">
        <v>637</v>
      </c>
      <c r="C577" s="226"/>
      <c r="D577" s="227"/>
      <c r="E577" s="226"/>
      <c r="F577" s="226"/>
      <c r="G577" s="226"/>
      <c r="H577" s="212"/>
      <c r="I577" s="226"/>
      <c r="J577" s="199"/>
      <c r="K577" s="199"/>
      <c r="L577" s="199"/>
    </row>
    <row r="578" spans="1:12" ht="24" customHeight="1">
      <c r="A578" s="433"/>
      <c r="B578" s="226" t="s">
        <v>638</v>
      </c>
      <c r="C578" s="226">
        <v>1</v>
      </c>
      <c r="D578" s="227"/>
      <c r="E578" s="226"/>
      <c r="F578" s="226"/>
      <c r="G578" s="226"/>
      <c r="H578" s="212">
        <f>C578</f>
        <v>1</v>
      </c>
      <c r="I578" s="226"/>
      <c r="J578" s="199"/>
      <c r="K578" s="199"/>
      <c r="L578" s="199"/>
    </row>
    <row r="579" spans="1:12" ht="24" customHeight="1">
      <c r="A579" s="433"/>
      <c r="B579" s="226" t="s">
        <v>632</v>
      </c>
      <c r="C579" s="226"/>
      <c r="D579" s="227"/>
      <c r="E579" s="226"/>
      <c r="F579" s="226"/>
      <c r="G579" s="226"/>
      <c r="H579" s="212"/>
      <c r="I579" s="226"/>
      <c r="J579" s="199"/>
      <c r="K579" s="199"/>
      <c r="L579" s="199"/>
    </row>
    <row r="580" spans="1:12" ht="24" customHeight="1">
      <c r="A580" s="433"/>
      <c r="B580" s="226" t="s">
        <v>633</v>
      </c>
      <c r="C580" s="226">
        <v>1</v>
      </c>
      <c r="D580" s="227"/>
      <c r="E580" s="226"/>
      <c r="F580" s="226"/>
      <c r="G580" s="226"/>
      <c r="H580" s="212">
        <f>C580</f>
        <v>1</v>
      </c>
      <c r="I580" s="226"/>
      <c r="J580" s="199"/>
      <c r="K580" s="199"/>
      <c r="L580" s="199"/>
    </row>
    <row r="581" spans="1:12" ht="24" customHeight="1">
      <c r="A581" s="433"/>
      <c r="B581" s="226" t="s">
        <v>634</v>
      </c>
      <c r="C581" s="226"/>
      <c r="D581" s="227"/>
      <c r="E581" s="226"/>
      <c r="F581" s="226"/>
      <c r="G581" s="226"/>
      <c r="H581" s="212"/>
      <c r="I581" s="226"/>
      <c r="J581" s="199"/>
      <c r="K581" s="199"/>
      <c r="L581" s="199"/>
    </row>
    <row r="582" spans="1:12" ht="24" customHeight="1">
      <c r="A582" s="433"/>
      <c r="B582" s="226" t="s">
        <v>635</v>
      </c>
      <c r="C582" s="226">
        <v>1</v>
      </c>
      <c r="D582" s="227"/>
      <c r="E582" s="226"/>
      <c r="F582" s="226"/>
      <c r="G582" s="226"/>
      <c r="H582" s="212">
        <f>C582</f>
        <v>1</v>
      </c>
      <c r="I582" s="226"/>
      <c r="J582" s="199"/>
      <c r="K582" s="199"/>
      <c r="L582" s="199"/>
    </row>
    <row r="583" spans="1:12" ht="24" customHeight="1">
      <c r="A583" s="433"/>
      <c r="B583" s="226"/>
      <c r="C583" s="226"/>
      <c r="D583" s="227"/>
      <c r="E583" s="226"/>
      <c r="F583" s="226"/>
      <c r="G583" s="226"/>
      <c r="H583" s="212"/>
      <c r="I583" s="226"/>
      <c r="J583" s="199"/>
      <c r="K583" s="199"/>
      <c r="L583" s="199"/>
    </row>
    <row r="584" spans="1:12" ht="24" customHeight="1">
      <c r="A584" s="433"/>
      <c r="B584" s="223" t="s">
        <v>640</v>
      </c>
      <c r="C584" s="226"/>
      <c r="D584" s="227"/>
      <c r="E584" s="226"/>
      <c r="F584" s="226"/>
      <c r="G584" s="226"/>
      <c r="H584" s="212"/>
      <c r="I584" s="226"/>
      <c r="J584" s="199"/>
      <c r="K584" s="199"/>
      <c r="L584" s="199"/>
    </row>
    <row r="585" spans="1:12" ht="24" customHeight="1">
      <c r="A585" s="433"/>
      <c r="B585" s="226" t="s">
        <v>652</v>
      </c>
      <c r="C585" s="226">
        <v>1</v>
      </c>
      <c r="D585" s="227"/>
      <c r="E585" s="226"/>
      <c r="F585" s="226"/>
      <c r="G585" s="226"/>
      <c r="H585" s="212">
        <f>C585</f>
        <v>1</v>
      </c>
      <c r="I585" s="226"/>
      <c r="J585" s="199"/>
      <c r="K585" s="199"/>
      <c r="L585" s="199"/>
    </row>
    <row r="586" spans="1:12" ht="24" customHeight="1">
      <c r="A586" s="433"/>
      <c r="B586" s="226" t="s">
        <v>654</v>
      </c>
      <c r="C586" s="226">
        <v>1</v>
      </c>
      <c r="D586" s="227"/>
      <c r="E586" s="226"/>
      <c r="F586" s="226"/>
      <c r="G586" s="226"/>
      <c r="H586" s="212">
        <f>C586</f>
        <v>1</v>
      </c>
      <c r="I586" s="226"/>
      <c r="J586" s="199"/>
      <c r="K586" s="199"/>
      <c r="L586" s="199"/>
    </row>
    <row r="587" spans="1:12" ht="24" customHeight="1">
      <c r="A587" s="433"/>
      <c r="B587" s="226" t="s">
        <v>655</v>
      </c>
      <c r="C587" s="226">
        <v>1</v>
      </c>
      <c r="D587" s="227"/>
      <c r="E587" s="226"/>
      <c r="F587" s="226"/>
      <c r="G587" s="226"/>
      <c r="H587" s="212">
        <f>C587</f>
        <v>1</v>
      </c>
      <c r="I587" s="226"/>
      <c r="J587" s="199"/>
      <c r="K587" s="199"/>
      <c r="L587" s="199"/>
    </row>
    <row r="588" spans="1:12" ht="24" customHeight="1">
      <c r="A588" s="225"/>
      <c r="B588" s="226" t="s">
        <v>656</v>
      </c>
      <c r="C588" s="226">
        <v>1</v>
      </c>
      <c r="D588" s="227"/>
      <c r="E588" s="226"/>
      <c r="F588" s="226"/>
      <c r="G588" s="226"/>
      <c r="H588" s="212">
        <f>C588</f>
        <v>1</v>
      </c>
      <c r="I588" s="219"/>
      <c r="J588" s="222"/>
      <c r="K588" s="199"/>
      <c r="L588" s="199"/>
    </row>
    <row r="589" spans="1:12" ht="24" customHeight="1">
      <c r="A589" s="225"/>
      <c r="B589" s="194"/>
      <c r="C589" s="220"/>
      <c r="D589" s="221"/>
      <c r="E589" s="220"/>
      <c r="F589" s="217"/>
      <c r="G589" s="217"/>
      <c r="H589" s="218"/>
      <c r="I589" s="219"/>
      <c r="J589" s="222"/>
      <c r="K589" s="199"/>
      <c r="L589" s="199"/>
    </row>
    <row r="590" spans="1:12" ht="236.25">
      <c r="A590" s="345" t="s">
        <v>968</v>
      </c>
      <c r="B590" s="356" t="s">
        <v>969</v>
      </c>
      <c r="C590" s="354"/>
      <c r="D590" s="354"/>
      <c r="E590" s="354"/>
      <c r="F590" s="348" t="s">
        <v>620</v>
      </c>
      <c r="G590" s="348"/>
      <c r="H590" s="349">
        <f>SUM(H593:H601)</f>
        <v>11</v>
      </c>
      <c r="I590" s="355" t="s">
        <v>105</v>
      </c>
      <c r="J590" s="222"/>
      <c r="K590" s="199"/>
      <c r="L590" s="199"/>
    </row>
    <row r="591" spans="1:12" ht="24" customHeight="1">
      <c r="A591" s="225"/>
      <c r="B591" s="194"/>
      <c r="C591" s="220"/>
      <c r="D591" s="221"/>
      <c r="E591" s="220"/>
      <c r="F591" s="217"/>
      <c r="G591" s="217"/>
      <c r="H591" s="218"/>
      <c r="I591" s="219"/>
      <c r="J591" s="222"/>
      <c r="K591" s="199"/>
      <c r="L591" s="199"/>
    </row>
    <row r="592" spans="1:12" ht="24" customHeight="1">
      <c r="A592" s="225"/>
      <c r="B592" s="223" t="s">
        <v>622</v>
      </c>
      <c r="C592" s="220"/>
      <c r="D592" s="221"/>
      <c r="E592" s="220"/>
      <c r="F592" s="217"/>
      <c r="G592" s="217"/>
      <c r="H592" s="212"/>
      <c r="I592" s="219"/>
      <c r="J592" s="222"/>
      <c r="K592" s="199"/>
      <c r="L592" s="199"/>
    </row>
    <row r="593" spans="1:12" ht="24" customHeight="1">
      <c r="A593" s="225"/>
      <c r="B593" s="224" t="s">
        <v>626</v>
      </c>
      <c r="C593" s="220">
        <v>1</v>
      </c>
      <c r="D593" s="221"/>
      <c r="E593" s="220"/>
      <c r="F593" s="217"/>
      <c r="G593" s="217"/>
      <c r="H593" s="212">
        <f>C593</f>
        <v>1</v>
      </c>
      <c r="I593" s="219"/>
      <c r="J593" s="222"/>
      <c r="K593" s="199"/>
      <c r="L593" s="199"/>
    </row>
    <row r="594" spans="1:12" ht="24" customHeight="1">
      <c r="A594" s="225"/>
      <c r="B594" s="224" t="s">
        <v>628</v>
      </c>
      <c r="C594" s="220">
        <v>1</v>
      </c>
      <c r="D594" s="221"/>
      <c r="E594" s="220"/>
      <c r="F594" s="225"/>
      <c r="G594" s="225"/>
      <c r="H594" s="212">
        <f>C594</f>
        <v>1</v>
      </c>
      <c r="I594" s="219"/>
      <c r="J594" s="222"/>
      <c r="K594" s="199"/>
      <c r="L594" s="199"/>
    </row>
    <row r="595" spans="1:12" ht="24" customHeight="1">
      <c r="A595" s="433"/>
      <c r="B595" s="226" t="s">
        <v>636</v>
      </c>
      <c r="C595" s="226">
        <v>3</v>
      </c>
      <c r="D595" s="227"/>
      <c r="E595" s="226"/>
      <c r="F595" s="226"/>
      <c r="G595" s="226"/>
      <c r="H595" s="212">
        <f>C595</f>
        <v>3</v>
      </c>
      <c r="I595" s="226"/>
      <c r="J595" s="199"/>
      <c r="K595" s="199"/>
      <c r="L595" s="199"/>
    </row>
    <row r="596" spans="1:12" ht="24" customHeight="1">
      <c r="A596" s="433"/>
      <c r="B596" s="223" t="s">
        <v>637</v>
      </c>
      <c r="C596" s="226"/>
      <c r="D596" s="227"/>
      <c r="E596" s="226"/>
      <c r="F596" s="226"/>
      <c r="G596" s="226"/>
      <c r="H596" s="212"/>
      <c r="I596" s="226"/>
      <c r="J596" s="199"/>
      <c r="K596" s="199"/>
      <c r="L596" s="199"/>
    </row>
    <row r="597" spans="1:12" ht="24" customHeight="1">
      <c r="A597" s="433"/>
      <c r="B597" s="226" t="s">
        <v>638</v>
      </c>
      <c r="C597" s="226">
        <v>1</v>
      </c>
      <c r="D597" s="227"/>
      <c r="E597" s="226"/>
      <c r="F597" s="226"/>
      <c r="G597" s="226"/>
      <c r="H597" s="212">
        <f>C597</f>
        <v>1</v>
      </c>
      <c r="I597" s="226"/>
      <c r="J597" s="199"/>
      <c r="K597" s="199"/>
      <c r="L597" s="199"/>
    </row>
    <row r="598" spans="1:12" ht="24" customHeight="1">
      <c r="A598" s="225"/>
      <c r="B598" s="224" t="s">
        <v>628</v>
      </c>
      <c r="C598" s="220">
        <v>1</v>
      </c>
      <c r="D598" s="221"/>
      <c r="E598" s="220"/>
      <c r="F598" s="225"/>
      <c r="G598" s="225"/>
      <c r="H598" s="212">
        <f>C598</f>
        <v>1</v>
      </c>
      <c r="I598" s="219"/>
      <c r="J598" s="222"/>
      <c r="K598" s="199"/>
      <c r="L598" s="199"/>
    </row>
    <row r="599" spans="1:12" ht="24" customHeight="1">
      <c r="A599" s="433"/>
      <c r="B599" s="226" t="s">
        <v>636</v>
      </c>
      <c r="C599" s="226">
        <v>3</v>
      </c>
      <c r="D599" s="227"/>
      <c r="E599" s="226"/>
      <c r="F599" s="226"/>
      <c r="G599" s="226"/>
      <c r="H599" s="212">
        <f>C599</f>
        <v>3</v>
      </c>
      <c r="I599" s="226"/>
      <c r="J599" s="199"/>
      <c r="K599" s="199"/>
      <c r="L599" s="199"/>
    </row>
    <row r="600" spans="1:12" ht="24" customHeight="1">
      <c r="A600" s="433"/>
      <c r="B600" s="223" t="s">
        <v>640</v>
      </c>
      <c r="C600" s="226"/>
      <c r="D600" s="227"/>
      <c r="E600" s="226"/>
      <c r="F600" s="226"/>
      <c r="G600" s="226"/>
      <c r="H600" s="212"/>
      <c r="I600" s="226"/>
      <c r="J600" s="199"/>
      <c r="K600" s="199"/>
      <c r="L600" s="199"/>
    </row>
    <row r="601" spans="1:12" ht="24" customHeight="1">
      <c r="A601" s="225"/>
      <c r="B601" s="226" t="s">
        <v>656</v>
      </c>
      <c r="C601" s="226">
        <v>1</v>
      </c>
      <c r="D601" s="227"/>
      <c r="E601" s="226"/>
      <c r="F601" s="226"/>
      <c r="G601" s="226"/>
      <c r="H601" s="212">
        <f>C601</f>
        <v>1</v>
      </c>
      <c r="I601" s="219"/>
      <c r="J601" s="222"/>
      <c r="K601" s="199"/>
      <c r="L601" s="199"/>
    </row>
    <row r="602" spans="1:12" ht="24" customHeight="1">
      <c r="A602" s="225"/>
      <c r="B602" s="194"/>
      <c r="C602" s="220"/>
      <c r="D602" s="221"/>
      <c r="E602" s="220"/>
      <c r="F602" s="217"/>
      <c r="G602" s="217"/>
      <c r="H602" s="218"/>
      <c r="I602" s="219"/>
      <c r="J602" s="222"/>
      <c r="K602" s="199"/>
      <c r="L602" s="199"/>
    </row>
    <row r="603" spans="1:12" ht="157.5">
      <c r="A603" s="345" t="s">
        <v>982</v>
      </c>
      <c r="B603" s="356" t="s">
        <v>981</v>
      </c>
      <c r="C603" s="354"/>
      <c r="D603" s="354"/>
      <c r="E603" s="354"/>
      <c r="F603" s="348" t="s">
        <v>620</v>
      </c>
      <c r="G603" s="348"/>
      <c r="H603" s="349">
        <f>SUM(H606:H616)</f>
        <v>7</v>
      </c>
      <c r="I603" s="355" t="s">
        <v>105</v>
      </c>
      <c r="J603" s="222"/>
      <c r="K603" s="199"/>
      <c r="L603" s="199"/>
    </row>
    <row r="604" spans="1:12" ht="24" customHeight="1">
      <c r="A604" s="225"/>
      <c r="B604" s="194"/>
      <c r="C604" s="220"/>
      <c r="D604" s="221"/>
      <c r="E604" s="220"/>
      <c r="F604" s="217"/>
      <c r="G604" s="217"/>
      <c r="H604" s="218"/>
      <c r="I604" s="219"/>
      <c r="J604" s="222"/>
      <c r="K604" s="199"/>
      <c r="L604" s="199"/>
    </row>
    <row r="605" spans="1:12" ht="24" customHeight="1">
      <c r="A605" s="225"/>
      <c r="B605" s="223" t="s">
        <v>622</v>
      </c>
      <c r="C605" s="220"/>
      <c r="D605" s="221"/>
      <c r="E605" s="220"/>
      <c r="F605" s="217"/>
      <c r="G605" s="217"/>
      <c r="H605" s="212"/>
      <c r="I605" s="219"/>
      <c r="J605" s="222"/>
      <c r="K605" s="199"/>
      <c r="L605" s="199"/>
    </row>
    <row r="606" spans="1:12" ht="24" customHeight="1">
      <c r="A606" s="225"/>
      <c r="B606" s="224" t="s">
        <v>626</v>
      </c>
      <c r="C606" s="220">
        <v>1</v>
      </c>
      <c r="D606" s="221"/>
      <c r="E606" s="220"/>
      <c r="F606" s="217"/>
      <c r="G606" s="217"/>
      <c r="H606" s="212">
        <f>C606</f>
        <v>1</v>
      </c>
      <c r="I606" s="219"/>
      <c r="J606" s="222"/>
      <c r="K606" s="199"/>
      <c r="L606" s="199"/>
    </row>
    <row r="607" spans="1:12" ht="24" customHeight="1">
      <c r="A607" s="225"/>
      <c r="B607" s="224" t="s">
        <v>628</v>
      </c>
      <c r="C607" s="220">
        <v>1</v>
      </c>
      <c r="D607" s="221"/>
      <c r="E607" s="220"/>
      <c r="F607" s="225"/>
      <c r="G607" s="225"/>
      <c r="H607" s="212">
        <f>C607</f>
        <v>1</v>
      </c>
      <c r="I607" s="219"/>
      <c r="J607" s="222"/>
      <c r="K607" s="199"/>
      <c r="L607" s="199"/>
    </row>
    <row r="608" spans="1:12" ht="24" customHeight="1">
      <c r="A608" s="225"/>
      <c r="I608" s="219"/>
      <c r="J608" s="222"/>
      <c r="K608" s="199"/>
      <c r="L608" s="199"/>
    </row>
    <row r="609" spans="1:12" ht="24" customHeight="1">
      <c r="A609" s="433"/>
      <c r="B609" s="223" t="s">
        <v>637</v>
      </c>
      <c r="C609" s="226"/>
      <c r="D609" s="227"/>
      <c r="E609" s="226"/>
      <c r="F609" s="226"/>
      <c r="G609" s="226"/>
      <c r="H609" s="212"/>
      <c r="I609" s="226"/>
      <c r="J609" s="199"/>
      <c r="K609" s="199"/>
      <c r="L609" s="199"/>
    </row>
    <row r="610" spans="1:12" ht="24" customHeight="1">
      <c r="A610" s="433"/>
      <c r="B610" s="226" t="s">
        <v>638</v>
      </c>
      <c r="C610" s="226">
        <v>1</v>
      </c>
      <c r="D610" s="227"/>
      <c r="E610" s="226"/>
      <c r="F610" s="226"/>
      <c r="G610" s="226"/>
      <c r="H610" s="212">
        <f>C610</f>
        <v>1</v>
      </c>
      <c r="I610" s="226"/>
      <c r="J610" s="199"/>
      <c r="K610" s="199"/>
      <c r="L610" s="199"/>
    </row>
    <row r="611" spans="1:12" ht="24" customHeight="1">
      <c r="A611" s="433"/>
      <c r="B611" s="224"/>
      <c r="C611" s="220"/>
      <c r="D611" s="221"/>
      <c r="E611" s="220"/>
      <c r="F611" s="225"/>
      <c r="G611" s="225"/>
      <c r="H611" s="212"/>
      <c r="I611" s="219"/>
      <c r="J611" s="199"/>
      <c r="K611" s="199"/>
      <c r="L611" s="199"/>
    </row>
    <row r="612" spans="1:12" ht="24" customHeight="1">
      <c r="A612" s="433"/>
      <c r="B612" s="223" t="s">
        <v>640</v>
      </c>
      <c r="C612" s="226"/>
      <c r="D612" s="227"/>
      <c r="E612" s="226"/>
      <c r="F612" s="226"/>
      <c r="G612" s="226"/>
      <c r="H612" s="212"/>
      <c r="I612" s="226"/>
      <c r="J612" s="199"/>
      <c r="K612" s="199"/>
      <c r="L612" s="199"/>
    </row>
    <row r="613" spans="1:12" ht="24" customHeight="1">
      <c r="A613" s="433"/>
      <c r="B613" s="226" t="s">
        <v>652</v>
      </c>
      <c r="C613" s="226">
        <v>1</v>
      </c>
      <c r="D613" s="227"/>
      <c r="E613" s="226"/>
      <c r="F613" s="226"/>
      <c r="G613" s="226"/>
      <c r="H613" s="212">
        <f>C613</f>
        <v>1</v>
      </c>
      <c r="I613" s="226"/>
      <c r="J613" s="199"/>
      <c r="K613" s="199"/>
      <c r="L613" s="199"/>
    </row>
    <row r="614" spans="1:12" ht="24" customHeight="1">
      <c r="A614" s="433"/>
      <c r="B614" s="226" t="s">
        <v>654</v>
      </c>
      <c r="C614" s="226">
        <v>1</v>
      </c>
      <c r="D614" s="227"/>
      <c r="E614" s="226"/>
      <c r="F614" s="226"/>
      <c r="G614" s="226"/>
      <c r="H614" s="212">
        <f>C614</f>
        <v>1</v>
      </c>
      <c r="I614" s="226"/>
      <c r="J614" s="199"/>
      <c r="K614" s="199"/>
      <c r="L614" s="199"/>
    </row>
    <row r="615" spans="1:12" ht="24" customHeight="1">
      <c r="A615" s="433"/>
      <c r="B615" s="226" t="s">
        <v>655</v>
      </c>
      <c r="C615" s="226">
        <v>1</v>
      </c>
      <c r="D615" s="227"/>
      <c r="E615" s="226"/>
      <c r="F615" s="226"/>
      <c r="G615" s="226"/>
      <c r="H615" s="212">
        <f>C615</f>
        <v>1</v>
      </c>
      <c r="I615" s="226"/>
      <c r="J615" s="199"/>
      <c r="K615" s="199"/>
      <c r="L615" s="199"/>
    </row>
    <row r="616" spans="1:12" ht="24" customHeight="1">
      <c r="A616" s="225"/>
      <c r="B616" s="226" t="s">
        <v>656</v>
      </c>
      <c r="C616" s="226">
        <v>1</v>
      </c>
      <c r="D616" s="227"/>
      <c r="E616" s="226"/>
      <c r="F616" s="226"/>
      <c r="G616" s="226"/>
      <c r="H616" s="212">
        <f>C616</f>
        <v>1</v>
      </c>
      <c r="I616" s="219"/>
      <c r="J616" s="222"/>
      <c r="K616" s="199"/>
      <c r="L616" s="199"/>
    </row>
    <row r="617" spans="1:12" ht="24" customHeight="1">
      <c r="A617" s="225"/>
      <c r="B617" s="194"/>
      <c r="C617" s="220"/>
      <c r="D617" s="221"/>
      <c r="E617" s="220"/>
      <c r="F617" s="217"/>
      <c r="G617" s="217"/>
      <c r="H617" s="218"/>
      <c r="I617" s="219"/>
      <c r="J617" s="222"/>
      <c r="K617" s="199"/>
      <c r="L617" s="199"/>
    </row>
    <row r="618" spans="1:12" ht="157.5">
      <c r="A618" s="345" t="s">
        <v>979</v>
      </c>
      <c r="B618" s="356" t="s">
        <v>980</v>
      </c>
      <c r="C618" s="354"/>
      <c r="D618" s="354"/>
      <c r="E618" s="354"/>
      <c r="F618" s="348" t="s">
        <v>620</v>
      </c>
      <c r="G618" s="348"/>
      <c r="H618" s="349">
        <f>SUM(H621:H625)</f>
        <v>4</v>
      </c>
      <c r="I618" s="355" t="s">
        <v>105</v>
      </c>
      <c r="J618" s="222"/>
      <c r="K618" s="199"/>
      <c r="L618" s="199"/>
    </row>
    <row r="619" spans="1:12" ht="24" customHeight="1">
      <c r="A619" s="225"/>
      <c r="B619" s="194"/>
      <c r="C619" s="220"/>
      <c r="D619" s="221"/>
      <c r="E619" s="220"/>
      <c r="F619" s="217"/>
      <c r="G619" s="217"/>
      <c r="H619" s="218"/>
      <c r="I619" s="219"/>
      <c r="J619" s="222"/>
      <c r="K619" s="199"/>
      <c r="L619" s="199"/>
    </row>
    <row r="620" spans="1:12" ht="24" customHeight="1">
      <c r="A620" s="225"/>
      <c r="B620" s="223" t="s">
        <v>622</v>
      </c>
      <c r="C620" s="220"/>
      <c r="D620" s="221"/>
      <c r="E620" s="220"/>
      <c r="F620" s="217"/>
      <c r="G620" s="217"/>
      <c r="H620" s="212"/>
      <c r="I620" s="219"/>
      <c r="J620" s="222"/>
      <c r="K620" s="199"/>
      <c r="L620" s="199"/>
    </row>
    <row r="621" spans="1:12" ht="24" customHeight="1">
      <c r="A621" s="433"/>
      <c r="B621" s="226" t="s">
        <v>632</v>
      </c>
      <c r="C621" s="226">
        <v>1</v>
      </c>
      <c r="D621" s="227"/>
      <c r="E621" s="226"/>
      <c r="F621" s="226"/>
      <c r="G621" s="226"/>
      <c r="H621" s="212">
        <f>C621</f>
        <v>1</v>
      </c>
      <c r="I621" s="226"/>
      <c r="J621" s="199"/>
      <c r="K621" s="199"/>
      <c r="L621" s="199"/>
    </row>
    <row r="622" spans="1:12" ht="24" customHeight="1">
      <c r="A622" s="433"/>
      <c r="B622" s="226" t="s">
        <v>634</v>
      </c>
      <c r="C622" s="226">
        <v>1</v>
      </c>
      <c r="D622" s="227"/>
      <c r="E622" s="226"/>
      <c r="F622" s="226"/>
      <c r="G622" s="226"/>
      <c r="H622" s="212">
        <f>C622</f>
        <v>1</v>
      </c>
      <c r="I622" s="226"/>
      <c r="J622" s="199"/>
      <c r="K622" s="199"/>
      <c r="L622" s="199"/>
    </row>
    <row r="623" spans="1:12" ht="24" customHeight="1">
      <c r="A623" s="433"/>
      <c r="B623" s="223" t="s">
        <v>637</v>
      </c>
      <c r="C623" s="226"/>
      <c r="D623" s="227"/>
      <c r="E623" s="226"/>
      <c r="F623" s="226"/>
      <c r="G623" s="226"/>
      <c r="H623" s="212"/>
      <c r="I623" s="226"/>
      <c r="J623" s="199"/>
      <c r="K623" s="199"/>
      <c r="L623" s="199"/>
    </row>
    <row r="624" spans="1:12" ht="24" customHeight="1">
      <c r="A624" s="433"/>
      <c r="B624" s="226" t="s">
        <v>632</v>
      </c>
      <c r="C624" s="226">
        <v>1</v>
      </c>
      <c r="D624" s="227"/>
      <c r="E624" s="226"/>
      <c r="F624" s="226"/>
      <c r="G624" s="226"/>
      <c r="H624" s="212">
        <f>C624</f>
        <v>1</v>
      </c>
      <c r="I624" s="226"/>
      <c r="J624" s="199"/>
      <c r="K624" s="199"/>
      <c r="L624" s="199"/>
    </row>
    <row r="625" spans="1:12" ht="24" customHeight="1">
      <c r="A625" s="433"/>
      <c r="B625" s="226" t="s">
        <v>634</v>
      </c>
      <c r="C625" s="226">
        <v>1</v>
      </c>
      <c r="D625" s="227"/>
      <c r="E625" s="226"/>
      <c r="F625" s="226"/>
      <c r="G625" s="226"/>
      <c r="H625" s="212">
        <f>C625</f>
        <v>1</v>
      </c>
      <c r="I625" s="226"/>
      <c r="J625" s="199"/>
      <c r="K625" s="199"/>
      <c r="L625" s="199"/>
    </row>
    <row r="626" spans="1:12" ht="24" customHeight="1">
      <c r="A626" s="225"/>
      <c r="B626" s="194"/>
      <c r="C626" s="220"/>
      <c r="D626" s="221"/>
      <c r="E626" s="220"/>
      <c r="F626" s="217"/>
      <c r="G626" s="217"/>
      <c r="H626" s="218"/>
      <c r="I626" s="219"/>
      <c r="J626" s="222"/>
      <c r="K626" s="199"/>
      <c r="L626" s="199"/>
    </row>
    <row r="627" spans="1:12" ht="131.25">
      <c r="A627" s="345" t="s">
        <v>983</v>
      </c>
      <c r="B627" s="356" t="s">
        <v>984</v>
      </c>
      <c r="C627" s="354"/>
      <c r="D627" s="354"/>
      <c r="E627" s="354"/>
      <c r="F627" s="348" t="s">
        <v>620</v>
      </c>
      <c r="G627" s="348"/>
      <c r="H627" s="349">
        <f>SUM(H630:H642)</f>
        <v>11</v>
      </c>
      <c r="I627" s="355" t="s">
        <v>105</v>
      </c>
      <c r="J627" s="222"/>
      <c r="K627" s="199"/>
      <c r="L627" s="199"/>
    </row>
    <row r="628" spans="1:12" ht="24" customHeight="1">
      <c r="A628" s="225"/>
      <c r="B628" s="194"/>
      <c r="C628" s="220"/>
      <c r="D628" s="221"/>
      <c r="E628" s="220"/>
      <c r="F628" s="217"/>
      <c r="G628" s="217"/>
      <c r="H628" s="218"/>
      <c r="I628" s="219"/>
      <c r="J628" s="222"/>
      <c r="K628" s="199"/>
      <c r="L628" s="199"/>
    </row>
    <row r="629" spans="1:12" ht="24" customHeight="1">
      <c r="A629" s="225"/>
      <c r="B629" s="223" t="s">
        <v>622</v>
      </c>
      <c r="C629" s="220"/>
      <c r="D629" s="221"/>
      <c r="E629" s="220"/>
      <c r="F629" s="217"/>
      <c r="G629" s="217"/>
      <c r="H629" s="212"/>
      <c r="I629" s="219"/>
      <c r="J629" s="222"/>
      <c r="K629" s="199"/>
      <c r="L629" s="199"/>
    </row>
    <row r="630" spans="1:12" ht="24" customHeight="1">
      <c r="A630" s="225"/>
      <c r="B630" s="224" t="s">
        <v>626</v>
      </c>
      <c r="C630" s="220">
        <v>1</v>
      </c>
      <c r="D630" s="221"/>
      <c r="E630" s="220"/>
      <c r="F630" s="217"/>
      <c r="G630" s="217"/>
      <c r="H630" s="212">
        <f>C630</f>
        <v>1</v>
      </c>
      <c r="I630" s="219"/>
      <c r="J630" s="222"/>
      <c r="K630" s="199"/>
      <c r="L630" s="199"/>
    </row>
    <row r="631" spans="1:12" ht="24" customHeight="1">
      <c r="A631" s="225"/>
      <c r="B631" s="224" t="s">
        <v>628</v>
      </c>
      <c r="C631" s="220">
        <v>1</v>
      </c>
      <c r="D631" s="221"/>
      <c r="E631" s="220"/>
      <c r="F631" s="225"/>
      <c r="G631" s="225"/>
      <c r="H631" s="212">
        <f>C631</f>
        <v>1</v>
      </c>
      <c r="I631" s="219"/>
      <c r="J631" s="222"/>
      <c r="K631" s="199"/>
      <c r="L631" s="199"/>
    </row>
    <row r="632" spans="1:12" ht="24" customHeight="1">
      <c r="A632" s="433"/>
      <c r="B632" s="226" t="s">
        <v>632</v>
      </c>
      <c r="C632" s="226">
        <v>1</v>
      </c>
      <c r="D632" s="227"/>
      <c r="E632" s="226"/>
      <c r="F632" s="226"/>
      <c r="G632" s="226"/>
      <c r="H632" s="212">
        <f>C632</f>
        <v>1</v>
      </c>
      <c r="I632" s="226"/>
      <c r="J632" s="199"/>
      <c r="K632" s="199"/>
      <c r="L632" s="199"/>
    </row>
    <row r="633" spans="1:12" ht="24" customHeight="1">
      <c r="A633" s="433"/>
      <c r="B633" s="226" t="s">
        <v>634</v>
      </c>
      <c r="C633" s="226">
        <v>1</v>
      </c>
      <c r="D633" s="227"/>
      <c r="E633" s="226"/>
      <c r="F633" s="226"/>
      <c r="G633" s="226"/>
      <c r="H633" s="212">
        <f>C633</f>
        <v>1</v>
      </c>
      <c r="I633" s="226"/>
      <c r="J633" s="199"/>
      <c r="K633" s="199"/>
      <c r="L633" s="199"/>
    </row>
    <row r="634" spans="1:12" ht="24" customHeight="1">
      <c r="A634" s="433"/>
      <c r="B634" s="223" t="s">
        <v>637</v>
      </c>
      <c r="C634" s="226"/>
      <c r="D634" s="227"/>
      <c r="E634" s="226"/>
      <c r="F634" s="226"/>
      <c r="G634" s="226"/>
      <c r="H634" s="212"/>
      <c r="I634" s="226"/>
      <c r="J634" s="199"/>
      <c r="K634" s="199"/>
      <c r="L634" s="199"/>
    </row>
    <row r="635" spans="1:12" ht="24" customHeight="1">
      <c r="A635" s="433"/>
      <c r="B635" s="226" t="s">
        <v>638</v>
      </c>
      <c r="C635" s="226">
        <v>1</v>
      </c>
      <c r="D635" s="227"/>
      <c r="E635" s="226"/>
      <c r="F635" s="226"/>
      <c r="G635" s="226"/>
      <c r="H635" s="212">
        <f>C635</f>
        <v>1</v>
      </c>
      <c r="I635" s="226"/>
      <c r="J635" s="199"/>
      <c r="K635" s="199"/>
      <c r="L635" s="199"/>
    </row>
    <row r="636" spans="1:12" ht="24" customHeight="1">
      <c r="A636" s="433"/>
      <c r="B636" s="226" t="s">
        <v>632</v>
      </c>
      <c r="C636" s="226">
        <v>1</v>
      </c>
      <c r="D636" s="227"/>
      <c r="E636" s="226"/>
      <c r="F636" s="226"/>
      <c r="G636" s="226"/>
      <c r="H636" s="212">
        <f>C636</f>
        <v>1</v>
      </c>
      <c r="I636" s="226"/>
      <c r="J636" s="199"/>
      <c r="K636" s="199"/>
      <c r="L636" s="199"/>
    </row>
    <row r="637" spans="1:12" ht="24" customHeight="1">
      <c r="A637" s="433"/>
      <c r="B637" s="226" t="s">
        <v>634</v>
      </c>
      <c r="C637" s="226">
        <v>1</v>
      </c>
      <c r="D637" s="227"/>
      <c r="E637" s="226"/>
      <c r="F637" s="226"/>
      <c r="G637" s="226"/>
      <c r="H637" s="212">
        <f>C637</f>
        <v>1</v>
      </c>
      <c r="I637" s="226"/>
      <c r="J637" s="199"/>
      <c r="K637" s="199"/>
      <c r="L637" s="199"/>
    </row>
    <row r="638" spans="1:12" ht="24" customHeight="1">
      <c r="A638" s="433"/>
      <c r="B638" s="223" t="s">
        <v>640</v>
      </c>
      <c r="C638" s="226"/>
      <c r="D638" s="227"/>
      <c r="E638" s="226"/>
      <c r="F638" s="226"/>
      <c r="G638" s="226"/>
      <c r="H638" s="212"/>
      <c r="I638" s="226"/>
      <c r="J638" s="199"/>
      <c r="K638" s="199"/>
      <c r="L638" s="199"/>
    </row>
    <row r="639" spans="1:12" ht="24" customHeight="1">
      <c r="A639" s="433"/>
      <c r="B639" s="226" t="s">
        <v>652</v>
      </c>
      <c r="C639" s="226">
        <v>1</v>
      </c>
      <c r="D639" s="227"/>
      <c r="E639" s="226"/>
      <c r="F639" s="226"/>
      <c r="G639" s="226"/>
      <c r="H639" s="212">
        <f>C639</f>
        <v>1</v>
      </c>
      <c r="I639" s="226"/>
      <c r="J639" s="199"/>
      <c r="K639" s="199"/>
      <c r="L639" s="199"/>
    </row>
    <row r="640" spans="1:12" ht="24" customHeight="1">
      <c r="A640" s="433"/>
      <c r="B640" s="226" t="s">
        <v>654</v>
      </c>
      <c r="C640" s="226">
        <v>1</v>
      </c>
      <c r="D640" s="227"/>
      <c r="E640" s="226"/>
      <c r="F640" s="226"/>
      <c r="G640" s="226"/>
      <c r="H640" s="212">
        <f>C640</f>
        <v>1</v>
      </c>
      <c r="I640" s="226"/>
      <c r="J640" s="199"/>
      <c r="K640" s="199"/>
      <c r="L640" s="199"/>
    </row>
    <row r="641" spans="1:12" ht="24" customHeight="1">
      <c r="A641" s="433"/>
      <c r="B641" s="226" t="s">
        <v>655</v>
      </c>
      <c r="C641" s="226">
        <v>1</v>
      </c>
      <c r="D641" s="227"/>
      <c r="E641" s="226"/>
      <c r="F641" s="226"/>
      <c r="G641" s="226"/>
      <c r="H641" s="212">
        <f>C641</f>
        <v>1</v>
      </c>
      <c r="I641" s="226"/>
      <c r="J641" s="199"/>
      <c r="K641" s="199"/>
      <c r="L641" s="199"/>
    </row>
    <row r="642" spans="1:12" ht="24" customHeight="1">
      <c r="A642" s="225"/>
      <c r="B642" s="226" t="s">
        <v>656</v>
      </c>
      <c r="C642" s="226">
        <v>1</v>
      </c>
      <c r="D642" s="227"/>
      <c r="E642" s="226"/>
      <c r="F642" s="226"/>
      <c r="G642" s="226"/>
      <c r="H642" s="212">
        <f>C642</f>
        <v>1</v>
      </c>
      <c r="I642" s="219"/>
      <c r="J642" s="222"/>
      <c r="K642" s="199"/>
      <c r="L642" s="199"/>
    </row>
    <row r="643" spans="1:12" ht="24" customHeight="1">
      <c r="A643" s="225"/>
      <c r="B643" s="194"/>
      <c r="C643" s="220"/>
      <c r="D643" s="221"/>
      <c r="E643" s="220"/>
      <c r="F643" s="217"/>
      <c r="G643" s="217"/>
      <c r="H643" s="218"/>
      <c r="I643" s="219"/>
      <c r="J643" s="222"/>
      <c r="K643" s="199"/>
      <c r="L643" s="199"/>
    </row>
    <row r="644" spans="1:12" ht="183.75">
      <c r="A644" s="345" t="s">
        <v>986</v>
      </c>
      <c r="B644" s="356" t="s">
        <v>985</v>
      </c>
      <c r="C644" s="354"/>
      <c r="D644" s="354"/>
      <c r="E644" s="354"/>
      <c r="F644" s="348" t="s">
        <v>620</v>
      </c>
      <c r="G644" s="348"/>
      <c r="H644" s="349">
        <f>SUM(H646:H648)</f>
        <v>2</v>
      </c>
      <c r="I644" s="355" t="s">
        <v>105</v>
      </c>
      <c r="J644" s="222"/>
      <c r="K644" s="199"/>
      <c r="L644" s="199"/>
    </row>
    <row r="645" spans="1:12" ht="24" customHeight="1">
      <c r="A645" s="225"/>
      <c r="B645" s="194"/>
      <c r="C645" s="220"/>
      <c r="D645" s="221"/>
      <c r="E645" s="220"/>
      <c r="F645" s="217"/>
      <c r="G645" s="217"/>
      <c r="H645" s="218"/>
      <c r="I645" s="219"/>
      <c r="J645" s="222"/>
      <c r="K645" s="199"/>
      <c r="L645" s="199"/>
    </row>
    <row r="646" spans="1:12" ht="24" customHeight="1">
      <c r="A646" s="433"/>
      <c r="B646" s="223" t="s">
        <v>640</v>
      </c>
      <c r="C646" s="226"/>
      <c r="D646" s="227"/>
      <c r="E646" s="226"/>
      <c r="F646" s="226"/>
      <c r="G646" s="226"/>
      <c r="H646" s="212"/>
      <c r="I646" s="226"/>
      <c r="J646" s="199"/>
      <c r="K646" s="199"/>
      <c r="L646" s="199"/>
    </row>
    <row r="647" spans="1:12" ht="21">
      <c r="A647" s="433"/>
      <c r="B647" s="226" t="s">
        <v>652</v>
      </c>
      <c r="C647" s="226">
        <v>1</v>
      </c>
      <c r="D647" s="227"/>
      <c r="E647" s="226"/>
      <c r="F647" s="226"/>
      <c r="G647" s="226"/>
      <c r="H647" s="212">
        <f>C647</f>
        <v>1</v>
      </c>
      <c r="I647" s="226"/>
      <c r="J647" s="199"/>
      <c r="K647" s="199"/>
      <c r="L647" s="199"/>
    </row>
    <row r="648" spans="1:12" ht="21">
      <c r="A648" s="433"/>
      <c r="B648" s="226" t="s">
        <v>654</v>
      </c>
      <c r="C648" s="226">
        <v>1</v>
      </c>
      <c r="D648" s="227"/>
      <c r="E648" s="226"/>
      <c r="F648" s="226"/>
      <c r="G648" s="226"/>
      <c r="H648" s="212">
        <f>C648</f>
        <v>1</v>
      </c>
      <c r="I648" s="226"/>
      <c r="J648" s="199"/>
      <c r="K648" s="199"/>
      <c r="L648" s="199"/>
    </row>
    <row r="649" spans="1:12" ht="21">
      <c r="A649" s="415"/>
      <c r="B649" s="321"/>
      <c r="C649" s="232"/>
      <c r="D649" s="233"/>
      <c r="E649" s="232"/>
      <c r="F649" s="234"/>
      <c r="G649" s="234"/>
      <c r="H649" s="322"/>
      <c r="I649" s="236"/>
      <c r="J649" s="222"/>
      <c r="K649" s="199"/>
      <c r="L649" s="199"/>
    </row>
    <row r="650" spans="1:12" ht="293.45" customHeight="1">
      <c r="A650" s="442">
        <v>22.5</v>
      </c>
      <c r="B650" s="508" t="s">
        <v>952</v>
      </c>
      <c r="C650" s="323"/>
      <c r="D650" s="324"/>
      <c r="E650" s="323"/>
      <c r="F650" s="325" t="s">
        <v>620</v>
      </c>
      <c r="G650" s="325"/>
      <c r="H650" s="326">
        <f>H651/10.764</f>
        <v>64.096757710888156</v>
      </c>
      <c r="I650" s="327" t="s">
        <v>328</v>
      </c>
      <c r="J650" s="222"/>
      <c r="K650" s="199"/>
      <c r="L650" s="199"/>
    </row>
    <row r="651" spans="1:12" ht="21">
      <c r="A651" s="416"/>
      <c r="B651" s="328"/>
      <c r="C651" s="238"/>
      <c r="D651" s="239"/>
      <c r="E651" s="238"/>
      <c r="F651" s="240" t="s">
        <v>620</v>
      </c>
      <c r="G651" s="240"/>
      <c r="H651" s="329">
        <f>SUM(H653:H676)</f>
        <v>689.9375</v>
      </c>
      <c r="I651" s="242" t="s">
        <v>621</v>
      </c>
      <c r="J651" s="222"/>
      <c r="K651" s="199"/>
      <c r="L651" s="199"/>
    </row>
    <row r="652" spans="1:12" ht="24" customHeight="1">
      <c r="A652" s="417"/>
      <c r="B652" s="195" t="s">
        <v>605</v>
      </c>
      <c r="C652" s="303"/>
      <c r="D652" s="297"/>
      <c r="E652" s="260"/>
      <c r="F652" s="298"/>
      <c r="G652" s="298"/>
      <c r="H652" s="261"/>
      <c r="I652" s="300"/>
      <c r="J652" s="222"/>
      <c r="K652" s="199"/>
      <c r="L652" s="199"/>
    </row>
    <row r="653" spans="1:12" ht="24" customHeight="1">
      <c r="A653" s="417"/>
      <c r="B653" s="237" t="s">
        <v>830</v>
      </c>
      <c r="C653" s="303">
        <v>1</v>
      </c>
      <c r="D653" s="297">
        <v>5</v>
      </c>
      <c r="E653" s="260">
        <v>7.5</v>
      </c>
      <c r="F653" s="217"/>
      <c r="G653" s="217"/>
      <c r="H653" s="212">
        <f t="shared" ref="H653:H660" si="27">C653*D653*E653</f>
        <v>37.5</v>
      </c>
      <c r="I653" s="219"/>
      <c r="J653" s="222"/>
      <c r="K653" s="199"/>
      <c r="L653" s="199"/>
    </row>
    <row r="654" spans="1:12" ht="24" customHeight="1">
      <c r="A654" s="417"/>
      <c r="B654" s="237" t="s">
        <v>832</v>
      </c>
      <c r="C654" s="304">
        <v>1</v>
      </c>
      <c r="D654" s="305">
        <v>6.5</v>
      </c>
      <c r="E654" s="306">
        <v>6</v>
      </c>
      <c r="F654" s="234"/>
      <c r="G654" s="234"/>
      <c r="H654" s="212">
        <f t="shared" si="27"/>
        <v>39</v>
      </c>
      <c r="I654" s="219"/>
      <c r="J654" s="222"/>
      <c r="K654" s="199"/>
      <c r="L654" s="199"/>
    </row>
    <row r="655" spans="1:12" ht="24" customHeight="1">
      <c r="A655" s="422"/>
      <c r="B655" s="237" t="s">
        <v>833</v>
      </c>
      <c r="C655" s="307">
        <v>1</v>
      </c>
      <c r="D655" s="239">
        <v>3.5</v>
      </c>
      <c r="E655" s="238">
        <v>12</v>
      </c>
      <c r="F655" s="240"/>
      <c r="G655" s="334"/>
      <c r="H655" s="212">
        <f t="shared" si="27"/>
        <v>42</v>
      </c>
      <c r="I655" s="219"/>
      <c r="J655" s="222"/>
      <c r="K655" s="199"/>
      <c r="L655" s="199"/>
    </row>
    <row r="656" spans="1:12" ht="24" customHeight="1">
      <c r="A656" s="424"/>
      <c r="B656" s="237" t="s">
        <v>834</v>
      </c>
      <c r="C656" s="307">
        <v>1</v>
      </c>
      <c r="D656" s="239">
        <v>4.75</v>
      </c>
      <c r="E656" s="238">
        <v>3.5</v>
      </c>
      <c r="F656" s="240"/>
      <c r="G656" s="334"/>
      <c r="H656" s="212">
        <f t="shared" si="27"/>
        <v>16.625</v>
      </c>
      <c r="I656" s="289"/>
      <c r="J656" s="222"/>
      <c r="K656" s="199"/>
      <c r="L656" s="199"/>
    </row>
    <row r="657" spans="1:12" ht="24" customHeight="1">
      <c r="A657" s="425"/>
      <c r="B657" s="308" t="s">
        <v>836</v>
      </c>
      <c r="C657" s="309">
        <v>1</v>
      </c>
      <c r="D657" s="291">
        <v>4</v>
      </c>
      <c r="E657" s="290">
        <v>4</v>
      </c>
      <c r="F657" s="292"/>
      <c r="G657" s="334"/>
      <c r="H657" s="235">
        <f t="shared" si="27"/>
        <v>16</v>
      </c>
      <c r="I657" s="293"/>
      <c r="J657" s="222"/>
      <c r="K657" s="199"/>
      <c r="L657" s="199"/>
    </row>
    <row r="658" spans="1:12" ht="24" customHeight="1">
      <c r="A658" s="243"/>
      <c r="B658" s="245" t="s">
        <v>837</v>
      </c>
      <c r="C658" s="309">
        <v>1</v>
      </c>
      <c r="D658" s="245">
        <v>3.75</v>
      </c>
      <c r="E658" s="245">
        <v>12</v>
      </c>
      <c r="F658" s="245"/>
      <c r="G658" s="593"/>
      <c r="H658" s="235">
        <f t="shared" si="27"/>
        <v>45</v>
      </c>
      <c r="I658" s="242"/>
      <c r="J658" s="222"/>
      <c r="K658" s="199"/>
      <c r="L658" s="199"/>
    </row>
    <row r="659" spans="1:12" ht="24" customHeight="1">
      <c r="A659" s="243"/>
      <c r="B659" s="237" t="s">
        <v>839</v>
      </c>
      <c r="C659" s="238">
        <v>1</v>
      </c>
      <c r="D659" s="239">
        <v>8</v>
      </c>
      <c r="E659" s="238">
        <v>4</v>
      </c>
      <c r="F659" s="240"/>
      <c r="G659" s="240"/>
      <c r="H659" s="241">
        <f t="shared" si="27"/>
        <v>32</v>
      </c>
      <c r="I659" s="242"/>
      <c r="J659" s="222"/>
      <c r="K659" s="199"/>
      <c r="L659" s="199"/>
    </row>
    <row r="660" spans="1:12" ht="24" customHeight="1">
      <c r="A660" s="243"/>
      <c r="B660" s="308" t="s">
        <v>838</v>
      </c>
      <c r="C660" s="238">
        <v>1</v>
      </c>
      <c r="D660" s="239">
        <v>3.75</v>
      </c>
      <c r="E660" s="238">
        <v>8</v>
      </c>
      <c r="F660" s="240"/>
      <c r="G660" s="240"/>
      <c r="H660" s="241">
        <f t="shared" si="27"/>
        <v>30</v>
      </c>
      <c r="I660" s="242"/>
      <c r="J660" s="222"/>
      <c r="K660" s="199"/>
      <c r="L660" s="199"/>
    </row>
    <row r="661" spans="1:12" ht="24" customHeight="1">
      <c r="A661" s="433"/>
      <c r="B661" s="226"/>
      <c r="C661" s="226"/>
      <c r="D661" s="227"/>
      <c r="E661" s="226"/>
      <c r="F661" s="226"/>
      <c r="G661" s="226"/>
      <c r="H661" s="228"/>
      <c r="I661" s="226"/>
      <c r="J661" s="199"/>
      <c r="K661" s="199"/>
      <c r="L661" s="199"/>
    </row>
    <row r="662" spans="1:12" ht="24" customHeight="1">
      <c r="A662" s="243"/>
      <c r="B662" s="194" t="s">
        <v>753</v>
      </c>
      <c r="C662" s="238"/>
      <c r="D662" s="239"/>
      <c r="E662" s="238"/>
      <c r="F662" s="240"/>
      <c r="G662" s="240"/>
      <c r="H662" s="241"/>
      <c r="I662" s="242"/>
      <c r="J662" s="222"/>
      <c r="K662" s="199"/>
      <c r="L662" s="199"/>
    </row>
    <row r="663" spans="1:12" ht="24" customHeight="1">
      <c r="A663" s="243"/>
      <c r="B663" s="237" t="s">
        <v>840</v>
      </c>
      <c r="C663" s="304">
        <v>1</v>
      </c>
      <c r="D663" s="305">
        <v>6.5</v>
      </c>
      <c r="E663" s="306">
        <v>6</v>
      </c>
      <c r="F663" s="234"/>
      <c r="G663" s="234"/>
      <c r="H663" s="212">
        <f t="shared" ref="H663:H669" si="28">C663*D663*E663</f>
        <v>39</v>
      </c>
      <c r="I663" s="242"/>
      <c r="J663" s="222"/>
      <c r="K663" s="199"/>
      <c r="L663" s="199"/>
    </row>
    <row r="664" spans="1:12" ht="24" customHeight="1">
      <c r="A664" s="243"/>
      <c r="B664" s="237" t="s">
        <v>833</v>
      </c>
      <c r="C664" s="307">
        <v>1</v>
      </c>
      <c r="D664" s="239">
        <v>3.5</v>
      </c>
      <c r="E664" s="238">
        <v>12</v>
      </c>
      <c r="F664" s="240"/>
      <c r="G664" s="334"/>
      <c r="H664" s="212">
        <f t="shared" si="28"/>
        <v>42</v>
      </c>
      <c r="I664" s="242"/>
      <c r="J664" s="222"/>
      <c r="K664" s="199"/>
      <c r="L664" s="199"/>
    </row>
    <row r="665" spans="1:12" ht="24" customHeight="1">
      <c r="A665" s="426"/>
      <c r="B665" s="237" t="s">
        <v>834</v>
      </c>
      <c r="C665" s="307">
        <v>1</v>
      </c>
      <c r="D665" s="239">
        <v>4.75</v>
      </c>
      <c r="E665" s="238">
        <v>3.5</v>
      </c>
      <c r="F665" s="240"/>
      <c r="G665" s="334"/>
      <c r="H665" s="212">
        <f t="shared" si="28"/>
        <v>16.625</v>
      </c>
      <c r="I665" s="310"/>
      <c r="J665" s="222"/>
      <c r="K665" s="199"/>
      <c r="L665" s="199"/>
    </row>
    <row r="666" spans="1:12" ht="24" customHeight="1">
      <c r="A666" s="424"/>
      <c r="B666" s="308" t="s">
        <v>836</v>
      </c>
      <c r="C666" s="309">
        <v>1</v>
      </c>
      <c r="D666" s="291">
        <v>4</v>
      </c>
      <c r="E666" s="290">
        <v>4</v>
      </c>
      <c r="F666" s="292"/>
      <c r="G666" s="334"/>
      <c r="H666" s="235">
        <f t="shared" si="28"/>
        <v>16</v>
      </c>
      <c r="I666" s="289"/>
      <c r="J666" s="222"/>
      <c r="K666" s="199"/>
      <c r="L666" s="199"/>
    </row>
    <row r="667" spans="1:12" ht="24" customHeight="1">
      <c r="A667" s="424"/>
      <c r="B667" s="245" t="s">
        <v>837</v>
      </c>
      <c r="C667" s="309">
        <v>1</v>
      </c>
      <c r="D667" s="245">
        <v>3.75</v>
      </c>
      <c r="E667" s="245">
        <v>12</v>
      </c>
      <c r="F667" s="245"/>
      <c r="G667" s="593"/>
      <c r="H667" s="235">
        <f t="shared" si="28"/>
        <v>45</v>
      </c>
      <c r="I667" s="289"/>
      <c r="J667" s="222"/>
      <c r="K667" s="199"/>
      <c r="L667" s="199"/>
    </row>
    <row r="668" spans="1:12" ht="24" customHeight="1">
      <c r="A668" s="424"/>
      <c r="B668" s="237" t="s">
        <v>839</v>
      </c>
      <c r="C668" s="238">
        <v>1</v>
      </c>
      <c r="D668" s="239">
        <v>8</v>
      </c>
      <c r="E668" s="238">
        <v>4</v>
      </c>
      <c r="F668" s="240"/>
      <c r="G668" s="240"/>
      <c r="H668" s="241">
        <f t="shared" si="28"/>
        <v>32</v>
      </c>
      <c r="I668" s="289"/>
      <c r="J668" s="222"/>
      <c r="K668" s="199"/>
      <c r="L668" s="199"/>
    </row>
    <row r="669" spans="1:12" ht="24" customHeight="1">
      <c r="A669" s="424"/>
      <c r="B669" s="308" t="s">
        <v>838</v>
      </c>
      <c r="C669" s="238">
        <v>1</v>
      </c>
      <c r="D669" s="239">
        <v>3.75</v>
      </c>
      <c r="E669" s="238">
        <v>8</v>
      </c>
      <c r="F669" s="240"/>
      <c r="G669" s="240"/>
      <c r="H669" s="241">
        <f t="shared" si="28"/>
        <v>30</v>
      </c>
      <c r="I669" s="289"/>
      <c r="J669" s="222"/>
      <c r="K669" s="199"/>
      <c r="L669" s="199"/>
    </row>
    <row r="670" spans="1:12" ht="24" customHeight="1">
      <c r="A670" s="433"/>
      <c r="B670" s="226"/>
      <c r="C670" s="226"/>
      <c r="D670" s="227"/>
      <c r="E670" s="226"/>
      <c r="F670" s="226"/>
      <c r="G670" s="226"/>
      <c r="H670" s="228"/>
      <c r="I670" s="226"/>
      <c r="J670" s="199"/>
      <c r="K670" s="199"/>
      <c r="L670" s="199"/>
    </row>
    <row r="671" spans="1:12" ht="24" customHeight="1">
      <c r="A671" s="427"/>
      <c r="B671" s="196" t="s">
        <v>606</v>
      </c>
      <c r="C671" s="312"/>
      <c r="D671" s="313"/>
      <c r="E671" s="290"/>
      <c r="F671" s="292"/>
      <c r="G671" s="292"/>
      <c r="H671" s="311"/>
      <c r="I671" s="293"/>
      <c r="J671" s="222"/>
      <c r="K671" s="199"/>
      <c r="L671" s="199"/>
    </row>
    <row r="672" spans="1:12" ht="24" customHeight="1">
      <c r="A672" s="243"/>
      <c r="B672" s="237" t="s">
        <v>841</v>
      </c>
      <c r="C672" s="238">
        <v>1</v>
      </c>
      <c r="D672" s="239">
        <v>6.5</v>
      </c>
      <c r="E672" s="238">
        <v>6</v>
      </c>
      <c r="F672" s="240"/>
      <c r="G672" s="240"/>
      <c r="H672" s="241">
        <f>C672*D672*E672</f>
        <v>39</v>
      </c>
      <c r="I672" s="242"/>
      <c r="J672" s="222"/>
      <c r="K672" s="199"/>
      <c r="L672" s="199"/>
    </row>
    <row r="673" spans="1:12" ht="24" customHeight="1">
      <c r="A673" s="243"/>
      <c r="B673" s="237" t="s">
        <v>842</v>
      </c>
      <c r="C673" s="238">
        <v>1</v>
      </c>
      <c r="D673" s="239">
        <v>4</v>
      </c>
      <c r="E673" s="238">
        <v>7.5</v>
      </c>
      <c r="F673" s="240"/>
      <c r="G673" s="240"/>
      <c r="H673" s="241">
        <f>C673*D673*E673</f>
        <v>30</v>
      </c>
      <c r="I673" s="242"/>
      <c r="J673" s="222"/>
      <c r="K673" s="199"/>
      <c r="L673" s="199"/>
    </row>
    <row r="674" spans="1:12" ht="24" customHeight="1">
      <c r="A674" s="243"/>
      <c r="B674" s="237" t="s">
        <v>843</v>
      </c>
      <c r="C674" s="238">
        <v>1</v>
      </c>
      <c r="D674" s="239">
        <v>7.25</v>
      </c>
      <c r="E674" s="238">
        <v>7.75</v>
      </c>
      <c r="F674" s="240"/>
      <c r="G674" s="240"/>
      <c r="H674" s="241">
        <f>C674*D674*E674</f>
        <v>56.1875</v>
      </c>
      <c r="I674" s="242"/>
      <c r="J674" s="222"/>
      <c r="K674" s="199"/>
      <c r="L674" s="199"/>
    </row>
    <row r="675" spans="1:12" ht="24" customHeight="1">
      <c r="A675" s="243"/>
      <c r="B675" s="237"/>
      <c r="C675" s="238">
        <v>1</v>
      </c>
      <c r="D675" s="239">
        <v>2.5</v>
      </c>
      <c r="E675" s="238">
        <v>2</v>
      </c>
      <c r="F675" s="240"/>
      <c r="G675" s="240"/>
      <c r="H675" s="241">
        <f>C675*D675*E675</f>
        <v>5</v>
      </c>
      <c r="I675" s="242"/>
      <c r="J675" s="222"/>
      <c r="K675" s="199"/>
      <c r="L675" s="199"/>
    </row>
    <row r="676" spans="1:12" ht="24" customHeight="1">
      <c r="A676" s="243"/>
      <c r="B676" s="237" t="s">
        <v>844</v>
      </c>
      <c r="C676" s="238">
        <v>1</v>
      </c>
      <c r="D676" s="239">
        <v>13.5</v>
      </c>
      <c r="E676" s="238">
        <v>6</v>
      </c>
      <c r="F676" s="240"/>
      <c r="G676" s="240"/>
      <c r="H676" s="241">
        <f>C676*D676*E676</f>
        <v>81</v>
      </c>
      <c r="I676" s="242"/>
      <c r="J676" s="222"/>
      <c r="K676" s="199"/>
      <c r="L676" s="199"/>
    </row>
    <row r="677" spans="1:12" ht="21">
      <c r="A677" s="429"/>
      <c r="B677" s="331"/>
      <c r="C677" s="332"/>
      <c r="D677" s="333"/>
      <c r="E677" s="332"/>
      <c r="F677" s="334"/>
      <c r="G677" s="334"/>
      <c r="H677" s="335"/>
      <c r="I677" s="336"/>
      <c r="J677" s="222"/>
      <c r="K677" s="199"/>
      <c r="L677" s="199"/>
    </row>
    <row r="678" spans="1:12" ht="291.75" customHeight="1">
      <c r="A678" s="337" t="s">
        <v>1099</v>
      </c>
      <c r="B678" s="338" t="s">
        <v>936</v>
      </c>
      <c r="C678" s="339"/>
      <c r="D678" s="339"/>
      <c r="E678" s="339"/>
      <c r="F678" s="340" t="s">
        <v>620</v>
      </c>
      <c r="G678" s="340"/>
      <c r="H678" s="341">
        <f>H679</f>
        <v>15</v>
      </c>
      <c r="I678" s="340" t="s">
        <v>1003</v>
      </c>
      <c r="J678" s="199"/>
      <c r="K678" s="199"/>
      <c r="L678" s="199"/>
    </row>
    <row r="679" spans="1:12" ht="26.25">
      <c r="A679" s="342"/>
      <c r="B679" s="343"/>
      <c r="C679" s="344"/>
      <c r="D679" s="344"/>
      <c r="E679" s="344"/>
      <c r="F679" s="217" t="s">
        <v>620</v>
      </c>
      <c r="G679" s="217"/>
      <c r="H679" s="218">
        <f>SUM(H681:H696)</f>
        <v>15</v>
      </c>
      <c r="I679" s="219" t="s">
        <v>1003</v>
      </c>
      <c r="J679" s="199"/>
      <c r="K679" s="199"/>
      <c r="L679" s="199"/>
    </row>
    <row r="680" spans="1:12" ht="24" customHeight="1">
      <c r="A680" s="225"/>
      <c r="B680" s="223" t="s">
        <v>622</v>
      </c>
      <c r="C680" s="220"/>
      <c r="D680" s="221"/>
      <c r="E680" s="220"/>
      <c r="F680" s="217"/>
      <c r="G680" s="217"/>
      <c r="H680" s="212"/>
      <c r="I680" s="219"/>
      <c r="J680" s="222"/>
      <c r="K680" s="199"/>
      <c r="L680" s="199"/>
    </row>
    <row r="681" spans="1:12" ht="24" customHeight="1">
      <c r="A681" s="225"/>
      <c r="B681" s="224" t="s">
        <v>625</v>
      </c>
      <c r="C681" s="220">
        <v>1</v>
      </c>
      <c r="D681" s="227">
        <v>3</v>
      </c>
      <c r="E681" s="226">
        <v>8</v>
      </c>
      <c r="F681" s="217"/>
      <c r="G681" s="217"/>
      <c r="H681" s="212">
        <f>C681</f>
        <v>1</v>
      </c>
      <c r="I681" s="219"/>
      <c r="J681" s="222"/>
      <c r="K681" s="199"/>
      <c r="L681" s="199"/>
    </row>
    <row r="682" spans="1:12" ht="24" customHeight="1">
      <c r="A682" s="225"/>
      <c r="B682" s="224" t="s">
        <v>770</v>
      </c>
      <c r="C682" s="220">
        <v>1</v>
      </c>
      <c r="D682" s="227">
        <v>3</v>
      </c>
      <c r="E682" s="226">
        <v>8</v>
      </c>
      <c r="F682" s="217"/>
      <c r="G682" s="217"/>
      <c r="H682" s="212">
        <f t="shared" ref="H682:H696" si="29">C682</f>
        <v>1</v>
      </c>
      <c r="I682" s="219"/>
      <c r="J682" s="222"/>
      <c r="K682" s="199"/>
      <c r="L682" s="199"/>
    </row>
    <row r="683" spans="1:12" ht="24" customHeight="1">
      <c r="A683" s="225"/>
      <c r="B683" s="224" t="s">
        <v>771</v>
      </c>
      <c r="C683" s="220">
        <v>1</v>
      </c>
      <c r="D683" s="227">
        <v>3</v>
      </c>
      <c r="E683" s="226">
        <v>8</v>
      </c>
      <c r="F683" s="217"/>
      <c r="G683" s="217"/>
      <c r="H683" s="212">
        <f t="shared" si="29"/>
        <v>1</v>
      </c>
      <c r="I683" s="219"/>
      <c r="J683" s="222"/>
      <c r="K683" s="199"/>
      <c r="L683" s="199"/>
    </row>
    <row r="684" spans="1:12" ht="24" customHeight="1">
      <c r="A684" s="433"/>
      <c r="B684" s="226" t="s">
        <v>767</v>
      </c>
      <c r="C684" s="226">
        <v>1</v>
      </c>
      <c r="D684" s="227">
        <v>3</v>
      </c>
      <c r="E684" s="226">
        <v>8</v>
      </c>
      <c r="F684" s="226"/>
      <c r="G684" s="226"/>
      <c r="H684" s="212">
        <f t="shared" si="29"/>
        <v>1</v>
      </c>
      <c r="I684" s="226"/>
      <c r="J684" s="199"/>
      <c r="K684" s="199"/>
      <c r="L684" s="199"/>
    </row>
    <row r="685" spans="1:12" ht="24" customHeight="1">
      <c r="A685" s="433"/>
      <c r="B685" s="226" t="s">
        <v>768</v>
      </c>
      <c r="C685" s="226">
        <v>1</v>
      </c>
      <c r="D685" s="227">
        <v>3</v>
      </c>
      <c r="E685" s="226">
        <v>8</v>
      </c>
      <c r="F685" s="226"/>
      <c r="G685" s="226"/>
      <c r="H685" s="212">
        <f t="shared" si="29"/>
        <v>1</v>
      </c>
      <c r="I685" s="226"/>
      <c r="J685" s="199"/>
      <c r="K685" s="199"/>
      <c r="L685" s="199"/>
    </row>
    <row r="686" spans="1:12" ht="24" customHeight="1">
      <c r="A686" s="433"/>
      <c r="B686" s="223" t="s">
        <v>637</v>
      </c>
      <c r="C686" s="226"/>
      <c r="D686" s="227"/>
      <c r="E686" s="226"/>
      <c r="F686" s="226"/>
      <c r="G686" s="226"/>
      <c r="H686" s="212">
        <f t="shared" si="29"/>
        <v>0</v>
      </c>
      <c r="I686" s="226"/>
      <c r="J686" s="199"/>
      <c r="K686" s="199"/>
      <c r="L686" s="199"/>
    </row>
    <row r="687" spans="1:12" ht="24" customHeight="1">
      <c r="A687" s="433"/>
      <c r="B687" s="226" t="s">
        <v>767</v>
      </c>
      <c r="C687" s="226">
        <v>1</v>
      </c>
      <c r="D687" s="227">
        <v>3</v>
      </c>
      <c r="E687" s="226">
        <v>8</v>
      </c>
      <c r="F687" s="226"/>
      <c r="G687" s="226"/>
      <c r="H687" s="212">
        <f t="shared" si="29"/>
        <v>1</v>
      </c>
      <c r="I687" s="226"/>
      <c r="J687" s="199"/>
      <c r="K687" s="199"/>
      <c r="L687" s="199"/>
    </row>
    <row r="688" spans="1:12" ht="24" customHeight="1">
      <c r="A688" s="433"/>
      <c r="B688" s="226" t="s">
        <v>768</v>
      </c>
      <c r="C688" s="226">
        <v>1</v>
      </c>
      <c r="D688" s="227">
        <v>3</v>
      </c>
      <c r="E688" s="226">
        <v>8</v>
      </c>
      <c r="F688" s="226"/>
      <c r="G688" s="226"/>
      <c r="H688" s="212">
        <f t="shared" si="29"/>
        <v>1</v>
      </c>
      <c r="I688" s="226"/>
      <c r="J688" s="199"/>
      <c r="K688" s="199"/>
      <c r="L688" s="199"/>
    </row>
    <row r="689" spans="1:12" ht="24" customHeight="1">
      <c r="A689" s="433"/>
      <c r="B689" s="226" t="s">
        <v>770</v>
      </c>
      <c r="C689" s="226">
        <v>1</v>
      </c>
      <c r="D689" s="227">
        <v>3</v>
      </c>
      <c r="E689" s="226">
        <v>8</v>
      </c>
      <c r="F689" s="226"/>
      <c r="G689" s="226"/>
      <c r="H689" s="212">
        <f t="shared" si="29"/>
        <v>1</v>
      </c>
      <c r="I689" s="226"/>
      <c r="J689" s="199"/>
      <c r="K689" s="199"/>
      <c r="L689" s="199"/>
    </row>
    <row r="690" spans="1:12" ht="24" customHeight="1">
      <c r="A690" s="433"/>
      <c r="B690" s="226" t="s">
        <v>771</v>
      </c>
      <c r="C690" s="226">
        <v>1</v>
      </c>
      <c r="D690" s="227">
        <v>3</v>
      </c>
      <c r="E690" s="226">
        <v>8</v>
      </c>
      <c r="F690" s="226"/>
      <c r="G690" s="226"/>
      <c r="H690" s="212">
        <f t="shared" si="29"/>
        <v>1</v>
      </c>
      <c r="I690" s="226"/>
      <c r="J690" s="199"/>
      <c r="K690" s="199"/>
      <c r="L690" s="199"/>
    </row>
    <row r="691" spans="1:12" ht="24" customHeight="1">
      <c r="A691" s="433"/>
      <c r="B691" s="226" t="s">
        <v>772</v>
      </c>
      <c r="C691" s="226">
        <v>1</v>
      </c>
      <c r="D691" s="227">
        <v>3</v>
      </c>
      <c r="E691" s="226">
        <v>8</v>
      </c>
      <c r="F691" s="226"/>
      <c r="G691" s="226"/>
      <c r="H691" s="212">
        <f t="shared" si="29"/>
        <v>1</v>
      </c>
      <c r="I691" s="226"/>
      <c r="J691" s="199"/>
      <c r="K691" s="199"/>
      <c r="L691" s="199"/>
    </row>
    <row r="692" spans="1:12" ht="24" customHeight="1">
      <c r="A692" s="433"/>
      <c r="B692" s="226" t="s">
        <v>773</v>
      </c>
      <c r="C692" s="226">
        <v>1</v>
      </c>
      <c r="D692" s="227">
        <v>3</v>
      </c>
      <c r="E692" s="226">
        <v>8</v>
      </c>
      <c r="F692" s="226"/>
      <c r="G692" s="226"/>
      <c r="H692" s="212">
        <f t="shared" si="29"/>
        <v>1</v>
      </c>
      <c r="I692" s="226"/>
      <c r="J692" s="199"/>
      <c r="K692" s="199"/>
      <c r="L692" s="199"/>
    </row>
    <row r="693" spans="1:12" ht="24" customHeight="1">
      <c r="A693" s="433"/>
      <c r="B693" s="226" t="s">
        <v>774</v>
      </c>
      <c r="C693" s="226">
        <v>1</v>
      </c>
      <c r="D693" s="227">
        <v>3</v>
      </c>
      <c r="E693" s="226">
        <v>8</v>
      </c>
      <c r="F693" s="226"/>
      <c r="G693" s="226"/>
      <c r="H693" s="212">
        <f t="shared" si="29"/>
        <v>1</v>
      </c>
      <c r="I693" s="226"/>
      <c r="J693" s="199"/>
      <c r="K693" s="199"/>
      <c r="L693" s="199"/>
    </row>
    <row r="694" spans="1:12" ht="24" customHeight="1">
      <c r="A694" s="433"/>
      <c r="B694" s="226" t="s">
        <v>775</v>
      </c>
      <c r="C694" s="226">
        <v>1</v>
      </c>
      <c r="D694" s="227">
        <v>3</v>
      </c>
      <c r="E694" s="226">
        <v>8</v>
      </c>
      <c r="F694" s="226"/>
      <c r="G694" s="226"/>
      <c r="H694" s="212">
        <f t="shared" si="29"/>
        <v>1</v>
      </c>
      <c r="I694" s="226"/>
      <c r="J694" s="199"/>
      <c r="K694" s="199"/>
      <c r="L694" s="199"/>
    </row>
    <row r="695" spans="1:12" ht="24" customHeight="1">
      <c r="A695" s="433"/>
      <c r="B695" s="226" t="s">
        <v>776</v>
      </c>
      <c r="C695" s="226">
        <v>1</v>
      </c>
      <c r="D695" s="227">
        <v>3</v>
      </c>
      <c r="E695" s="226">
        <v>8</v>
      </c>
      <c r="F695" s="226"/>
      <c r="G695" s="226"/>
      <c r="H695" s="212">
        <f t="shared" si="29"/>
        <v>1</v>
      </c>
      <c r="I695" s="226"/>
      <c r="J695" s="199"/>
      <c r="K695" s="199"/>
      <c r="L695" s="199"/>
    </row>
    <row r="696" spans="1:12" ht="24" customHeight="1">
      <c r="A696" s="433"/>
      <c r="B696" s="226" t="s">
        <v>777</v>
      </c>
      <c r="C696" s="226">
        <v>1</v>
      </c>
      <c r="D696" s="227">
        <v>3</v>
      </c>
      <c r="E696" s="226">
        <v>8</v>
      </c>
      <c r="F696" s="226"/>
      <c r="G696" s="226"/>
      <c r="H696" s="212">
        <f t="shared" si="29"/>
        <v>1</v>
      </c>
      <c r="I696" s="226"/>
      <c r="J696" s="199"/>
      <c r="K696" s="199"/>
      <c r="L696" s="199"/>
    </row>
    <row r="700" spans="1:12" ht="24" customHeight="1">
      <c r="A700" s="433"/>
      <c r="B700" s="226"/>
      <c r="C700" s="226"/>
      <c r="D700" s="227"/>
      <c r="E700" s="226"/>
      <c r="F700" s="226"/>
      <c r="G700" s="226"/>
      <c r="H700" s="212"/>
      <c r="I700" s="226"/>
      <c r="J700" s="199"/>
      <c r="K700" s="199"/>
      <c r="L700" s="199"/>
    </row>
    <row r="701" spans="1:12" s="352" customFormat="1" ht="315">
      <c r="A701" s="345" t="s">
        <v>964</v>
      </c>
      <c r="B701" s="346" t="s">
        <v>935</v>
      </c>
      <c r="C701" s="347"/>
      <c r="D701" s="347"/>
      <c r="E701" s="347"/>
      <c r="F701" s="348" t="s">
        <v>620</v>
      </c>
      <c r="G701" s="348"/>
      <c r="H701" s="349">
        <f>H702</f>
        <v>6</v>
      </c>
      <c r="I701" s="350" t="s">
        <v>1004</v>
      </c>
      <c r="J701" s="351"/>
      <c r="K701" s="351"/>
      <c r="L701" s="351"/>
    </row>
    <row r="702" spans="1:12" ht="24" customHeight="1">
      <c r="A702" s="433"/>
      <c r="B702" s="226"/>
      <c r="C702" s="226"/>
      <c r="D702" s="227"/>
      <c r="E702" s="226"/>
      <c r="F702" s="217" t="s">
        <v>620</v>
      </c>
      <c r="G702" s="217"/>
      <c r="H702" s="218">
        <f>SUM(H704:H710)</f>
        <v>6</v>
      </c>
      <c r="I702" s="219" t="s">
        <v>1004</v>
      </c>
      <c r="J702" s="199"/>
      <c r="K702" s="199"/>
      <c r="L702" s="199"/>
    </row>
    <row r="703" spans="1:12" ht="24" customHeight="1">
      <c r="A703" s="225"/>
      <c r="B703" s="223" t="s">
        <v>622</v>
      </c>
      <c r="C703" s="220"/>
      <c r="D703" s="221"/>
      <c r="E703" s="220"/>
      <c r="F703" s="217"/>
      <c r="G703" s="217"/>
      <c r="H703" s="212"/>
      <c r="I703" s="219"/>
      <c r="J703" s="222"/>
      <c r="K703" s="199"/>
      <c r="L703" s="199"/>
    </row>
    <row r="704" spans="1:12" ht="24" customHeight="1">
      <c r="A704" s="225"/>
      <c r="B704" s="226" t="s">
        <v>679</v>
      </c>
      <c r="C704" s="226">
        <v>2</v>
      </c>
      <c r="D704" s="227">
        <v>5</v>
      </c>
      <c r="E704" s="226">
        <v>8</v>
      </c>
      <c r="F704" s="226"/>
      <c r="G704" s="226"/>
      <c r="H704" s="212">
        <f>C704</f>
        <v>2</v>
      </c>
      <c r="I704" s="219"/>
      <c r="J704" s="222"/>
      <c r="K704" s="199"/>
      <c r="L704" s="199"/>
    </row>
    <row r="705" spans="1:12" ht="24" customHeight="1">
      <c r="A705" s="433"/>
      <c r="B705" s="226" t="s">
        <v>1105</v>
      </c>
      <c r="C705" s="226">
        <v>2</v>
      </c>
      <c r="D705" s="227">
        <v>5</v>
      </c>
      <c r="E705" s="226">
        <v>8</v>
      </c>
      <c r="F705" s="226"/>
      <c r="G705" s="226"/>
      <c r="H705" s="212">
        <f>C705</f>
        <v>2</v>
      </c>
      <c r="I705" s="226"/>
      <c r="J705" s="199"/>
      <c r="K705" s="199"/>
      <c r="L705" s="199"/>
    </row>
    <row r="706" spans="1:12" ht="24" customHeight="1">
      <c r="A706" s="225"/>
      <c r="B706" s="223" t="s">
        <v>637</v>
      </c>
      <c r="C706" s="220"/>
      <c r="D706" s="221"/>
      <c r="E706" s="220"/>
      <c r="F706" s="217"/>
      <c r="G706" s="217"/>
      <c r="H706" s="212"/>
      <c r="I706" s="219"/>
      <c r="J706" s="222"/>
      <c r="K706" s="199"/>
      <c r="L706" s="199"/>
    </row>
    <row r="707" spans="1:12" ht="24" customHeight="1">
      <c r="A707" s="433"/>
      <c r="B707" s="226" t="s">
        <v>630</v>
      </c>
      <c r="C707" s="226">
        <v>1</v>
      </c>
      <c r="D707" s="227">
        <v>5</v>
      </c>
      <c r="E707" s="226">
        <v>8</v>
      </c>
      <c r="F707" s="226"/>
      <c r="G707" s="226"/>
      <c r="H707" s="212">
        <f>C707</f>
        <v>1</v>
      </c>
      <c r="I707" s="226"/>
      <c r="J707" s="199"/>
      <c r="K707" s="199"/>
      <c r="L707" s="199"/>
    </row>
    <row r="708" spans="1:12" ht="24" customHeight="1">
      <c r="A708" s="433"/>
      <c r="B708" s="223" t="s">
        <v>640</v>
      </c>
      <c r="C708" s="226"/>
      <c r="D708" s="227"/>
      <c r="E708" s="226"/>
      <c r="F708" s="226"/>
      <c r="G708" s="226"/>
      <c r="H708" s="212"/>
      <c r="I708" s="226"/>
      <c r="J708" s="199"/>
      <c r="K708" s="199"/>
      <c r="L708" s="199"/>
    </row>
    <row r="709" spans="1:12" ht="24" customHeight="1">
      <c r="A709" s="433"/>
      <c r="B709" s="226" t="s">
        <v>646</v>
      </c>
      <c r="C709" s="226">
        <v>1</v>
      </c>
      <c r="D709" s="227">
        <v>5</v>
      </c>
      <c r="E709" s="226">
        <v>8</v>
      </c>
      <c r="F709" s="226"/>
      <c r="G709" s="226"/>
      <c r="H709" s="212">
        <f>C709</f>
        <v>1</v>
      </c>
      <c r="I709" s="226"/>
      <c r="J709" s="199"/>
      <c r="K709" s="199"/>
      <c r="L709" s="199"/>
    </row>
    <row r="710" spans="1:12" ht="24" customHeight="1">
      <c r="A710" s="433"/>
      <c r="B710" s="226"/>
      <c r="C710" s="226"/>
      <c r="D710" s="227"/>
      <c r="E710" s="226"/>
      <c r="F710" s="226"/>
      <c r="G710" s="226"/>
      <c r="H710" s="212"/>
      <c r="I710" s="226"/>
      <c r="J710" s="199"/>
      <c r="K710" s="199"/>
      <c r="L710" s="199"/>
    </row>
    <row r="711" spans="1:12" ht="24" customHeight="1">
      <c r="A711" s="225"/>
      <c r="B711" s="194"/>
      <c r="C711" s="220"/>
      <c r="D711" s="221"/>
      <c r="E711" s="220"/>
      <c r="F711" s="217"/>
      <c r="G711" s="217"/>
      <c r="H711" s="218"/>
      <c r="I711" s="219"/>
      <c r="J711" s="222"/>
      <c r="K711" s="199"/>
      <c r="L711" s="199"/>
    </row>
    <row r="712" spans="1:12" ht="315">
      <c r="A712" s="345" t="s">
        <v>961</v>
      </c>
      <c r="B712" s="353" t="s">
        <v>934</v>
      </c>
      <c r="C712" s="354"/>
      <c r="D712" s="354"/>
      <c r="E712" s="354"/>
      <c r="F712" s="348" t="s">
        <v>620</v>
      </c>
      <c r="G712" s="348"/>
      <c r="H712" s="349">
        <f>H713/10.764</f>
        <v>95.503530286138982</v>
      </c>
      <c r="I712" s="355" t="s">
        <v>328</v>
      </c>
      <c r="J712" s="199"/>
      <c r="K712" s="199"/>
      <c r="L712" s="199"/>
    </row>
    <row r="713" spans="1:12" ht="24" customHeight="1">
      <c r="A713" s="225"/>
      <c r="B713" s="194"/>
      <c r="C713" s="220"/>
      <c r="D713" s="221"/>
      <c r="E713" s="220"/>
      <c r="F713" s="217" t="s">
        <v>620</v>
      </c>
      <c r="G713" s="217"/>
      <c r="H713" s="218">
        <f>SUM(H716:H736)</f>
        <v>1028</v>
      </c>
      <c r="I713" s="219" t="s">
        <v>621</v>
      </c>
      <c r="J713" s="222"/>
      <c r="K713" s="199"/>
      <c r="L713" s="199"/>
    </row>
    <row r="714" spans="1:12" ht="24" customHeight="1">
      <c r="A714" s="225"/>
      <c r="B714" s="223" t="s">
        <v>622</v>
      </c>
      <c r="C714" s="220"/>
      <c r="D714" s="221"/>
      <c r="E714" s="220"/>
      <c r="F714" s="217"/>
      <c r="G714" s="217"/>
      <c r="H714" s="212"/>
      <c r="I714" s="219"/>
      <c r="J714" s="222"/>
      <c r="K714" s="199"/>
      <c r="L714" s="199"/>
    </row>
    <row r="715" spans="1:12" ht="24" customHeight="1">
      <c r="A715" s="225"/>
      <c r="B715" s="223"/>
      <c r="C715" s="220"/>
      <c r="D715" s="221"/>
      <c r="E715" s="220"/>
      <c r="F715" s="217"/>
      <c r="G715" s="217"/>
      <c r="H715" s="212"/>
      <c r="I715" s="219"/>
      <c r="J715" s="222"/>
      <c r="K715" s="199"/>
      <c r="L715" s="199"/>
    </row>
    <row r="716" spans="1:12" ht="24" customHeight="1">
      <c r="A716" s="225"/>
      <c r="B716" s="224" t="s">
        <v>857</v>
      </c>
      <c r="C716" s="220">
        <v>2</v>
      </c>
      <c r="D716" s="221">
        <v>6.5</v>
      </c>
      <c r="E716" s="220">
        <v>8</v>
      </c>
      <c r="F716" s="217"/>
      <c r="G716" s="217"/>
      <c r="H716" s="212">
        <f t="shared" ref="H716:H722" si="30">C716*D716*E716</f>
        <v>104</v>
      </c>
      <c r="I716" s="219"/>
      <c r="J716" s="222"/>
      <c r="K716" s="199"/>
      <c r="L716" s="199"/>
    </row>
    <row r="717" spans="1:12" ht="24" customHeight="1">
      <c r="A717" s="225"/>
      <c r="B717" s="224" t="s">
        <v>625</v>
      </c>
      <c r="C717" s="220">
        <v>1</v>
      </c>
      <c r="D717" s="221">
        <v>6.75</v>
      </c>
      <c r="E717" s="220">
        <v>8</v>
      </c>
      <c r="F717" s="217"/>
      <c r="G717" s="217"/>
      <c r="H717" s="212">
        <f t="shared" si="30"/>
        <v>54</v>
      </c>
      <c r="I717" s="219"/>
      <c r="J717" s="222"/>
      <c r="K717" s="199"/>
      <c r="L717" s="199"/>
    </row>
    <row r="718" spans="1:12" ht="24" customHeight="1">
      <c r="A718" s="225"/>
      <c r="B718" s="224" t="s">
        <v>770</v>
      </c>
      <c r="C718" s="220">
        <v>1</v>
      </c>
      <c r="D718" s="221">
        <v>8.25</v>
      </c>
      <c r="E718" s="220">
        <v>8</v>
      </c>
      <c r="F718" s="217"/>
      <c r="G718" s="217"/>
      <c r="H718" s="212">
        <f t="shared" si="30"/>
        <v>66</v>
      </c>
      <c r="I718" s="219"/>
      <c r="J718" s="222"/>
      <c r="K718" s="199"/>
      <c r="L718" s="199"/>
    </row>
    <row r="719" spans="1:12" ht="24" customHeight="1">
      <c r="A719" s="225"/>
      <c r="B719" s="224" t="s">
        <v>771</v>
      </c>
      <c r="C719" s="220">
        <v>1</v>
      </c>
      <c r="D719" s="221">
        <v>3.75</v>
      </c>
      <c r="E719" s="220">
        <v>8</v>
      </c>
      <c r="F719" s="217"/>
      <c r="G719" s="217"/>
      <c r="H719" s="212">
        <f t="shared" si="30"/>
        <v>30</v>
      </c>
      <c r="I719" s="219"/>
      <c r="J719" s="222"/>
      <c r="K719" s="199"/>
      <c r="L719" s="199"/>
    </row>
    <row r="720" spans="1:12" ht="24" customHeight="1">
      <c r="A720" s="433"/>
      <c r="B720" s="226" t="s">
        <v>767</v>
      </c>
      <c r="C720" s="226">
        <v>1</v>
      </c>
      <c r="D720" s="227">
        <v>4.25</v>
      </c>
      <c r="E720" s="226">
        <v>8</v>
      </c>
      <c r="F720" s="226"/>
      <c r="G720" s="226"/>
      <c r="H720" s="228">
        <f t="shared" si="30"/>
        <v>34</v>
      </c>
      <c r="I720" s="226"/>
      <c r="J720" s="199"/>
      <c r="K720" s="199"/>
      <c r="L720" s="199"/>
    </row>
    <row r="721" spans="1:12" ht="24" customHeight="1">
      <c r="A721" s="433"/>
      <c r="B721" s="226" t="s">
        <v>768</v>
      </c>
      <c r="C721" s="226">
        <v>1</v>
      </c>
      <c r="D721" s="227">
        <v>5</v>
      </c>
      <c r="E721" s="226">
        <v>8</v>
      </c>
      <c r="F721" s="226"/>
      <c r="G721" s="226"/>
      <c r="H721" s="228">
        <f t="shared" si="30"/>
        <v>40</v>
      </c>
      <c r="I721" s="226"/>
      <c r="J721" s="199"/>
      <c r="K721" s="199"/>
      <c r="L721" s="199"/>
    </row>
    <row r="722" spans="1:12" ht="24" customHeight="1">
      <c r="A722" s="433"/>
      <c r="B722" s="226" t="s">
        <v>630</v>
      </c>
      <c r="C722" s="226">
        <v>4</v>
      </c>
      <c r="D722" s="227">
        <v>2.5</v>
      </c>
      <c r="E722" s="226">
        <v>8</v>
      </c>
      <c r="F722" s="226"/>
      <c r="G722" s="226"/>
      <c r="H722" s="228">
        <f t="shared" si="30"/>
        <v>80</v>
      </c>
      <c r="I722" s="226"/>
      <c r="J722" s="199"/>
      <c r="K722" s="199"/>
      <c r="L722" s="199"/>
    </row>
    <row r="723" spans="1:12" ht="24" customHeight="1">
      <c r="A723" s="433"/>
      <c r="B723" s="223" t="s">
        <v>637</v>
      </c>
      <c r="C723" s="226"/>
      <c r="D723" s="227"/>
      <c r="E723" s="226"/>
      <c r="F723" s="226"/>
      <c r="G723" s="226"/>
      <c r="H723" s="228"/>
      <c r="I723" s="226"/>
      <c r="J723" s="199"/>
      <c r="K723" s="199"/>
      <c r="L723" s="199"/>
    </row>
    <row r="724" spans="1:12" ht="24" customHeight="1">
      <c r="A724" s="433"/>
      <c r="B724" s="226" t="s">
        <v>767</v>
      </c>
      <c r="C724" s="226">
        <v>1</v>
      </c>
      <c r="D724" s="227">
        <v>8.25</v>
      </c>
      <c r="E724" s="226">
        <v>8</v>
      </c>
      <c r="F724" s="226"/>
      <c r="G724" s="226"/>
      <c r="H724" s="228">
        <f t="shared" ref="H724:H734" si="31">C724*D724*E724</f>
        <v>66</v>
      </c>
      <c r="I724" s="226"/>
      <c r="J724" s="199"/>
      <c r="K724" s="199"/>
      <c r="L724" s="199"/>
    </row>
    <row r="725" spans="1:12" ht="24" customHeight="1">
      <c r="A725" s="433"/>
      <c r="B725" s="226" t="s">
        <v>768</v>
      </c>
      <c r="C725" s="226">
        <v>1</v>
      </c>
      <c r="D725" s="227">
        <v>6.75</v>
      </c>
      <c r="E725" s="226">
        <v>8</v>
      </c>
      <c r="F725" s="226"/>
      <c r="G725" s="226"/>
      <c r="H725" s="228">
        <f t="shared" si="31"/>
        <v>54</v>
      </c>
      <c r="I725" s="226"/>
      <c r="J725" s="199"/>
      <c r="K725" s="199"/>
      <c r="L725" s="199"/>
    </row>
    <row r="726" spans="1:12" ht="24" customHeight="1">
      <c r="A726" s="433"/>
      <c r="B726" s="226" t="s">
        <v>770</v>
      </c>
      <c r="C726" s="226">
        <v>1</v>
      </c>
      <c r="D726" s="227">
        <v>8.25</v>
      </c>
      <c r="E726" s="226">
        <v>8</v>
      </c>
      <c r="F726" s="226"/>
      <c r="G726" s="226"/>
      <c r="H726" s="228">
        <f t="shared" si="31"/>
        <v>66</v>
      </c>
      <c r="I726" s="226"/>
      <c r="J726" s="199"/>
      <c r="K726" s="199"/>
      <c r="L726" s="199"/>
    </row>
    <row r="727" spans="1:12" ht="24" customHeight="1">
      <c r="A727" s="433"/>
      <c r="B727" s="226" t="s">
        <v>771</v>
      </c>
      <c r="C727" s="226">
        <v>1</v>
      </c>
      <c r="D727" s="227">
        <v>8.75</v>
      </c>
      <c r="E727" s="226">
        <v>8</v>
      </c>
      <c r="F727" s="226"/>
      <c r="G727" s="226"/>
      <c r="H727" s="228">
        <f t="shared" si="31"/>
        <v>70</v>
      </c>
      <c r="I727" s="226"/>
      <c r="J727" s="199"/>
      <c r="K727" s="199"/>
      <c r="L727" s="199"/>
    </row>
    <row r="728" spans="1:12" ht="24" customHeight="1">
      <c r="A728" s="433"/>
      <c r="B728" s="226" t="s">
        <v>772</v>
      </c>
      <c r="C728" s="226">
        <v>1</v>
      </c>
      <c r="D728" s="227">
        <v>8.75</v>
      </c>
      <c r="E728" s="226">
        <v>8</v>
      </c>
      <c r="F728" s="226"/>
      <c r="G728" s="226"/>
      <c r="H728" s="228">
        <f t="shared" si="31"/>
        <v>70</v>
      </c>
      <c r="I728" s="226"/>
      <c r="J728" s="199"/>
      <c r="K728" s="199"/>
      <c r="L728" s="199"/>
    </row>
    <row r="729" spans="1:12" ht="24" customHeight="1">
      <c r="A729" s="433"/>
      <c r="B729" s="226" t="s">
        <v>773</v>
      </c>
      <c r="C729" s="226">
        <v>1</v>
      </c>
      <c r="D729" s="227">
        <v>8.25</v>
      </c>
      <c r="E729" s="226">
        <v>8</v>
      </c>
      <c r="F729" s="226"/>
      <c r="G729" s="226"/>
      <c r="H729" s="228">
        <f t="shared" si="31"/>
        <v>66</v>
      </c>
      <c r="I729" s="226"/>
      <c r="J729" s="199"/>
      <c r="K729" s="199"/>
      <c r="L729" s="199"/>
    </row>
    <row r="730" spans="1:12" ht="24" customHeight="1">
      <c r="A730" s="433"/>
      <c r="B730" s="226" t="s">
        <v>774</v>
      </c>
      <c r="C730" s="226">
        <v>1</v>
      </c>
      <c r="D730" s="227">
        <v>6.75</v>
      </c>
      <c r="E730" s="226">
        <v>8</v>
      </c>
      <c r="F730" s="226"/>
      <c r="G730" s="226"/>
      <c r="H730" s="228">
        <f t="shared" si="31"/>
        <v>54</v>
      </c>
      <c r="I730" s="226"/>
      <c r="J730" s="199"/>
      <c r="K730" s="199"/>
      <c r="L730" s="199"/>
    </row>
    <row r="731" spans="1:12" ht="24" customHeight="1">
      <c r="A731" s="433"/>
      <c r="B731" s="226" t="s">
        <v>775</v>
      </c>
      <c r="C731" s="226">
        <v>1</v>
      </c>
      <c r="D731" s="227">
        <v>4.25</v>
      </c>
      <c r="E731" s="226">
        <v>8</v>
      </c>
      <c r="F731" s="226"/>
      <c r="G731" s="226"/>
      <c r="H731" s="228">
        <f t="shared" si="31"/>
        <v>34</v>
      </c>
      <c r="I731" s="226"/>
      <c r="J731" s="199"/>
      <c r="K731" s="199"/>
      <c r="L731" s="199"/>
    </row>
    <row r="732" spans="1:12" ht="24" customHeight="1">
      <c r="A732" s="433"/>
      <c r="B732" s="226" t="s">
        <v>776</v>
      </c>
      <c r="C732" s="226">
        <v>1</v>
      </c>
      <c r="D732" s="227">
        <v>4</v>
      </c>
      <c r="E732" s="226">
        <v>8</v>
      </c>
      <c r="F732" s="226"/>
      <c r="G732" s="226"/>
      <c r="H732" s="228">
        <f t="shared" si="31"/>
        <v>32</v>
      </c>
      <c r="I732" s="226"/>
      <c r="J732" s="199"/>
      <c r="K732" s="199"/>
      <c r="L732" s="199"/>
    </row>
    <row r="733" spans="1:12" ht="24" customHeight="1">
      <c r="A733" s="433"/>
      <c r="B733" s="226" t="s">
        <v>777</v>
      </c>
      <c r="C733" s="226">
        <v>1</v>
      </c>
      <c r="D733" s="227">
        <v>5</v>
      </c>
      <c r="E733" s="226">
        <v>8</v>
      </c>
      <c r="F733" s="226"/>
      <c r="G733" s="226"/>
      <c r="H733" s="228">
        <f t="shared" si="31"/>
        <v>40</v>
      </c>
      <c r="I733" s="226"/>
      <c r="J733" s="199"/>
      <c r="K733" s="199"/>
      <c r="L733" s="199"/>
    </row>
    <row r="734" spans="1:12" ht="24" customHeight="1">
      <c r="A734" s="433"/>
      <c r="B734" s="226" t="s">
        <v>630</v>
      </c>
      <c r="C734" s="226">
        <v>2</v>
      </c>
      <c r="D734" s="227">
        <v>1.5</v>
      </c>
      <c r="E734" s="226">
        <v>8</v>
      </c>
      <c r="F734" s="226"/>
      <c r="G734" s="226"/>
      <c r="H734" s="228">
        <f t="shared" si="31"/>
        <v>24</v>
      </c>
      <c r="I734" s="226"/>
      <c r="J734" s="199"/>
      <c r="K734" s="199"/>
      <c r="L734" s="199"/>
    </row>
    <row r="735" spans="1:12" ht="24" customHeight="1">
      <c r="A735" s="433"/>
      <c r="B735" s="223" t="s">
        <v>640</v>
      </c>
      <c r="C735" s="226"/>
      <c r="D735" s="227"/>
      <c r="E735" s="226"/>
      <c r="F735" s="226"/>
      <c r="G735" s="226"/>
      <c r="H735" s="228"/>
      <c r="I735" s="226"/>
      <c r="J735" s="199"/>
      <c r="K735" s="199"/>
      <c r="L735" s="199"/>
    </row>
    <row r="736" spans="1:12" ht="24" customHeight="1">
      <c r="A736" s="433"/>
      <c r="B736" s="226" t="s">
        <v>646</v>
      </c>
      <c r="C736" s="226">
        <v>2</v>
      </c>
      <c r="D736" s="227">
        <v>2.75</v>
      </c>
      <c r="E736" s="226">
        <v>8</v>
      </c>
      <c r="F736" s="226"/>
      <c r="G736" s="226"/>
      <c r="H736" s="212">
        <f>C736*D736*E736</f>
        <v>44</v>
      </c>
      <c r="I736" s="226"/>
      <c r="J736" s="199"/>
      <c r="K736" s="199"/>
      <c r="L736" s="199"/>
    </row>
    <row r="737" spans="1:18" ht="24" customHeight="1">
      <c r="A737" s="225"/>
      <c r="B737" s="194"/>
      <c r="C737" s="220"/>
      <c r="D737" s="221"/>
      <c r="E737" s="220"/>
      <c r="F737" s="217"/>
      <c r="G737" s="217"/>
      <c r="H737" s="218"/>
      <c r="I737" s="219"/>
      <c r="J737" s="222"/>
      <c r="K737" s="199"/>
      <c r="L737" s="199"/>
    </row>
    <row r="738" spans="1:18" ht="367.5">
      <c r="A738" s="345" t="s">
        <v>974</v>
      </c>
      <c r="B738" s="356" t="s">
        <v>957</v>
      </c>
      <c r="C738" s="354"/>
      <c r="D738" s="354"/>
      <c r="E738" s="354"/>
      <c r="F738" s="348" t="s">
        <v>620</v>
      </c>
      <c r="G738" s="348"/>
      <c r="H738" s="349">
        <f>H739/10.764</f>
        <v>393.6559364548495</v>
      </c>
      <c r="I738" s="355" t="s">
        <v>328</v>
      </c>
      <c r="J738" s="199"/>
      <c r="K738" s="199"/>
      <c r="L738" s="199"/>
    </row>
    <row r="739" spans="1:18" ht="21">
      <c r="B739" s="194"/>
      <c r="C739" s="220"/>
      <c r="D739" s="221"/>
      <c r="E739" s="220"/>
      <c r="F739" s="217" t="s">
        <v>620</v>
      </c>
      <c r="G739" s="217"/>
      <c r="H739" s="218">
        <f>SUM(H742:H807)</f>
        <v>4237.3125</v>
      </c>
      <c r="I739" s="219" t="s">
        <v>621</v>
      </c>
      <c r="J739" s="222"/>
      <c r="K739" s="199"/>
      <c r="L739" s="199"/>
    </row>
    <row r="740" spans="1:18" ht="24" customHeight="1">
      <c r="A740" s="225"/>
      <c r="B740" s="194"/>
      <c r="C740" s="220"/>
      <c r="D740" s="221"/>
      <c r="E740" s="220"/>
      <c r="F740" s="217"/>
      <c r="G740" s="217"/>
      <c r="H740" s="218"/>
      <c r="I740" s="219"/>
      <c r="J740" s="222"/>
      <c r="K740" s="199"/>
      <c r="L740" s="199"/>
    </row>
    <row r="741" spans="1:18" ht="24" customHeight="1">
      <c r="A741" s="225"/>
      <c r="B741" s="223" t="s">
        <v>622</v>
      </c>
      <c r="C741" s="220"/>
      <c r="D741" s="221"/>
      <c r="E741" s="220"/>
      <c r="F741" s="217"/>
      <c r="G741" s="217"/>
      <c r="H741" s="212"/>
      <c r="I741" s="219"/>
      <c r="J741" s="222"/>
      <c r="K741" s="199"/>
      <c r="L741" s="199"/>
    </row>
    <row r="742" spans="1:18" ht="24" customHeight="1">
      <c r="A742" s="225"/>
      <c r="B742" s="224" t="s">
        <v>625</v>
      </c>
      <c r="C742" s="220">
        <v>1</v>
      </c>
      <c r="D742" s="221">
        <v>11.75</v>
      </c>
      <c r="E742" s="220">
        <v>10.25</v>
      </c>
      <c r="F742" s="217"/>
      <c r="G742" s="217"/>
      <c r="H742" s="212">
        <f t="shared" ref="H742:H752" si="32">C742*D742*E742</f>
        <v>120.4375</v>
      </c>
      <c r="I742" s="219"/>
      <c r="J742" s="222"/>
      <c r="K742" s="199"/>
      <c r="L742" s="199"/>
    </row>
    <row r="743" spans="1:18" ht="24" customHeight="1">
      <c r="A743" s="225"/>
      <c r="B743" s="224" t="s">
        <v>770</v>
      </c>
      <c r="C743" s="220">
        <v>1</v>
      </c>
      <c r="D743" s="221">
        <v>11.75</v>
      </c>
      <c r="E743" s="220">
        <v>10.25</v>
      </c>
      <c r="F743" s="217"/>
      <c r="G743" s="217"/>
      <c r="H743" s="212">
        <f t="shared" si="32"/>
        <v>120.4375</v>
      </c>
      <c r="I743" s="219"/>
      <c r="J743" s="222"/>
      <c r="K743" s="199"/>
      <c r="L743" s="199"/>
    </row>
    <row r="744" spans="1:18" ht="24" customHeight="1">
      <c r="A744" s="225"/>
      <c r="B744" s="224" t="s">
        <v>658</v>
      </c>
      <c r="C744" s="220">
        <v>1</v>
      </c>
      <c r="D744" s="221">
        <f>6.75+11.25+15.25</f>
        <v>33.25</v>
      </c>
      <c r="E744" s="220">
        <v>10.25</v>
      </c>
      <c r="F744" s="217"/>
      <c r="G744" s="217"/>
      <c r="H744" s="212">
        <f t="shared" si="32"/>
        <v>340.8125</v>
      </c>
      <c r="I744" s="219"/>
      <c r="J744" s="222"/>
      <c r="K744" s="199"/>
      <c r="L744" s="199"/>
    </row>
    <row r="745" spans="1:18" ht="24" customHeight="1">
      <c r="A745" s="225"/>
      <c r="B745" s="224" t="s">
        <v>890</v>
      </c>
      <c r="C745" s="220">
        <v>-1</v>
      </c>
      <c r="D745" s="221">
        <f>2.75+2.75</f>
        <v>5.5</v>
      </c>
      <c r="E745" s="220">
        <v>8</v>
      </c>
      <c r="F745" s="217"/>
      <c r="G745" s="217"/>
      <c r="H745" s="212">
        <f t="shared" si="32"/>
        <v>-44</v>
      </c>
      <c r="I745" s="219"/>
      <c r="J745" s="222"/>
      <c r="K745" s="199"/>
      <c r="L745" s="199"/>
    </row>
    <row r="746" spans="1:18" ht="24" customHeight="1">
      <c r="A746" s="225"/>
      <c r="B746" s="224" t="s">
        <v>627</v>
      </c>
      <c r="C746" s="220">
        <v>1</v>
      </c>
      <c r="D746" s="221">
        <f>9.75+11.25</f>
        <v>21</v>
      </c>
      <c r="E746" s="220">
        <v>10.25</v>
      </c>
      <c r="F746" s="225"/>
      <c r="G746" s="225"/>
      <c r="H746" s="212">
        <f t="shared" si="32"/>
        <v>215.25</v>
      </c>
      <c r="I746" s="219"/>
      <c r="J746" s="222"/>
      <c r="K746" s="199"/>
      <c r="L746" s="199"/>
    </row>
    <row r="747" spans="1:18" ht="24" customHeight="1">
      <c r="A747" s="225"/>
      <c r="B747" s="224" t="s">
        <v>890</v>
      </c>
      <c r="C747" s="220">
        <v>-1</v>
      </c>
      <c r="D747" s="221">
        <v>2.5</v>
      </c>
      <c r="E747" s="220">
        <v>8</v>
      </c>
      <c r="F747" s="225"/>
      <c r="G747" s="225"/>
      <c r="H747" s="212">
        <f t="shared" si="32"/>
        <v>-20</v>
      </c>
      <c r="I747" s="236"/>
      <c r="J747" s="222"/>
      <c r="K747" s="199"/>
      <c r="L747" s="199"/>
    </row>
    <row r="748" spans="1:18" ht="24" customHeight="1">
      <c r="A748" s="225"/>
      <c r="B748" s="224" t="s">
        <v>911</v>
      </c>
      <c r="C748" s="220">
        <v>1</v>
      </c>
      <c r="D748" s="221">
        <v>3.75</v>
      </c>
      <c r="E748" s="220">
        <v>5.5</v>
      </c>
      <c r="F748" s="225"/>
      <c r="G748" s="417"/>
      <c r="H748" s="357">
        <f t="shared" si="32"/>
        <v>20.625</v>
      </c>
      <c r="I748" s="242"/>
      <c r="J748" s="222"/>
      <c r="K748" s="199"/>
      <c r="L748" s="199"/>
    </row>
    <row r="749" spans="1:18" ht="24" customHeight="1">
      <c r="A749" s="225"/>
      <c r="B749" s="224" t="s">
        <v>913</v>
      </c>
      <c r="C749" s="220">
        <v>0.5</v>
      </c>
      <c r="D749" s="221">
        <v>10.75</v>
      </c>
      <c r="E749" s="220">
        <v>5.5</v>
      </c>
      <c r="F749" s="225"/>
      <c r="G749" s="417"/>
      <c r="H749" s="357">
        <f t="shared" si="32"/>
        <v>29.5625</v>
      </c>
      <c r="I749" s="242"/>
      <c r="J749" s="222"/>
      <c r="K749" s="199"/>
      <c r="L749" s="199"/>
    </row>
    <row r="750" spans="1:18" ht="24" customHeight="1">
      <c r="A750" s="225"/>
      <c r="B750" s="226" t="s">
        <v>912</v>
      </c>
      <c r="C750" s="220">
        <v>1</v>
      </c>
      <c r="D750" s="227">
        <f>13.5</f>
        <v>13.5</v>
      </c>
      <c r="E750" s="226">
        <v>11.25</v>
      </c>
      <c r="F750" s="226"/>
      <c r="G750" s="594"/>
      <c r="H750" s="358">
        <f>C750*D750*E750</f>
        <v>151.875</v>
      </c>
      <c r="I750" s="242"/>
      <c r="J750" s="359"/>
      <c r="K750" s="360"/>
      <c r="L750" s="360"/>
      <c r="M750" s="249"/>
      <c r="N750" s="249"/>
      <c r="O750" s="249"/>
      <c r="P750" s="249"/>
      <c r="Q750" s="249"/>
      <c r="R750" s="249"/>
    </row>
    <row r="751" spans="1:18" ht="24" customHeight="1">
      <c r="A751" s="225"/>
      <c r="B751" s="224" t="s">
        <v>890</v>
      </c>
      <c r="C751" s="220">
        <v>-1</v>
      </c>
      <c r="D751" s="227">
        <v>3</v>
      </c>
      <c r="E751" s="226">
        <v>8</v>
      </c>
      <c r="F751" s="226"/>
      <c r="G751" s="594"/>
      <c r="H751" s="358">
        <f>C751*D751*E751</f>
        <v>-24</v>
      </c>
      <c r="I751" s="242"/>
      <c r="J751" s="359"/>
      <c r="K751" s="360"/>
      <c r="L751" s="360"/>
      <c r="M751" s="249"/>
      <c r="N751" s="249"/>
      <c r="O751" s="249"/>
      <c r="P751" s="249"/>
      <c r="Q751" s="249"/>
      <c r="R751" s="249"/>
    </row>
    <row r="752" spans="1:18" ht="24" customHeight="1">
      <c r="A752" s="433"/>
      <c r="B752" s="226" t="s">
        <v>768</v>
      </c>
      <c r="C752" s="220">
        <v>1</v>
      </c>
      <c r="D752" s="227">
        <v>10.75</v>
      </c>
      <c r="E752" s="226">
        <v>10.25</v>
      </c>
      <c r="F752" s="226"/>
      <c r="G752" s="594"/>
      <c r="H752" s="358">
        <f t="shared" si="32"/>
        <v>110.1875</v>
      </c>
      <c r="I752" s="246"/>
      <c r="J752" s="360"/>
      <c r="K752" s="360"/>
      <c r="L752" s="360"/>
      <c r="M752" s="249"/>
      <c r="N752" s="249"/>
      <c r="O752" s="249"/>
      <c r="P752" s="249"/>
      <c r="Q752" s="249"/>
      <c r="R752" s="249"/>
    </row>
    <row r="753" spans="1:18" ht="24" customHeight="1">
      <c r="A753" s="433"/>
      <c r="B753" s="315" t="s">
        <v>629</v>
      </c>
      <c r="C753" s="232">
        <v>1</v>
      </c>
      <c r="D753" s="318">
        <f>12.25+7+11</f>
        <v>30.25</v>
      </c>
      <c r="E753" s="315">
        <v>10.25</v>
      </c>
      <c r="F753" s="315"/>
      <c r="G753" s="595"/>
      <c r="H753" s="361">
        <f>C753*D753*E753</f>
        <v>310.0625</v>
      </c>
      <c r="I753" s="246"/>
      <c r="J753" s="360"/>
      <c r="K753" s="360"/>
      <c r="L753" s="360"/>
      <c r="M753" s="249"/>
      <c r="N753" s="249"/>
      <c r="O753" s="249"/>
      <c r="P753" s="249"/>
      <c r="Q753" s="249"/>
      <c r="R753" s="249"/>
    </row>
    <row r="754" spans="1:18" s="249" customFormat="1" ht="24" customHeight="1">
      <c r="A754" s="440"/>
      <c r="B754" s="308" t="s">
        <v>890</v>
      </c>
      <c r="C754" s="252">
        <v>-1</v>
      </c>
      <c r="D754" s="252">
        <v>3</v>
      </c>
      <c r="E754" s="252">
        <v>8</v>
      </c>
      <c r="F754" s="252"/>
      <c r="G754" s="593"/>
      <c r="H754" s="361">
        <f>C754*D754*E754</f>
        <v>-24</v>
      </c>
      <c r="I754" s="246"/>
      <c r="J754" s="360"/>
      <c r="K754" s="360"/>
      <c r="L754" s="360"/>
    </row>
    <row r="755" spans="1:18" ht="24" customHeight="1">
      <c r="A755" s="435"/>
      <c r="B755" s="246" t="s">
        <v>1071</v>
      </c>
      <c r="C755" s="238">
        <v>1</v>
      </c>
      <c r="D755" s="247">
        <v>11.25</v>
      </c>
      <c r="E755" s="246">
        <v>10.25</v>
      </c>
      <c r="F755" s="246"/>
      <c r="G755" s="246"/>
      <c r="H755" s="248">
        <f>C755*D755*E755</f>
        <v>115.3125</v>
      </c>
      <c r="I755" s="246"/>
      <c r="J755" s="360"/>
      <c r="K755" s="360"/>
      <c r="L755" s="360"/>
      <c r="M755" s="249"/>
      <c r="N755" s="249"/>
      <c r="O755" s="249"/>
      <c r="P755" s="249"/>
      <c r="Q755" s="249"/>
      <c r="R755" s="249"/>
    </row>
    <row r="756" spans="1:18" s="249" customFormat="1" ht="24" customHeight="1">
      <c r="A756" s="435"/>
      <c r="B756" s="237" t="s">
        <v>890</v>
      </c>
      <c r="C756" s="245">
        <v>-1</v>
      </c>
      <c r="D756" s="245">
        <v>3</v>
      </c>
      <c r="E756" s="245">
        <v>8</v>
      </c>
      <c r="F756" s="245"/>
      <c r="G756" s="245"/>
      <c r="H756" s="248">
        <f>C756*D756*E756</f>
        <v>-24</v>
      </c>
      <c r="I756" s="246"/>
      <c r="J756" s="360"/>
      <c r="K756" s="360"/>
      <c r="L756" s="360"/>
    </row>
    <row r="757" spans="1:18" s="249" customFormat="1" ht="24" customHeight="1">
      <c r="A757" s="435"/>
      <c r="B757" s="237"/>
      <c r="C757" s="245"/>
      <c r="D757" s="245"/>
      <c r="E757" s="245"/>
      <c r="F757" s="245"/>
      <c r="G757" s="245"/>
      <c r="H757" s="248"/>
      <c r="I757" s="246"/>
      <c r="J757" s="360"/>
      <c r="K757" s="360"/>
      <c r="L757" s="360"/>
    </row>
    <row r="758" spans="1:18" s="244" customFormat="1" ht="24" customHeight="1">
      <c r="A758" s="435"/>
      <c r="B758" s="237"/>
      <c r="C758" s="245"/>
      <c r="D758" s="245"/>
      <c r="E758" s="245"/>
      <c r="F758" s="245"/>
      <c r="G758" s="596"/>
      <c r="H758" s="362"/>
      <c r="I758" s="246"/>
      <c r="J758" s="360"/>
      <c r="K758" s="360"/>
      <c r="L758" s="360"/>
      <c r="M758" s="249"/>
      <c r="N758" s="249"/>
      <c r="O758" s="249"/>
      <c r="P758" s="249"/>
      <c r="Q758" s="249"/>
      <c r="R758" s="249"/>
    </row>
    <row r="759" spans="1:18" s="244" customFormat="1" ht="24" customHeight="1">
      <c r="A759" s="435"/>
      <c r="B759" s="223" t="s">
        <v>637</v>
      </c>
      <c r="C759" s="245"/>
      <c r="D759" s="245"/>
      <c r="E759" s="245"/>
      <c r="F759" s="245"/>
      <c r="G759" s="596"/>
      <c r="H759" s="362"/>
      <c r="I759" s="246"/>
      <c r="J759" s="360"/>
      <c r="K759" s="360"/>
      <c r="L759" s="360"/>
      <c r="M759" s="249"/>
      <c r="N759" s="249"/>
      <c r="O759" s="249"/>
      <c r="P759" s="249"/>
      <c r="Q759" s="249"/>
      <c r="R759" s="249"/>
    </row>
    <row r="760" spans="1:18" s="244" customFormat="1" ht="24" customHeight="1">
      <c r="A760" s="435"/>
      <c r="B760" s="226" t="s">
        <v>767</v>
      </c>
      <c r="C760" s="226">
        <v>1</v>
      </c>
      <c r="D760" s="227">
        <v>15</v>
      </c>
      <c r="E760" s="226">
        <v>10.25</v>
      </c>
      <c r="F760" s="226"/>
      <c r="G760" s="594"/>
      <c r="H760" s="358">
        <f t="shared" ref="H760:H765" si="33">C760*D760*E760</f>
        <v>153.75</v>
      </c>
      <c r="I760" s="246"/>
      <c r="J760" s="360"/>
      <c r="K760" s="360"/>
      <c r="L760" s="360"/>
      <c r="M760" s="249"/>
      <c r="N760" s="249"/>
      <c r="O760" s="249"/>
      <c r="P760" s="249"/>
      <c r="Q760" s="249"/>
      <c r="R760" s="249"/>
    </row>
    <row r="761" spans="1:18" s="244" customFormat="1" ht="24" customHeight="1">
      <c r="A761" s="435"/>
      <c r="B761" s="226" t="s">
        <v>768</v>
      </c>
      <c r="C761" s="226">
        <v>1</v>
      </c>
      <c r="D761" s="227">
        <v>15</v>
      </c>
      <c r="E761" s="226">
        <v>10.25</v>
      </c>
      <c r="F761" s="226"/>
      <c r="G761" s="594"/>
      <c r="H761" s="358">
        <f t="shared" si="33"/>
        <v>153.75</v>
      </c>
      <c r="I761" s="246"/>
      <c r="J761" s="360"/>
      <c r="K761" s="360"/>
      <c r="L761" s="360"/>
      <c r="M761" s="249"/>
      <c r="N761" s="249"/>
      <c r="O761" s="249"/>
      <c r="P761" s="249"/>
      <c r="Q761" s="249"/>
      <c r="R761" s="249"/>
    </row>
    <row r="762" spans="1:18" s="244" customFormat="1" ht="24" customHeight="1">
      <c r="A762" s="435"/>
      <c r="B762" s="226" t="s">
        <v>770</v>
      </c>
      <c r="C762" s="226">
        <v>1</v>
      </c>
      <c r="D762" s="227">
        <v>15</v>
      </c>
      <c r="E762" s="226">
        <v>10.25</v>
      </c>
      <c r="F762" s="226"/>
      <c r="G762" s="594"/>
      <c r="H762" s="358">
        <f t="shared" si="33"/>
        <v>153.75</v>
      </c>
      <c r="I762" s="246"/>
      <c r="J762" s="360"/>
      <c r="K762" s="360"/>
      <c r="L762" s="360"/>
      <c r="M762" s="249"/>
      <c r="N762" s="249"/>
      <c r="O762" s="249"/>
      <c r="P762" s="249"/>
      <c r="Q762" s="249"/>
      <c r="R762" s="249"/>
    </row>
    <row r="763" spans="1:18" s="244" customFormat="1" ht="24" customHeight="1">
      <c r="A763" s="435"/>
      <c r="B763" s="226" t="s">
        <v>772</v>
      </c>
      <c r="C763" s="226">
        <v>1</v>
      </c>
      <c r="D763" s="227">
        <v>11.75</v>
      </c>
      <c r="E763" s="226">
        <v>10.25</v>
      </c>
      <c r="F763" s="226"/>
      <c r="G763" s="594"/>
      <c r="H763" s="358">
        <f t="shared" si="33"/>
        <v>120.4375</v>
      </c>
      <c r="I763" s="246"/>
      <c r="J763" s="360"/>
      <c r="K763" s="360"/>
      <c r="L763" s="360"/>
      <c r="M763" s="249"/>
      <c r="N763" s="249"/>
      <c r="O763" s="249"/>
      <c r="P763" s="249"/>
      <c r="Q763" s="249"/>
      <c r="R763" s="249"/>
    </row>
    <row r="764" spans="1:18" s="244" customFormat="1" ht="24" customHeight="1">
      <c r="A764" s="435"/>
      <c r="B764" s="226" t="s">
        <v>773</v>
      </c>
      <c r="C764" s="226">
        <v>1</v>
      </c>
      <c r="D764" s="227">
        <v>11.75</v>
      </c>
      <c r="E764" s="226">
        <v>10.25</v>
      </c>
      <c r="F764" s="226"/>
      <c r="G764" s="594"/>
      <c r="H764" s="358">
        <f t="shared" si="33"/>
        <v>120.4375</v>
      </c>
      <c r="I764" s="246"/>
      <c r="J764" s="360"/>
      <c r="K764" s="360"/>
      <c r="L764" s="360"/>
      <c r="M764" s="249"/>
      <c r="N764" s="249"/>
      <c r="O764" s="249"/>
      <c r="P764" s="249"/>
      <c r="Q764" s="249"/>
      <c r="R764" s="249"/>
    </row>
    <row r="765" spans="1:18" s="244" customFormat="1" ht="24" customHeight="1">
      <c r="A765" s="435"/>
      <c r="B765" s="226" t="s">
        <v>775</v>
      </c>
      <c r="C765" s="226">
        <v>1</v>
      </c>
      <c r="D765" s="227">
        <v>11</v>
      </c>
      <c r="E765" s="226">
        <v>10.25</v>
      </c>
      <c r="F765" s="226"/>
      <c r="G765" s="594"/>
      <c r="H765" s="358">
        <f t="shared" si="33"/>
        <v>112.75</v>
      </c>
      <c r="I765" s="246"/>
      <c r="J765" s="360"/>
      <c r="K765" s="360"/>
      <c r="L765" s="360"/>
      <c r="M765" s="249"/>
      <c r="N765" s="249"/>
      <c r="O765" s="249"/>
      <c r="P765" s="249"/>
      <c r="Q765" s="249"/>
      <c r="R765" s="249"/>
    </row>
    <row r="766" spans="1:18" s="244" customFormat="1" ht="24" customHeight="1">
      <c r="A766" s="435"/>
      <c r="B766" s="226" t="s">
        <v>776</v>
      </c>
      <c r="C766" s="226">
        <v>1</v>
      </c>
      <c r="D766" s="227">
        <v>11</v>
      </c>
      <c r="E766" s="226">
        <v>10.25</v>
      </c>
      <c r="F766" s="226"/>
      <c r="G766" s="594"/>
      <c r="H766" s="358">
        <f t="shared" ref="H766:H771" si="34">C766*D766*E766</f>
        <v>112.75</v>
      </c>
      <c r="I766" s="246"/>
      <c r="J766" s="360"/>
      <c r="K766" s="360"/>
      <c r="L766" s="360"/>
      <c r="M766" s="249"/>
      <c r="N766" s="249"/>
      <c r="O766" s="249"/>
      <c r="P766" s="249"/>
      <c r="Q766" s="249"/>
      <c r="R766" s="249"/>
    </row>
    <row r="767" spans="1:18" s="244" customFormat="1" ht="24" customHeight="1">
      <c r="A767" s="435"/>
      <c r="B767" s="315" t="s">
        <v>777</v>
      </c>
      <c r="C767" s="315">
        <v>1</v>
      </c>
      <c r="D767" s="318">
        <v>11</v>
      </c>
      <c r="E767" s="315">
        <v>10.25</v>
      </c>
      <c r="F767" s="315"/>
      <c r="G767" s="595"/>
      <c r="H767" s="361">
        <f t="shared" si="34"/>
        <v>112.75</v>
      </c>
      <c r="I767" s="246"/>
      <c r="J767" s="360"/>
      <c r="K767" s="360"/>
      <c r="L767" s="360"/>
      <c r="M767" s="249"/>
      <c r="N767" s="249"/>
      <c r="O767" s="249"/>
      <c r="P767" s="249"/>
      <c r="Q767" s="249"/>
      <c r="R767" s="249"/>
    </row>
    <row r="768" spans="1:18" ht="24" customHeight="1">
      <c r="A768" s="439"/>
      <c r="B768" s="226" t="s">
        <v>912</v>
      </c>
      <c r="C768" s="220">
        <v>1</v>
      </c>
      <c r="D768" s="227">
        <f>13.5</f>
        <v>13.5</v>
      </c>
      <c r="E768" s="226">
        <v>11.25</v>
      </c>
      <c r="F768" s="226"/>
      <c r="G768" s="594"/>
      <c r="H768" s="358">
        <f t="shared" si="34"/>
        <v>151.875</v>
      </c>
      <c r="I768" s="246"/>
      <c r="J768" s="360"/>
      <c r="K768" s="360"/>
      <c r="L768" s="360"/>
      <c r="M768" s="249"/>
      <c r="N768" s="249"/>
      <c r="O768" s="249"/>
      <c r="P768" s="249"/>
      <c r="Q768" s="249"/>
      <c r="R768" s="249"/>
    </row>
    <row r="769" spans="1:18" ht="24" customHeight="1">
      <c r="A769" s="433"/>
      <c r="B769" s="224" t="s">
        <v>890</v>
      </c>
      <c r="C769" s="220">
        <v>-1</v>
      </c>
      <c r="D769" s="227">
        <v>3</v>
      </c>
      <c r="E769" s="226">
        <v>8</v>
      </c>
      <c r="F769" s="226"/>
      <c r="G769" s="594"/>
      <c r="H769" s="358">
        <f t="shared" si="34"/>
        <v>-24</v>
      </c>
      <c r="I769" s="246"/>
      <c r="J769" s="360"/>
      <c r="K769" s="360"/>
      <c r="L769" s="360"/>
      <c r="M769" s="249"/>
      <c r="N769" s="249"/>
      <c r="O769" s="249"/>
      <c r="P769" s="249"/>
      <c r="Q769" s="249"/>
      <c r="R769" s="249"/>
    </row>
    <row r="770" spans="1:18" ht="24" customHeight="1">
      <c r="A770" s="435"/>
      <c r="B770" s="246" t="s">
        <v>1072</v>
      </c>
      <c r="C770" s="238">
        <v>1</v>
      </c>
      <c r="D770" s="247">
        <v>11.25</v>
      </c>
      <c r="E770" s="246">
        <v>10.25</v>
      </c>
      <c r="F770" s="246"/>
      <c r="G770" s="246"/>
      <c r="H770" s="248">
        <f t="shared" si="34"/>
        <v>115.3125</v>
      </c>
      <c r="I770" s="246"/>
      <c r="J770" s="360"/>
      <c r="K770" s="360"/>
      <c r="L770" s="360"/>
      <c r="M770" s="249"/>
      <c r="N770" s="249"/>
      <c r="O770" s="249"/>
      <c r="P770" s="249"/>
      <c r="Q770" s="249"/>
      <c r="R770" s="249"/>
    </row>
    <row r="771" spans="1:18" s="249" customFormat="1" ht="24" customHeight="1">
      <c r="A771" s="435"/>
      <c r="B771" s="237" t="s">
        <v>890</v>
      </c>
      <c r="C771" s="245">
        <v>-1</v>
      </c>
      <c r="D771" s="245">
        <v>3</v>
      </c>
      <c r="E771" s="245">
        <v>8</v>
      </c>
      <c r="F771" s="245"/>
      <c r="G771" s="245"/>
      <c r="H771" s="248">
        <f t="shared" si="34"/>
        <v>-24</v>
      </c>
      <c r="I771" s="246"/>
      <c r="J771" s="360"/>
      <c r="K771" s="360"/>
      <c r="L771" s="360"/>
    </row>
    <row r="772" spans="1:18" ht="24" customHeight="1">
      <c r="A772" s="433"/>
      <c r="B772" s="226"/>
      <c r="C772" s="226"/>
      <c r="D772" s="227"/>
      <c r="E772" s="226"/>
      <c r="F772" s="226"/>
      <c r="G772" s="594"/>
      <c r="H772" s="358"/>
      <c r="I772" s="246"/>
      <c r="J772" s="360"/>
      <c r="K772" s="360"/>
      <c r="L772" s="360"/>
      <c r="M772" s="249"/>
      <c r="N772" s="249"/>
      <c r="O772" s="249"/>
      <c r="P772" s="249"/>
      <c r="Q772" s="249"/>
      <c r="R772" s="249"/>
    </row>
    <row r="773" spans="1:18" ht="24" customHeight="1">
      <c r="A773" s="433"/>
      <c r="B773" s="223" t="s">
        <v>640</v>
      </c>
      <c r="C773" s="226"/>
      <c r="D773" s="227"/>
      <c r="E773" s="226"/>
      <c r="F773" s="226"/>
      <c r="G773" s="594"/>
      <c r="H773" s="358"/>
      <c r="I773" s="246"/>
      <c r="J773" s="360"/>
      <c r="K773" s="360"/>
      <c r="L773" s="360"/>
      <c r="M773" s="249"/>
      <c r="N773" s="249"/>
      <c r="O773" s="249"/>
      <c r="P773" s="249"/>
      <c r="Q773" s="249"/>
      <c r="R773" s="249"/>
    </row>
    <row r="774" spans="1:18" ht="24" customHeight="1">
      <c r="A774" s="433"/>
      <c r="B774" s="226" t="s">
        <v>644</v>
      </c>
      <c r="C774" s="226">
        <v>1</v>
      </c>
      <c r="D774" s="227">
        <f>12.5+24+10+11.5+12</f>
        <v>70</v>
      </c>
      <c r="E774" s="226">
        <v>10.25</v>
      </c>
      <c r="F774" s="226"/>
      <c r="G774" s="594"/>
      <c r="H774" s="358">
        <f t="shared" ref="H774:H780" si="35">C774*D774*E774</f>
        <v>717.5</v>
      </c>
      <c r="I774" s="246"/>
      <c r="J774" s="360"/>
      <c r="K774" s="360"/>
      <c r="L774" s="360"/>
      <c r="M774" s="249"/>
      <c r="N774" s="249"/>
      <c r="O774" s="249"/>
      <c r="P774" s="249"/>
      <c r="Q774" s="249"/>
      <c r="R774" s="249"/>
    </row>
    <row r="775" spans="1:18" ht="24" customHeight="1">
      <c r="A775" s="433"/>
      <c r="B775" s="224" t="s">
        <v>890</v>
      </c>
      <c r="C775" s="220">
        <v>-1</v>
      </c>
      <c r="D775" s="227">
        <f>3.25+3.25+2.75</f>
        <v>9.25</v>
      </c>
      <c r="E775" s="226">
        <v>8</v>
      </c>
      <c r="F775" s="226"/>
      <c r="G775" s="594"/>
      <c r="H775" s="358">
        <f t="shared" si="35"/>
        <v>-74</v>
      </c>
      <c r="I775" s="246"/>
      <c r="J775" s="360"/>
      <c r="K775" s="360"/>
      <c r="L775" s="360"/>
      <c r="M775" s="249"/>
      <c r="N775" s="249"/>
      <c r="O775" s="249"/>
      <c r="P775" s="249"/>
      <c r="Q775" s="249"/>
      <c r="R775" s="249"/>
    </row>
    <row r="776" spans="1:18" ht="24" customHeight="1">
      <c r="A776" s="433"/>
      <c r="B776" s="226" t="s">
        <v>681</v>
      </c>
      <c r="C776" s="226">
        <v>1</v>
      </c>
      <c r="D776" s="227">
        <f>10+8</f>
        <v>18</v>
      </c>
      <c r="E776" s="226">
        <v>10.25</v>
      </c>
      <c r="F776" s="226"/>
      <c r="G776" s="594"/>
      <c r="H776" s="358">
        <f t="shared" si="35"/>
        <v>184.5</v>
      </c>
      <c r="I776" s="246"/>
      <c r="J776" s="360"/>
      <c r="K776" s="360"/>
      <c r="L776" s="360"/>
      <c r="M776" s="249"/>
      <c r="N776" s="249"/>
      <c r="O776" s="249"/>
      <c r="P776" s="249"/>
      <c r="Q776" s="249"/>
      <c r="R776" s="249"/>
    </row>
    <row r="777" spans="1:18" ht="24" customHeight="1">
      <c r="A777" s="433"/>
      <c r="B777" s="226" t="s">
        <v>914</v>
      </c>
      <c r="C777" s="226">
        <v>1</v>
      </c>
      <c r="D777" s="227">
        <v>15.5</v>
      </c>
      <c r="E777" s="226">
        <v>10.25</v>
      </c>
      <c r="F777" s="226"/>
      <c r="G777" s="594"/>
      <c r="H777" s="358">
        <f t="shared" si="35"/>
        <v>158.875</v>
      </c>
      <c r="I777" s="246"/>
      <c r="J777" s="360"/>
      <c r="K777" s="360"/>
      <c r="L777" s="360"/>
      <c r="M777" s="249"/>
      <c r="N777" s="249"/>
      <c r="O777" s="249"/>
      <c r="P777" s="249"/>
      <c r="Q777" s="249"/>
      <c r="R777" s="249"/>
    </row>
    <row r="778" spans="1:18" ht="24" customHeight="1">
      <c r="A778" s="433"/>
      <c r="B778" s="224" t="s">
        <v>890</v>
      </c>
      <c r="C778" s="220">
        <v>-1</v>
      </c>
      <c r="D778" s="227">
        <v>3.5</v>
      </c>
      <c r="E778" s="226">
        <v>8</v>
      </c>
      <c r="F778" s="226"/>
      <c r="G778" s="594"/>
      <c r="H778" s="358">
        <f t="shared" si="35"/>
        <v>-28</v>
      </c>
      <c r="I778" s="246"/>
      <c r="J778" s="360"/>
      <c r="K778" s="360"/>
      <c r="L778" s="360"/>
      <c r="M778" s="249"/>
      <c r="N778" s="249"/>
      <c r="O778" s="249"/>
      <c r="P778" s="249"/>
      <c r="Q778" s="249"/>
      <c r="R778" s="249"/>
    </row>
    <row r="779" spans="1:18" ht="24" customHeight="1">
      <c r="A779" s="433"/>
      <c r="B779" s="226" t="s">
        <v>653</v>
      </c>
      <c r="C779" s="226">
        <v>1</v>
      </c>
      <c r="D779" s="227">
        <f>17+3</f>
        <v>20</v>
      </c>
      <c r="E779" s="226">
        <v>11.25</v>
      </c>
      <c r="F779" s="226"/>
      <c r="G779" s="594"/>
      <c r="H779" s="358">
        <f t="shared" si="35"/>
        <v>225</v>
      </c>
      <c r="I779" s="246"/>
      <c r="J779" s="199"/>
      <c r="K779" s="199"/>
      <c r="L779" s="199"/>
    </row>
    <row r="780" spans="1:18" ht="24" customHeight="1">
      <c r="A780" s="433"/>
      <c r="B780" s="224" t="s">
        <v>890</v>
      </c>
      <c r="C780" s="220">
        <v>-1</v>
      </c>
      <c r="D780" s="227">
        <v>3.25</v>
      </c>
      <c r="E780" s="226">
        <v>8</v>
      </c>
      <c r="F780" s="226"/>
      <c r="G780" s="226"/>
      <c r="H780" s="228">
        <f t="shared" si="35"/>
        <v>-26</v>
      </c>
      <c r="I780" s="258"/>
      <c r="J780" s="199"/>
      <c r="K780" s="199"/>
      <c r="L780" s="199"/>
    </row>
    <row r="781" spans="1:18" ht="24" customHeight="1">
      <c r="A781" s="225"/>
      <c r="B781" s="193"/>
      <c r="C781" s="220"/>
      <c r="D781" s="221"/>
      <c r="E781" s="220"/>
      <c r="F781" s="217"/>
      <c r="G781" s="217"/>
      <c r="H781" s="212"/>
      <c r="I781" s="219"/>
      <c r="J781" s="222"/>
      <c r="K781" s="199"/>
      <c r="L781" s="199"/>
    </row>
    <row r="782" spans="1:18" ht="33.75">
      <c r="A782" s="225"/>
      <c r="B782" s="363" t="s">
        <v>680</v>
      </c>
      <c r="C782" s="220"/>
      <c r="D782" s="221"/>
      <c r="E782" s="220"/>
      <c r="F782" s="217"/>
      <c r="G782" s="217"/>
      <c r="H782" s="218"/>
      <c r="I782" s="219"/>
      <c r="J782" s="222"/>
      <c r="K782" s="199"/>
      <c r="L782" s="199"/>
    </row>
    <row r="783" spans="1:18" ht="24" customHeight="1">
      <c r="A783" s="225"/>
      <c r="B783" s="223" t="s">
        <v>622</v>
      </c>
      <c r="C783" s="220"/>
      <c r="D783" s="221"/>
      <c r="E783" s="220"/>
      <c r="F783" s="217"/>
      <c r="G783" s="217"/>
      <c r="H783" s="212"/>
      <c r="I783" s="219"/>
      <c r="J783" s="222"/>
      <c r="K783" s="199"/>
      <c r="L783" s="199"/>
    </row>
    <row r="784" spans="1:18" ht="24" customHeight="1">
      <c r="A784" s="225"/>
      <c r="B784" s="224" t="s">
        <v>883</v>
      </c>
      <c r="C784" s="220">
        <v>1</v>
      </c>
      <c r="D784" s="221">
        <v>18</v>
      </c>
      <c r="E784" s="220">
        <v>2.25</v>
      </c>
      <c r="F784" s="217"/>
      <c r="G784" s="217"/>
      <c r="H784" s="212">
        <f t="shared" ref="H784:H790" si="36">C784*D784*E784</f>
        <v>40.5</v>
      </c>
      <c r="I784" s="219"/>
      <c r="J784" s="222"/>
      <c r="K784" s="199"/>
      <c r="L784" s="199"/>
    </row>
    <row r="785" spans="1:12" ht="24" customHeight="1">
      <c r="A785" s="225"/>
      <c r="B785" s="224" t="s">
        <v>625</v>
      </c>
      <c r="C785" s="220">
        <v>1</v>
      </c>
      <c r="D785" s="221">
        <v>9.75</v>
      </c>
      <c r="E785" s="220">
        <v>2.25</v>
      </c>
      <c r="F785" s="217"/>
      <c r="G785" s="217"/>
      <c r="H785" s="212">
        <f t="shared" si="36"/>
        <v>21.9375</v>
      </c>
      <c r="I785" s="219"/>
      <c r="J785" s="222"/>
      <c r="K785" s="199"/>
      <c r="L785" s="199"/>
    </row>
    <row r="786" spans="1:12" ht="24" customHeight="1">
      <c r="A786" s="225"/>
      <c r="B786" s="224" t="s">
        <v>770</v>
      </c>
      <c r="C786" s="220">
        <v>1</v>
      </c>
      <c r="D786" s="221">
        <v>11.25</v>
      </c>
      <c r="E786" s="220">
        <v>2.25</v>
      </c>
      <c r="F786" s="217"/>
      <c r="G786" s="217"/>
      <c r="H786" s="212">
        <f t="shared" si="36"/>
        <v>25.3125</v>
      </c>
      <c r="I786" s="219"/>
      <c r="J786" s="222"/>
      <c r="K786" s="199"/>
      <c r="L786" s="199"/>
    </row>
    <row r="787" spans="1:12" ht="24" customHeight="1">
      <c r="A787" s="225"/>
      <c r="B787" s="224" t="s">
        <v>771</v>
      </c>
      <c r="C787" s="220">
        <v>1</v>
      </c>
      <c r="D787" s="221">
        <v>6.75</v>
      </c>
      <c r="E787" s="220">
        <v>2.25</v>
      </c>
      <c r="F787" s="217"/>
      <c r="G787" s="217"/>
      <c r="H787" s="212">
        <f t="shared" si="36"/>
        <v>15.1875</v>
      </c>
      <c r="I787" s="219"/>
      <c r="J787" s="222"/>
      <c r="K787" s="199"/>
      <c r="L787" s="199"/>
    </row>
    <row r="788" spans="1:12" ht="24" customHeight="1">
      <c r="A788" s="433"/>
      <c r="B788" s="226" t="s">
        <v>630</v>
      </c>
      <c r="C788" s="220">
        <v>1</v>
      </c>
      <c r="D788" s="227">
        <v>7.75</v>
      </c>
      <c r="E788" s="220">
        <v>2.25</v>
      </c>
      <c r="F788" s="226"/>
      <c r="G788" s="226"/>
      <c r="H788" s="228">
        <f>C788*D788*E788</f>
        <v>17.4375</v>
      </c>
      <c r="I788" s="226"/>
      <c r="J788" s="199"/>
      <c r="K788" s="199"/>
      <c r="L788" s="199"/>
    </row>
    <row r="789" spans="1:12" ht="24" customHeight="1">
      <c r="A789" s="433"/>
      <c r="B789" s="226" t="s">
        <v>768</v>
      </c>
      <c r="C789" s="220">
        <v>1</v>
      </c>
      <c r="D789" s="227">
        <v>8</v>
      </c>
      <c r="E789" s="220">
        <v>2.25</v>
      </c>
      <c r="F789" s="226"/>
      <c r="G789" s="226"/>
      <c r="H789" s="228">
        <f t="shared" si="36"/>
        <v>18</v>
      </c>
      <c r="I789" s="226"/>
      <c r="J789" s="199"/>
      <c r="K789" s="199"/>
      <c r="L789" s="199"/>
    </row>
    <row r="790" spans="1:12" ht="24" customHeight="1">
      <c r="A790" s="433"/>
      <c r="B790" s="226" t="s">
        <v>767</v>
      </c>
      <c r="C790" s="220">
        <v>1</v>
      </c>
      <c r="D790" s="227">
        <v>7.5</v>
      </c>
      <c r="E790" s="220">
        <v>2.25</v>
      </c>
      <c r="F790" s="226"/>
      <c r="G790" s="226"/>
      <c r="H790" s="228">
        <f t="shared" si="36"/>
        <v>16.875</v>
      </c>
      <c r="I790" s="226"/>
      <c r="J790" s="199"/>
      <c r="K790" s="199"/>
      <c r="L790" s="199"/>
    </row>
    <row r="791" spans="1:12" ht="24" customHeight="1">
      <c r="A791" s="433"/>
      <c r="B791" s="226"/>
      <c r="C791" s="220"/>
      <c r="D791" s="227"/>
      <c r="E791" s="220"/>
      <c r="F791" s="226"/>
      <c r="G791" s="226"/>
      <c r="H791" s="228"/>
      <c r="I791" s="226"/>
      <c r="J791" s="199"/>
      <c r="K791" s="199"/>
      <c r="L791" s="199"/>
    </row>
    <row r="792" spans="1:12" ht="24" customHeight="1">
      <c r="A792" s="433"/>
      <c r="B792" s="223" t="s">
        <v>637</v>
      </c>
      <c r="C792" s="220"/>
      <c r="D792" s="227"/>
      <c r="E792" s="226"/>
      <c r="F792" s="226"/>
      <c r="G792" s="226"/>
      <c r="H792" s="228"/>
      <c r="I792" s="226"/>
      <c r="J792" s="199"/>
      <c r="K792" s="199"/>
      <c r="L792" s="199"/>
    </row>
    <row r="793" spans="1:12" ht="24" customHeight="1">
      <c r="A793" s="433"/>
      <c r="B793" s="226" t="s">
        <v>767</v>
      </c>
      <c r="C793" s="220">
        <v>1</v>
      </c>
      <c r="D793" s="227">
        <v>11.5</v>
      </c>
      <c r="E793" s="220">
        <v>2.25</v>
      </c>
      <c r="F793" s="226"/>
      <c r="G793" s="226"/>
      <c r="H793" s="228">
        <f t="shared" ref="H793:H803" si="37">C793*D793*E793</f>
        <v>25.875</v>
      </c>
      <c r="I793" s="226"/>
      <c r="J793" s="199"/>
      <c r="K793" s="199"/>
      <c r="L793" s="199"/>
    </row>
    <row r="794" spans="1:12" ht="24" customHeight="1">
      <c r="A794" s="433"/>
      <c r="B794" s="226" t="s">
        <v>768</v>
      </c>
      <c r="C794" s="220">
        <v>1</v>
      </c>
      <c r="D794" s="227">
        <v>9.75</v>
      </c>
      <c r="E794" s="220">
        <v>2.25</v>
      </c>
      <c r="F794" s="226"/>
      <c r="G794" s="226"/>
      <c r="H794" s="228">
        <f t="shared" si="37"/>
        <v>21.9375</v>
      </c>
      <c r="I794" s="226"/>
      <c r="J794" s="199"/>
      <c r="K794" s="199"/>
      <c r="L794" s="199"/>
    </row>
    <row r="795" spans="1:12" ht="24" customHeight="1">
      <c r="A795" s="433"/>
      <c r="B795" s="226" t="s">
        <v>770</v>
      </c>
      <c r="C795" s="220">
        <v>1</v>
      </c>
      <c r="D795" s="227">
        <v>11.25</v>
      </c>
      <c r="E795" s="220">
        <v>2.25</v>
      </c>
      <c r="F795" s="226"/>
      <c r="G795" s="226"/>
      <c r="H795" s="228">
        <f t="shared" si="37"/>
        <v>25.3125</v>
      </c>
      <c r="I795" s="226"/>
      <c r="J795" s="199"/>
      <c r="K795" s="199"/>
      <c r="L795" s="199"/>
    </row>
    <row r="796" spans="1:12" ht="24" customHeight="1">
      <c r="A796" s="433"/>
      <c r="B796" s="226" t="s">
        <v>771</v>
      </c>
      <c r="C796" s="220">
        <v>1</v>
      </c>
      <c r="D796" s="227">
        <v>12</v>
      </c>
      <c r="E796" s="220">
        <v>2.25</v>
      </c>
      <c r="F796" s="226"/>
      <c r="G796" s="226"/>
      <c r="H796" s="228">
        <f t="shared" si="37"/>
        <v>27</v>
      </c>
      <c r="I796" s="226"/>
      <c r="J796" s="199"/>
      <c r="K796" s="199"/>
      <c r="L796" s="199"/>
    </row>
    <row r="797" spans="1:12" ht="24" customHeight="1">
      <c r="A797" s="433"/>
      <c r="B797" s="226" t="s">
        <v>772</v>
      </c>
      <c r="C797" s="220">
        <v>1</v>
      </c>
      <c r="D797" s="227">
        <v>12</v>
      </c>
      <c r="E797" s="220">
        <v>2.25</v>
      </c>
      <c r="F797" s="226"/>
      <c r="G797" s="226"/>
      <c r="H797" s="228">
        <f t="shared" si="37"/>
        <v>27</v>
      </c>
      <c r="I797" s="226"/>
      <c r="J797" s="199"/>
      <c r="K797" s="199"/>
      <c r="L797" s="199"/>
    </row>
    <row r="798" spans="1:12" ht="24" customHeight="1">
      <c r="A798" s="433"/>
      <c r="B798" s="226" t="s">
        <v>773</v>
      </c>
      <c r="C798" s="220">
        <v>1</v>
      </c>
      <c r="D798" s="227">
        <v>11.25</v>
      </c>
      <c r="E798" s="220">
        <v>2.25</v>
      </c>
      <c r="F798" s="226"/>
      <c r="G798" s="226"/>
      <c r="H798" s="228">
        <f t="shared" si="37"/>
        <v>25.3125</v>
      </c>
      <c r="I798" s="226"/>
      <c r="J798" s="199"/>
      <c r="K798" s="199"/>
      <c r="L798" s="199"/>
    </row>
    <row r="799" spans="1:12" ht="24" customHeight="1">
      <c r="A799" s="433"/>
      <c r="B799" s="226" t="s">
        <v>774</v>
      </c>
      <c r="C799" s="220">
        <v>1</v>
      </c>
      <c r="D799" s="227">
        <v>9.75</v>
      </c>
      <c r="E799" s="220">
        <v>2.25</v>
      </c>
      <c r="F799" s="226"/>
      <c r="G799" s="226"/>
      <c r="H799" s="228">
        <f t="shared" si="37"/>
        <v>21.9375</v>
      </c>
      <c r="I799" s="226"/>
      <c r="J799" s="199"/>
      <c r="K799" s="199"/>
      <c r="L799" s="199"/>
    </row>
    <row r="800" spans="1:12" ht="24" customHeight="1">
      <c r="A800" s="433"/>
      <c r="B800" s="226" t="s">
        <v>775</v>
      </c>
      <c r="C800" s="220">
        <v>1</v>
      </c>
      <c r="D800" s="227">
        <v>7.5</v>
      </c>
      <c r="E800" s="220">
        <v>2.25</v>
      </c>
      <c r="F800" s="226"/>
      <c r="G800" s="226"/>
      <c r="H800" s="228">
        <f t="shared" si="37"/>
        <v>16.875</v>
      </c>
      <c r="I800" s="226"/>
      <c r="J800" s="199"/>
      <c r="K800" s="199"/>
      <c r="L800" s="199"/>
    </row>
    <row r="801" spans="1:12" ht="24" customHeight="1">
      <c r="A801" s="433"/>
      <c r="B801" s="226" t="s">
        <v>776</v>
      </c>
      <c r="C801" s="220">
        <v>1</v>
      </c>
      <c r="D801" s="227">
        <v>7</v>
      </c>
      <c r="E801" s="220">
        <v>2.25</v>
      </c>
      <c r="F801" s="226"/>
      <c r="G801" s="226"/>
      <c r="H801" s="228">
        <f t="shared" si="37"/>
        <v>15.75</v>
      </c>
      <c r="I801" s="226"/>
      <c r="J801" s="199"/>
      <c r="K801" s="199"/>
      <c r="L801" s="199"/>
    </row>
    <row r="802" spans="1:12" ht="24" customHeight="1">
      <c r="A802" s="433"/>
      <c r="B802" s="226" t="s">
        <v>777</v>
      </c>
      <c r="C802" s="220">
        <v>1</v>
      </c>
      <c r="D802" s="227">
        <v>8</v>
      </c>
      <c r="E802" s="220">
        <v>2.25</v>
      </c>
      <c r="F802" s="226"/>
      <c r="G802" s="226"/>
      <c r="H802" s="228">
        <f t="shared" si="37"/>
        <v>18</v>
      </c>
      <c r="I802" s="226"/>
      <c r="J802" s="199"/>
      <c r="K802" s="199"/>
      <c r="L802" s="199"/>
    </row>
    <row r="803" spans="1:12" ht="24" customHeight="1">
      <c r="A803" s="433"/>
      <c r="B803" s="226" t="s">
        <v>630</v>
      </c>
      <c r="C803" s="220">
        <v>1</v>
      </c>
      <c r="D803" s="227">
        <v>7.75</v>
      </c>
      <c r="E803" s="220">
        <v>2.25</v>
      </c>
      <c r="F803" s="226"/>
      <c r="G803" s="226"/>
      <c r="H803" s="228">
        <f t="shared" si="37"/>
        <v>17.4375</v>
      </c>
      <c r="I803" s="226"/>
      <c r="J803" s="199"/>
      <c r="K803" s="199"/>
      <c r="L803" s="199"/>
    </row>
    <row r="804" spans="1:12" ht="24" customHeight="1">
      <c r="A804" s="433"/>
      <c r="I804" s="226"/>
      <c r="J804" s="199"/>
      <c r="K804" s="199"/>
      <c r="L804" s="199"/>
    </row>
    <row r="805" spans="1:12" ht="24" customHeight="1">
      <c r="A805" s="433"/>
      <c r="B805" s="223" t="s">
        <v>640</v>
      </c>
      <c r="C805" s="220"/>
      <c r="D805" s="227"/>
      <c r="E805" s="226"/>
      <c r="F805" s="226"/>
      <c r="G805" s="226"/>
      <c r="H805" s="228"/>
      <c r="I805" s="226"/>
      <c r="J805" s="199"/>
      <c r="K805" s="199"/>
      <c r="L805" s="199"/>
    </row>
    <row r="806" spans="1:12" ht="24" customHeight="1">
      <c r="B806" s="226"/>
      <c r="C806" s="220"/>
      <c r="D806" s="227"/>
      <c r="E806" s="226"/>
      <c r="F806" s="226"/>
      <c r="G806" s="226"/>
      <c r="H806" s="228"/>
      <c r="I806" s="226"/>
      <c r="J806" s="199"/>
      <c r="K806" s="199"/>
      <c r="L806" s="199"/>
    </row>
    <row r="807" spans="1:12" ht="24" customHeight="1">
      <c r="A807" s="433"/>
      <c r="B807" s="226" t="s">
        <v>646</v>
      </c>
      <c r="C807" s="220">
        <v>1</v>
      </c>
      <c r="D807" s="227">
        <v>10.5</v>
      </c>
      <c r="E807" s="220">
        <v>2.25</v>
      </c>
      <c r="F807" s="226"/>
      <c r="G807" s="226"/>
      <c r="H807" s="212">
        <f>C807*D807*E807</f>
        <v>23.625</v>
      </c>
      <c r="I807" s="226"/>
      <c r="J807" s="199"/>
      <c r="K807" s="199"/>
      <c r="L807" s="199"/>
    </row>
    <row r="808" spans="1:12" ht="24" customHeight="1">
      <c r="A808" s="225"/>
      <c r="B808" s="224"/>
      <c r="C808" s="220"/>
      <c r="D808" s="221"/>
      <c r="E808" s="220"/>
      <c r="F808" s="217"/>
      <c r="G808" s="217"/>
      <c r="H808" s="212"/>
      <c r="I808" s="219"/>
      <c r="J808" s="222"/>
      <c r="K808" s="199"/>
      <c r="L808" s="199"/>
    </row>
    <row r="809" spans="1:12" ht="24" customHeight="1">
      <c r="A809" s="225"/>
      <c r="B809" s="194"/>
      <c r="C809" s="220"/>
      <c r="D809" s="221"/>
      <c r="E809" s="220"/>
      <c r="F809" s="217"/>
      <c r="G809" s="217"/>
      <c r="H809" s="218"/>
      <c r="I809" s="219"/>
      <c r="J809" s="222"/>
      <c r="K809" s="199"/>
      <c r="L809" s="199"/>
    </row>
    <row r="810" spans="1:12" ht="409.5">
      <c r="A810" s="345" t="s">
        <v>1100</v>
      </c>
      <c r="B810" s="356" t="s">
        <v>962</v>
      </c>
      <c r="C810" s="354"/>
      <c r="D810" s="354"/>
      <c r="E810" s="354"/>
      <c r="F810" s="348" t="s">
        <v>620</v>
      </c>
      <c r="G810" s="348"/>
      <c r="H810" s="349">
        <f>H812+H813</f>
        <v>20</v>
      </c>
      <c r="I810" s="355" t="s">
        <v>1024</v>
      </c>
      <c r="J810" s="222"/>
      <c r="K810" s="199"/>
      <c r="L810" s="199"/>
    </row>
    <row r="811" spans="1:12" ht="24" customHeight="1">
      <c r="A811" s="225"/>
      <c r="B811" s="194"/>
      <c r="C811" s="220"/>
      <c r="D811" s="221"/>
      <c r="E811" s="220"/>
      <c r="F811" s="217"/>
      <c r="G811" s="217"/>
      <c r="H811" s="218"/>
      <c r="I811" s="219"/>
      <c r="J811" s="222"/>
      <c r="K811" s="199"/>
      <c r="L811" s="199"/>
    </row>
    <row r="812" spans="1:12" ht="24" customHeight="1">
      <c r="A812" s="225"/>
      <c r="B812" s="194" t="s">
        <v>1017</v>
      </c>
      <c r="C812" s="220"/>
      <c r="D812" s="221"/>
      <c r="E812" s="220"/>
      <c r="F812" s="217" t="s">
        <v>620</v>
      </c>
      <c r="G812" s="217"/>
      <c r="H812" s="218">
        <f>C816+C832+C837</f>
        <v>3</v>
      </c>
      <c r="I812" s="219" t="s">
        <v>1024</v>
      </c>
      <c r="J812" s="222"/>
      <c r="K812" s="199"/>
      <c r="L812" s="199"/>
    </row>
    <row r="813" spans="1:12" ht="24" customHeight="1">
      <c r="A813" s="225"/>
      <c r="B813" s="194" t="s">
        <v>1016</v>
      </c>
      <c r="C813" s="220"/>
      <c r="D813" s="221"/>
      <c r="E813" s="220"/>
      <c r="F813" s="217" t="s">
        <v>620</v>
      </c>
      <c r="G813" s="217"/>
      <c r="H813" s="218">
        <f>C817+C818+C819+C820+C821+C822+C823+C826+C827+C828+C829+C830+C831+C835+C836+C838+C841</f>
        <v>17</v>
      </c>
      <c r="I813" s="219" t="s">
        <v>1024</v>
      </c>
      <c r="J813" s="222"/>
      <c r="K813" s="199"/>
      <c r="L813" s="199"/>
    </row>
    <row r="814" spans="1:12" ht="24" customHeight="1">
      <c r="A814" s="225"/>
      <c r="B814" s="194"/>
      <c r="C814" s="220"/>
      <c r="D814" s="221"/>
      <c r="E814" s="220"/>
      <c r="F814" s="217"/>
      <c r="G814" s="217"/>
      <c r="H814" s="218"/>
      <c r="I814" s="219"/>
      <c r="J814" s="222"/>
      <c r="K814" s="199"/>
      <c r="L814" s="199"/>
    </row>
    <row r="815" spans="1:12" ht="24" customHeight="1">
      <c r="A815" s="225"/>
      <c r="B815" s="223" t="s">
        <v>622</v>
      </c>
      <c r="C815" s="220"/>
      <c r="D815" s="221"/>
      <c r="E815" s="220"/>
      <c r="F815" s="217"/>
      <c r="G815" s="217"/>
      <c r="H815" s="212"/>
      <c r="I815" s="219"/>
      <c r="J815" s="222"/>
      <c r="K815" s="199"/>
      <c r="L815" s="199"/>
    </row>
    <row r="816" spans="1:12" ht="24" customHeight="1">
      <c r="A816" s="417"/>
      <c r="B816" s="226" t="s">
        <v>861</v>
      </c>
      <c r="C816" s="226">
        <v>1</v>
      </c>
      <c r="D816" s="226">
        <v>3</v>
      </c>
      <c r="E816" s="227">
        <v>8</v>
      </c>
      <c r="F816" s="227"/>
      <c r="G816" s="227"/>
      <c r="H816" s="212">
        <f t="shared" ref="H816:H823" si="38">C816*E816*D816</f>
        <v>24</v>
      </c>
      <c r="I816" s="219"/>
      <c r="J816" s="222"/>
      <c r="K816" s="199"/>
      <c r="L816" s="199"/>
    </row>
    <row r="817" spans="1:12" ht="24" customHeight="1">
      <c r="A817" s="433"/>
      <c r="B817" s="226" t="s">
        <v>632</v>
      </c>
      <c r="C817" s="226">
        <v>1</v>
      </c>
      <c r="D817" s="226">
        <v>2.5</v>
      </c>
      <c r="E817" s="227">
        <v>8</v>
      </c>
      <c r="F817" s="227"/>
      <c r="G817" s="227"/>
      <c r="H817" s="212">
        <f t="shared" si="38"/>
        <v>20</v>
      </c>
      <c r="I817" s="226"/>
      <c r="J817" s="199"/>
      <c r="K817" s="199"/>
      <c r="L817" s="199"/>
    </row>
    <row r="818" spans="1:12" ht="24" customHeight="1">
      <c r="A818" s="433"/>
      <c r="B818" s="226" t="s">
        <v>1011</v>
      </c>
      <c r="C818" s="226">
        <v>1</v>
      </c>
      <c r="D818" s="226">
        <v>2.5</v>
      </c>
      <c r="E818" s="227">
        <v>8</v>
      </c>
      <c r="F818" s="227"/>
      <c r="G818" s="227"/>
      <c r="H818" s="212">
        <f>C818*E818*D818</f>
        <v>20</v>
      </c>
      <c r="I818" s="226"/>
      <c r="J818" s="199"/>
      <c r="K818" s="199"/>
      <c r="L818" s="199"/>
    </row>
    <row r="819" spans="1:12" ht="24" customHeight="1">
      <c r="A819" s="433"/>
      <c r="B819" s="226" t="s">
        <v>634</v>
      </c>
      <c r="C819" s="226">
        <v>1</v>
      </c>
      <c r="D819" s="226">
        <v>2.5</v>
      </c>
      <c r="E819" s="227">
        <v>8</v>
      </c>
      <c r="F819" s="227"/>
      <c r="G819" s="227"/>
      <c r="H819" s="212">
        <f t="shared" si="38"/>
        <v>20</v>
      </c>
      <c r="I819" s="226"/>
      <c r="J819" s="199"/>
      <c r="K819" s="199"/>
      <c r="L819" s="199"/>
    </row>
    <row r="820" spans="1:12" ht="24" customHeight="1">
      <c r="A820" s="433"/>
      <c r="B820" s="226" t="s">
        <v>1012</v>
      </c>
      <c r="C820" s="226">
        <v>1</v>
      </c>
      <c r="D820" s="226">
        <v>2.5</v>
      </c>
      <c r="E820" s="227">
        <v>8</v>
      </c>
      <c r="F820" s="227"/>
      <c r="G820" s="227"/>
      <c r="H820" s="212">
        <f>C820*E820*D820</f>
        <v>20</v>
      </c>
      <c r="I820" s="226"/>
      <c r="J820" s="199"/>
      <c r="K820" s="199"/>
      <c r="L820" s="199"/>
    </row>
    <row r="821" spans="1:12" ht="24" customHeight="1">
      <c r="A821" s="433"/>
      <c r="B821" s="315" t="s">
        <v>1018</v>
      </c>
      <c r="C821" s="226">
        <v>1</v>
      </c>
      <c r="D821" s="226">
        <v>2.5</v>
      </c>
      <c r="E821" s="227">
        <v>8</v>
      </c>
      <c r="F821" s="227"/>
      <c r="G821" s="227"/>
      <c r="H821" s="212">
        <f t="shared" si="38"/>
        <v>20</v>
      </c>
      <c r="I821" s="226"/>
      <c r="J821" s="199"/>
      <c r="K821" s="199"/>
      <c r="L821" s="199"/>
    </row>
    <row r="822" spans="1:12" ht="24" customHeight="1">
      <c r="A822" s="439"/>
      <c r="B822" s="246" t="s">
        <v>1020</v>
      </c>
      <c r="C822" s="316">
        <v>1</v>
      </c>
      <c r="D822" s="226">
        <v>2.5</v>
      </c>
      <c r="E822" s="227">
        <v>8</v>
      </c>
      <c r="F822" s="227"/>
      <c r="G822" s="227"/>
      <c r="H822" s="212">
        <f>C822*E822*D822</f>
        <v>20</v>
      </c>
      <c r="I822" s="226"/>
      <c r="J822" s="199"/>
      <c r="K822" s="199"/>
      <c r="L822" s="199"/>
    </row>
    <row r="823" spans="1:12" ht="24" customHeight="1">
      <c r="A823" s="433"/>
      <c r="B823" s="258" t="s">
        <v>1019</v>
      </c>
      <c r="C823" s="226">
        <v>1</v>
      </c>
      <c r="D823" s="226">
        <v>2.5</v>
      </c>
      <c r="E823" s="227">
        <v>8</v>
      </c>
      <c r="F823" s="227"/>
      <c r="G823" s="227"/>
      <c r="H823" s="212">
        <f t="shared" si="38"/>
        <v>20</v>
      </c>
      <c r="I823" s="226"/>
      <c r="J823" s="199"/>
      <c r="K823" s="199"/>
      <c r="L823" s="199"/>
    </row>
    <row r="824" spans="1:12" ht="24" customHeight="1">
      <c r="A824" s="433"/>
      <c r="B824" s="226"/>
      <c r="C824" s="226"/>
      <c r="D824" s="226"/>
      <c r="E824" s="227"/>
      <c r="F824" s="227"/>
      <c r="G824" s="227"/>
      <c r="H824" s="212"/>
      <c r="I824" s="226"/>
      <c r="J824" s="199"/>
      <c r="K824" s="199"/>
      <c r="L824" s="199"/>
    </row>
    <row r="825" spans="1:12" ht="24" customHeight="1">
      <c r="A825" s="433"/>
      <c r="B825" s="223" t="s">
        <v>637</v>
      </c>
      <c r="C825" s="226"/>
      <c r="D825" s="226"/>
      <c r="E825" s="227"/>
      <c r="F825" s="227"/>
      <c r="G825" s="227"/>
      <c r="H825" s="212"/>
      <c r="I825" s="226"/>
      <c r="J825" s="199"/>
      <c r="K825" s="199"/>
      <c r="L825" s="199"/>
    </row>
    <row r="826" spans="1:12" ht="24" customHeight="1">
      <c r="A826" s="433"/>
      <c r="B826" s="226" t="s">
        <v>1021</v>
      </c>
      <c r="C826" s="226">
        <v>1</v>
      </c>
      <c r="D826" s="226">
        <v>2.5</v>
      </c>
      <c r="E826" s="227">
        <v>8</v>
      </c>
      <c r="F826" s="227"/>
      <c r="G826" s="227"/>
      <c r="H826" s="212">
        <f t="shared" ref="H826:H835" si="39">C826*E826*D826</f>
        <v>20</v>
      </c>
      <c r="I826" s="226"/>
      <c r="J826" s="199"/>
      <c r="K826" s="199"/>
      <c r="L826" s="199"/>
    </row>
    <row r="827" spans="1:12" ht="24" customHeight="1">
      <c r="A827" s="433"/>
      <c r="B827" s="226" t="s">
        <v>632</v>
      </c>
      <c r="C827" s="226">
        <v>1</v>
      </c>
      <c r="D827" s="226">
        <v>2.5</v>
      </c>
      <c r="E827" s="227">
        <v>8</v>
      </c>
      <c r="F827" s="227"/>
      <c r="G827" s="227"/>
      <c r="H827" s="212">
        <f t="shared" si="39"/>
        <v>20</v>
      </c>
      <c r="I827" s="226"/>
      <c r="J827" s="199"/>
      <c r="K827" s="199"/>
      <c r="L827" s="199"/>
    </row>
    <row r="828" spans="1:12" ht="24" customHeight="1">
      <c r="A828" s="433"/>
      <c r="B828" s="226" t="s">
        <v>1011</v>
      </c>
      <c r="C828" s="226">
        <v>1</v>
      </c>
      <c r="D828" s="226">
        <v>2.5</v>
      </c>
      <c r="E828" s="227">
        <v>8</v>
      </c>
      <c r="F828" s="227"/>
      <c r="G828" s="227"/>
      <c r="H828" s="212">
        <f t="shared" si="39"/>
        <v>20</v>
      </c>
      <c r="I828" s="226"/>
      <c r="J828" s="199"/>
      <c r="K828" s="199"/>
      <c r="L828" s="199"/>
    </row>
    <row r="829" spans="1:12" ht="24" customHeight="1">
      <c r="A829" s="433"/>
      <c r="B829" s="226" t="s">
        <v>634</v>
      </c>
      <c r="C829" s="226">
        <v>1</v>
      </c>
      <c r="D829" s="226">
        <v>2.5</v>
      </c>
      <c r="E829" s="227">
        <v>8</v>
      </c>
      <c r="F829" s="227"/>
      <c r="G829" s="227"/>
      <c r="H829" s="212">
        <f t="shared" si="39"/>
        <v>20</v>
      </c>
      <c r="I829" s="226"/>
      <c r="J829" s="199"/>
      <c r="K829" s="199"/>
      <c r="L829" s="199"/>
    </row>
    <row r="830" spans="1:12" ht="24" customHeight="1">
      <c r="A830" s="433"/>
      <c r="B830" s="226" t="s">
        <v>1012</v>
      </c>
      <c r="C830" s="226">
        <v>1</v>
      </c>
      <c r="D830" s="226">
        <v>2.5</v>
      </c>
      <c r="E830" s="227">
        <v>8</v>
      </c>
      <c r="F830" s="227"/>
      <c r="G830" s="227"/>
      <c r="H830" s="212">
        <f t="shared" si="39"/>
        <v>20</v>
      </c>
      <c r="I830" s="226"/>
      <c r="J830" s="199"/>
      <c r="K830" s="199"/>
      <c r="L830" s="199"/>
    </row>
    <row r="831" spans="1:12" ht="24" customHeight="1">
      <c r="A831" s="433"/>
      <c r="B831" s="315" t="s">
        <v>1018</v>
      </c>
      <c r="C831" s="226">
        <v>1</v>
      </c>
      <c r="D831" s="226">
        <v>2.5</v>
      </c>
      <c r="E831" s="227">
        <v>8</v>
      </c>
      <c r="F831" s="227"/>
      <c r="G831" s="227"/>
      <c r="H831" s="212">
        <f t="shared" si="39"/>
        <v>20</v>
      </c>
      <c r="I831" s="226"/>
      <c r="J831" s="199"/>
      <c r="K831" s="199"/>
      <c r="L831" s="199"/>
    </row>
    <row r="832" spans="1:12" ht="24" customHeight="1">
      <c r="A832" s="433"/>
      <c r="B832" s="226" t="s">
        <v>675</v>
      </c>
      <c r="C832" s="226">
        <v>1</v>
      </c>
      <c r="D832" s="226">
        <v>3</v>
      </c>
      <c r="E832" s="227">
        <v>8</v>
      </c>
      <c r="F832" s="227"/>
      <c r="G832" s="227"/>
      <c r="H832" s="212">
        <f t="shared" si="39"/>
        <v>24</v>
      </c>
      <c r="I832" s="226"/>
      <c r="J832" s="199"/>
      <c r="K832" s="199"/>
      <c r="L832" s="199"/>
    </row>
    <row r="833" spans="1:12" ht="24" customHeight="1">
      <c r="A833" s="433"/>
      <c r="B833" s="226"/>
      <c r="C833" s="226"/>
      <c r="D833" s="226"/>
      <c r="E833" s="227"/>
      <c r="F833" s="227"/>
      <c r="G833" s="227"/>
      <c r="H833" s="212"/>
      <c r="I833" s="226"/>
      <c r="J833" s="199"/>
      <c r="K833" s="199"/>
      <c r="L833" s="199"/>
    </row>
    <row r="834" spans="1:12" ht="24" customHeight="1">
      <c r="A834" s="433"/>
      <c r="B834" s="223" t="s">
        <v>640</v>
      </c>
      <c r="C834" s="226"/>
      <c r="D834" s="226"/>
      <c r="E834" s="227"/>
      <c r="F834" s="227"/>
      <c r="G834" s="227"/>
      <c r="H834" s="212"/>
      <c r="I834" s="226"/>
      <c r="J834" s="199"/>
      <c r="K834" s="199"/>
      <c r="L834" s="199"/>
    </row>
    <row r="835" spans="1:12" ht="24" customHeight="1">
      <c r="A835" s="433"/>
      <c r="B835" s="226" t="s">
        <v>1022</v>
      </c>
      <c r="C835" s="226">
        <v>1</v>
      </c>
      <c r="D835" s="226">
        <v>2.5</v>
      </c>
      <c r="E835" s="227">
        <v>8</v>
      </c>
      <c r="F835" s="227"/>
      <c r="G835" s="227"/>
      <c r="H835" s="212">
        <f t="shared" si="39"/>
        <v>20</v>
      </c>
      <c r="I835" s="226"/>
      <c r="J835" s="199"/>
      <c r="K835" s="199"/>
      <c r="L835" s="199"/>
    </row>
    <row r="836" spans="1:12" ht="24" customHeight="1">
      <c r="A836" s="433"/>
      <c r="B836" s="226" t="s">
        <v>676</v>
      </c>
      <c r="C836" s="226">
        <v>1</v>
      </c>
      <c r="D836" s="226">
        <v>2.5</v>
      </c>
      <c r="E836" s="227">
        <v>8</v>
      </c>
      <c r="F836" s="227"/>
      <c r="G836" s="227"/>
      <c r="H836" s="212">
        <f t="shared" ref="H836:H841" si="40">C836*E836*D836</f>
        <v>20</v>
      </c>
      <c r="I836" s="226"/>
      <c r="J836" s="199"/>
      <c r="K836" s="199"/>
      <c r="L836" s="199"/>
    </row>
    <row r="837" spans="1:12" ht="24" customHeight="1">
      <c r="A837" s="433"/>
      <c r="B837" s="226" t="s">
        <v>675</v>
      </c>
      <c r="C837" s="226">
        <v>1</v>
      </c>
      <c r="D837" s="226">
        <v>3</v>
      </c>
      <c r="E837" s="227">
        <v>8</v>
      </c>
      <c r="F837" s="227"/>
      <c r="G837" s="227"/>
      <c r="H837" s="212">
        <f t="shared" si="40"/>
        <v>24</v>
      </c>
      <c r="I837" s="226"/>
      <c r="J837" s="199"/>
      <c r="K837" s="199"/>
      <c r="L837" s="199"/>
    </row>
    <row r="838" spans="1:12" ht="24" customHeight="1">
      <c r="A838" s="433"/>
      <c r="B838" s="226" t="s">
        <v>1023</v>
      </c>
      <c r="C838" s="226">
        <v>1</v>
      </c>
      <c r="D838" s="226">
        <v>2.5</v>
      </c>
      <c r="E838" s="227">
        <v>8</v>
      </c>
      <c r="F838" s="227"/>
      <c r="G838" s="227"/>
      <c r="H838" s="212">
        <f t="shared" si="40"/>
        <v>20</v>
      </c>
      <c r="I838" s="226"/>
      <c r="J838" s="199"/>
      <c r="K838" s="199"/>
      <c r="L838" s="199"/>
    </row>
    <row r="839" spans="1:12" ht="24" customHeight="1">
      <c r="A839" s="433"/>
      <c r="B839" s="226" t="s">
        <v>1070</v>
      </c>
      <c r="C839" s="226">
        <v>1</v>
      </c>
      <c r="D839" s="226">
        <v>3</v>
      </c>
      <c r="E839" s="227">
        <v>8</v>
      </c>
      <c r="F839" s="227"/>
      <c r="G839" s="227"/>
      <c r="H839" s="212">
        <f t="shared" si="40"/>
        <v>24</v>
      </c>
      <c r="I839" s="226"/>
      <c r="J839" s="199"/>
      <c r="K839" s="199"/>
      <c r="L839" s="199"/>
    </row>
    <row r="840" spans="1:12" ht="24" customHeight="1">
      <c r="A840" s="433"/>
      <c r="B840" s="226" t="s">
        <v>1069</v>
      </c>
      <c r="C840" s="226">
        <v>1</v>
      </c>
      <c r="D840" s="226">
        <v>3</v>
      </c>
      <c r="E840" s="227">
        <v>8</v>
      </c>
      <c r="F840" s="227"/>
      <c r="G840" s="227"/>
      <c r="H840" s="212">
        <f t="shared" si="40"/>
        <v>24</v>
      </c>
      <c r="I840" s="226"/>
      <c r="J840" s="199"/>
      <c r="K840" s="199"/>
      <c r="L840" s="199"/>
    </row>
    <row r="841" spans="1:12" ht="24" customHeight="1">
      <c r="A841" s="433"/>
      <c r="B841" s="226" t="s">
        <v>1103</v>
      </c>
      <c r="C841" s="226">
        <v>1</v>
      </c>
      <c r="D841" s="226">
        <v>2.5</v>
      </c>
      <c r="E841" s="227">
        <v>8</v>
      </c>
      <c r="F841" s="227"/>
      <c r="G841" s="227"/>
      <c r="H841" s="212">
        <f t="shared" si="40"/>
        <v>20</v>
      </c>
      <c r="I841" s="226"/>
      <c r="J841" s="199"/>
      <c r="K841" s="199"/>
      <c r="L841" s="199"/>
    </row>
    <row r="842" spans="1:12" ht="24" customHeight="1">
      <c r="A842" s="433"/>
      <c r="B842" s="226"/>
      <c r="C842" s="226"/>
      <c r="D842" s="226"/>
      <c r="E842" s="227"/>
      <c r="F842" s="227"/>
      <c r="G842" s="227"/>
      <c r="H842" s="212"/>
      <c r="I842" s="226"/>
      <c r="J842" s="199"/>
      <c r="K842" s="199"/>
      <c r="L842" s="199"/>
    </row>
    <row r="843" spans="1:12" ht="409.15" customHeight="1">
      <c r="A843" s="345" t="s">
        <v>965</v>
      </c>
      <c r="B843" s="356" t="s">
        <v>963</v>
      </c>
      <c r="C843" s="354"/>
      <c r="D843" s="354"/>
      <c r="E843" s="354"/>
      <c r="F843" s="348" t="s">
        <v>620</v>
      </c>
      <c r="G843" s="348"/>
      <c r="H843" s="349">
        <f>H844</f>
        <v>5</v>
      </c>
      <c r="I843" s="355" t="s">
        <v>754</v>
      </c>
      <c r="J843" s="222"/>
      <c r="K843" s="199"/>
      <c r="L843" s="199"/>
    </row>
    <row r="844" spans="1:12" ht="24" customHeight="1">
      <c r="A844" s="225"/>
      <c r="B844" s="194"/>
      <c r="C844" s="220"/>
      <c r="D844" s="221"/>
      <c r="E844" s="220"/>
      <c r="F844" s="217" t="s">
        <v>620</v>
      </c>
      <c r="G844" s="217"/>
      <c r="H844" s="218">
        <f>H845+H846</f>
        <v>5</v>
      </c>
      <c r="I844" s="219" t="s">
        <v>754</v>
      </c>
      <c r="J844" s="222"/>
      <c r="K844" s="199"/>
      <c r="L844" s="199"/>
    </row>
    <row r="845" spans="1:12" ht="24" customHeight="1">
      <c r="A845" s="225"/>
      <c r="B845" s="194" t="s">
        <v>1031</v>
      </c>
      <c r="C845" s="220"/>
      <c r="D845" s="221"/>
      <c r="E845" s="220"/>
      <c r="F845" s="217" t="s">
        <v>620</v>
      </c>
      <c r="G845" s="217"/>
      <c r="H845" s="218">
        <f>C848+C849+C850+C851</f>
        <v>4</v>
      </c>
      <c r="I845" s="219" t="s">
        <v>754</v>
      </c>
      <c r="J845" s="222"/>
      <c r="K845" s="199"/>
      <c r="L845" s="199"/>
    </row>
    <row r="846" spans="1:12" ht="24" customHeight="1">
      <c r="A846" s="225"/>
      <c r="B846" s="194" t="s">
        <v>1032</v>
      </c>
      <c r="C846" s="220"/>
      <c r="D846" s="221"/>
      <c r="E846" s="220"/>
      <c r="F846" s="217" t="s">
        <v>620</v>
      </c>
      <c r="G846" s="217"/>
      <c r="H846" s="218">
        <f>C852</f>
        <v>1</v>
      </c>
      <c r="I846" s="219" t="s">
        <v>754</v>
      </c>
      <c r="J846" s="222"/>
      <c r="K846" s="199"/>
      <c r="L846" s="199"/>
    </row>
    <row r="847" spans="1:12" ht="24" customHeight="1">
      <c r="A847" s="433"/>
      <c r="B847" s="223" t="s">
        <v>640</v>
      </c>
      <c r="C847" s="226"/>
      <c r="D847" s="226"/>
      <c r="E847" s="227"/>
      <c r="F847" s="227"/>
      <c r="G847" s="227"/>
      <c r="H847" s="212"/>
      <c r="I847" s="226"/>
      <c r="J847" s="199"/>
      <c r="K847" s="199"/>
      <c r="L847" s="199"/>
    </row>
    <row r="848" spans="1:12" ht="24" customHeight="1">
      <c r="A848" s="433"/>
      <c r="B848" s="226" t="s">
        <v>1027</v>
      </c>
      <c r="C848" s="226">
        <v>1</v>
      </c>
      <c r="D848" s="315">
        <v>3</v>
      </c>
      <c r="E848" s="227">
        <v>8</v>
      </c>
      <c r="F848" s="227"/>
      <c r="G848" s="227"/>
      <c r="H848" s="212">
        <f>C848</f>
        <v>1</v>
      </c>
      <c r="I848" s="226"/>
      <c r="J848" s="199"/>
      <c r="K848" s="199"/>
      <c r="L848" s="199"/>
    </row>
    <row r="849" spans="1:12" ht="24" customHeight="1">
      <c r="A849" s="433"/>
      <c r="B849" s="226" t="s">
        <v>1028</v>
      </c>
      <c r="C849" s="226">
        <v>1</v>
      </c>
      <c r="D849" s="315">
        <v>3</v>
      </c>
      <c r="E849" s="227">
        <v>8</v>
      </c>
      <c r="F849" s="227"/>
      <c r="G849" s="227"/>
      <c r="H849" s="212">
        <f>C849</f>
        <v>1</v>
      </c>
      <c r="I849" s="226"/>
      <c r="J849" s="199"/>
      <c r="K849" s="199"/>
      <c r="L849" s="199"/>
    </row>
    <row r="850" spans="1:12" ht="24" customHeight="1">
      <c r="A850" s="433"/>
      <c r="B850" s="226" t="s">
        <v>1029</v>
      </c>
      <c r="C850" s="226">
        <v>1</v>
      </c>
      <c r="D850" s="315">
        <v>3</v>
      </c>
      <c r="E850" s="227">
        <v>8</v>
      </c>
      <c r="F850" s="227"/>
      <c r="G850" s="227"/>
      <c r="H850" s="212">
        <f>C850</f>
        <v>1</v>
      </c>
      <c r="I850" s="226"/>
      <c r="J850" s="199"/>
      <c r="K850" s="199"/>
      <c r="L850" s="199"/>
    </row>
    <row r="851" spans="1:12" s="249" customFormat="1" ht="24" customHeight="1">
      <c r="A851" s="444"/>
      <c r="B851" s="315" t="s">
        <v>1104</v>
      </c>
      <c r="C851" s="315">
        <v>1</v>
      </c>
      <c r="D851" s="315">
        <v>3</v>
      </c>
      <c r="E851" s="318">
        <v>8</v>
      </c>
      <c r="F851" s="318"/>
      <c r="G851" s="318"/>
      <c r="H851" s="212">
        <f>C851</f>
        <v>1</v>
      </c>
      <c r="I851" s="315"/>
      <c r="J851" s="360"/>
      <c r="K851" s="360"/>
      <c r="L851" s="360"/>
    </row>
    <row r="852" spans="1:12" s="244" customFormat="1" ht="24" customHeight="1">
      <c r="A852" s="435"/>
      <c r="B852" s="246" t="s">
        <v>1030</v>
      </c>
      <c r="C852" s="246">
        <v>1</v>
      </c>
      <c r="D852" s="246">
        <v>2.5</v>
      </c>
      <c r="E852" s="247">
        <v>8</v>
      </c>
      <c r="F852" s="247"/>
      <c r="G852" s="597"/>
      <c r="H852" s="212">
        <f>C852</f>
        <v>1</v>
      </c>
      <c r="I852" s="246"/>
      <c r="J852" s="410"/>
      <c r="K852" s="410"/>
      <c r="L852" s="410"/>
    </row>
    <row r="853" spans="1:12">
      <c r="A853" s="445"/>
      <c r="B853" s="199"/>
      <c r="C853" s="199"/>
      <c r="D853" s="199"/>
      <c r="E853" s="199"/>
      <c r="F853" s="199"/>
      <c r="G853" s="199"/>
      <c r="H853" s="199"/>
      <c r="I853" s="199"/>
      <c r="J853" s="199"/>
      <c r="K853" s="199"/>
      <c r="L853" s="199"/>
    </row>
    <row r="854" spans="1:12" ht="409.5">
      <c r="A854" s="345" t="s">
        <v>988</v>
      </c>
      <c r="B854" s="356" t="s">
        <v>987</v>
      </c>
      <c r="C854" s="354"/>
      <c r="D854" s="354"/>
      <c r="E854" s="354"/>
      <c r="F854" s="348" t="s">
        <v>664</v>
      </c>
      <c r="G854" s="348"/>
      <c r="H854" s="349">
        <f>H855/10.764</f>
        <v>394.14367335562991</v>
      </c>
      <c r="I854" s="355" t="s">
        <v>328</v>
      </c>
      <c r="K854" s="199"/>
      <c r="L854" s="199"/>
    </row>
    <row r="855" spans="1:12" ht="21">
      <c r="A855" s="225"/>
      <c r="B855" s="194"/>
      <c r="C855" s="220"/>
      <c r="D855" s="221"/>
      <c r="E855" s="220"/>
      <c r="F855" s="217" t="s">
        <v>620</v>
      </c>
      <c r="G855" s="217"/>
      <c r="H855" s="218">
        <f>SUM(H857:H906)</f>
        <v>4242.5625</v>
      </c>
      <c r="I855" s="219" t="s">
        <v>621</v>
      </c>
      <c r="J855" s="222"/>
      <c r="K855" s="199"/>
      <c r="L855" s="199"/>
    </row>
    <row r="856" spans="1:12" ht="21">
      <c r="A856" s="225"/>
      <c r="B856" s="223" t="s">
        <v>622</v>
      </c>
      <c r="C856" s="220"/>
      <c r="D856" s="221"/>
      <c r="E856" s="220"/>
      <c r="F856" s="217"/>
      <c r="G856" s="217"/>
      <c r="H856" s="212"/>
      <c r="I856" s="219"/>
      <c r="J856" s="222"/>
      <c r="K856" s="199"/>
      <c r="L856" s="199"/>
    </row>
    <row r="857" spans="1:12" ht="21">
      <c r="A857" s="225"/>
      <c r="B857" s="224" t="s">
        <v>684</v>
      </c>
      <c r="C857" s="220">
        <v>1</v>
      </c>
      <c r="D857" s="221">
        <v>10.25</v>
      </c>
      <c r="E857" s="220">
        <v>8.5</v>
      </c>
      <c r="F857" s="217"/>
      <c r="G857" s="217"/>
      <c r="H857" s="212">
        <f t="shared" ref="H857:H865" si="41">C857*D857*E857</f>
        <v>87.125</v>
      </c>
      <c r="I857" s="219"/>
      <c r="J857" s="222"/>
      <c r="K857" s="199"/>
      <c r="L857" s="199"/>
    </row>
    <row r="858" spans="1:12" ht="21">
      <c r="A858" s="225"/>
      <c r="B858" s="224" t="s">
        <v>770</v>
      </c>
      <c r="C858" s="220">
        <v>1</v>
      </c>
      <c r="D858" s="221">
        <v>12</v>
      </c>
      <c r="E858" s="220">
        <v>8.5</v>
      </c>
      <c r="F858" s="217"/>
      <c r="G858" s="217"/>
      <c r="H858" s="212">
        <f t="shared" si="41"/>
        <v>102</v>
      </c>
      <c r="I858" s="219"/>
      <c r="J858" s="222"/>
      <c r="K858" s="199"/>
      <c r="L858" s="199"/>
    </row>
    <row r="859" spans="1:12" ht="21">
      <c r="A859" s="225"/>
      <c r="B859" s="224" t="s">
        <v>771</v>
      </c>
      <c r="C859" s="220">
        <v>2</v>
      </c>
      <c r="D859" s="221">
        <v>12.5</v>
      </c>
      <c r="E859" s="220">
        <v>8.5</v>
      </c>
      <c r="F859" s="217"/>
      <c r="G859" s="217"/>
      <c r="H859" s="212">
        <f t="shared" si="41"/>
        <v>212.5</v>
      </c>
      <c r="I859" s="219"/>
      <c r="J859" s="222"/>
      <c r="K859" s="199"/>
      <c r="L859" s="199"/>
    </row>
    <row r="860" spans="1:12" ht="21">
      <c r="A860" s="225"/>
      <c r="B860" s="224" t="s">
        <v>658</v>
      </c>
      <c r="C860" s="220">
        <v>2</v>
      </c>
      <c r="D860" s="221">
        <v>12.25</v>
      </c>
      <c r="E860" s="220">
        <v>8.5</v>
      </c>
      <c r="F860" s="217"/>
      <c r="G860" s="217"/>
      <c r="H860" s="212">
        <f t="shared" si="41"/>
        <v>208.25</v>
      </c>
      <c r="I860" s="219"/>
      <c r="J860" s="222"/>
      <c r="K860" s="199"/>
      <c r="L860" s="199"/>
    </row>
    <row r="861" spans="1:12" ht="21">
      <c r="A861" s="225"/>
      <c r="B861" s="224" t="s">
        <v>627</v>
      </c>
      <c r="C861" s="220">
        <v>2</v>
      </c>
      <c r="D861" s="221">
        <v>11.25</v>
      </c>
      <c r="E861" s="220">
        <v>8.5</v>
      </c>
      <c r="F861" s="225"/>
      <c r="G861" s="225"/>
      <c r="H861" s="212">
        <f t="shared" si="41"/>
        <v>191.25</v>
      </c>
      <c r="I861" s="219"/>
      <c r="J861" s="222"/>
      <c r="K861" s="199"/>
      <c r="L861" s="199"/>
    </row>
    <row r="862" spans="1:12" ht="21">
      <c r="A862" s="225"/>
      <c r="B862" s="224" t="s">
        <v>639</v>
      </c>
      <c r="C862" s="220">
        <v>1</v>
      </c>
      <c r="D862" s="221">
        <v>7.5</v>
      </c>
      <c r="E862" s="220">
        <v>8.5</v>
      </c>
      <c r="F862" s="225"/>
      <c r="G862" s="225"/>
      <c r="H862" s="212">
        <f t="shared" si="41"/>
        <v>63.75</v>
      </c>
      <c r="I862" s="219"/>
      <c r="J862" s="222"/>
      <c r="K862" s="199"/>
      <c r="L862" s="199"/>
    </row>
    <row r="863" spans="1:12" ht="21">
      <c r="A863" s="433"/>
      <c r="B863" s="226" t="s">
        <v>768</v>
      </c>
      <c r="C863" s="226">
        <v>1</v>
      </c>
      <c r="D863" s="227">
        <v>8</v>
      </c>
      <c r="E863" s="220">
        <v>8.5</v>
      </c>
      <c r="F863" s="226"/>
      <c r="G863" s="226"/>
      <c r="H863" s="228">
        <f t="shared" si="41"/>
        <v>68</v>
      </c>
      <c r="I863" s="226"/>
      <c r="J863" s="199"/>
      <c r="K863" s="199"/>
      <c r="L863" s="199"/>
    </row>
    <row r="864" spans="1:12" ht="21">
      <c r="A864" s="225"/>
      <c r="B864" s="224" t="s">
        <v>629</v>
      </c>
      <c r="C864" s="220">
        <v>1</v>
      </c>
      <c r="D864" s="221">
        <v>7.75</v>
      </c>
      <c r="E864" s="220">
        <v>6.25</v>
      </c>
      <c r="F864" s="217"/>
      <c r="G864" s="217"/>
      <c r="H864" s="212">
        <f t="shared" si="41"/>
        <v>48.4375</v>
      </c>
      <c r="I864" s="219"/>
      <c r="J864" s="222"/>
      <c r="K864" s="199"/>
      <c r="L864" s="199"/>
    </row>
    <row r="865" spans="1:12" ht="21">
      <c r="A865" s="225"/>
      <c r="B865" s="224" t="s">
        <v>767</v>
      </c>
      <c r="C865" s="220">
        <v>1</v>
      </c>
      <c r="D865" s="221">
        <v>7.75</v>
      </c>
      <c r="E865" s="220">
        <v>8.5</v>
      </c>
      <c r="F865" s="217"/>
      <c r="G865" s="217"/>
      <c r="H865" s="212">
        <f t="shared" si="41"/>
        <v>65.875</v>
      </c>
      <c r="I865" s="219"/>
      <c r="J865" s="222"/>
      <c r="K865" s="199"/>
      <c r="L865" s="199"/>
    </row>
    <row r="866" spans="1:12" ht="21">
      <c r="A866" s="433"/>
      <c r="B866" s="226" t="s">
        <v>630</v>
      </c>
      <c r="C866" s="226"/>
      <c r="D866" s="227"/>
      <c r="E866" s="220"/>
      <c r="F866" s="226"/>
      <c r="G866" s="226"/>
      <c r="H866" s="228"/>
      <c r="I866" s="226"/>
      <c r="J866" s="199"/>
      <c r="K866" s="199"/>
      <c r="L866" s="199"/>
    </row>
    <row r="867" spans="1:12" ht="21">
      <c r="A867" s="433"/>
      <c r="B867" s="226" t="s">
        <v>685</v>
      </c>
      <c r="C867" s="226">
        <v>1</v>
      </c>
      <c r="D867" s="227">
        <v>10.75</v>
      </c>
      <c r="E867" s="220">
        <v>8.5</v>
      </c>
      <c r="F867" s="226"/>
      <c r="G867" s="226"/>
      <c r="H867" s="228">
        <f>C867*D867*E867</f>
        <v>91.375</v>
      </c>
      <c r="I867" s="226"/>
      <c r="J867" s="199"/>
      <c r="K867" s="199"/>
      <c r="L867" s="199"/>
    </row>
    <row r="868" spans="1:12" ht="21">
      <c r="A868" s="433"/>
      <c r="B868" s="226" t="s">
        <v>685</v>
      </c>
      <c r="C868" s="226">
        <v>1</v>
      </c>
      <c r="D868" s="227">
        <v>13.25</v>
      </c>
      <c r="E868" s="220">
        <v>8.5</v>
      </c>
      <c r="F868" s="226"/>
      <c r="G868" s="226"/>
      <c r="H868" s="228">
        <f>C868*D868*E868</f>
        <v>112.625</v>
      </c>
      <c r="I868" s="226"/>
      <c r="J868" s="199"/>
      <c r="K868" s="199"/>
      <c r="L868" s="199"/>
    </row>
    <row r="869" spans="1:12" ht="21">
      <c r="A869" s="433"/>
      <c r="B869" s="226" t="s">
        <v>685</v>
      </c>
      <c r="C869" s="226">
        <v>1</v>
      </c>
      <c r="D869" s="227">
        <v>7.25</v>
      </c>
      <c r="E869" s="220">
        <v>8.5</v>
      </c>
      <c r="F869" s="226"/>
      <c r="G869" s="226"/>
      <c r="H869" s="228">
        <f>C869*D869*E869</f>
        <v>61.625</v>
      </c>
      <c r="I869" s="226"/>
      <c r="J869" s="199"/>
      <c r="K869" s="199"/>
      <c r="L869" s="199"/>
    </row>
    <row r="870" spans="1:12" ht="21">
      <c r="A870" s="433"/>
      <c r="B870" s="226"/>
      <c r="C870" s="226"/>
      <c r="D870" s="227"/>
      <c r="E870" s="220"/>
      <c r="F870" s="226"/>
      <c r="G870" s="226"/>
      <c r="H870" s="228"/>
      <c r="I870" s="226"/>
      <c r="J870" s="199"/>
      <c r="K870" s="199"/>
      <c r="L870" s="199"/>
    </row>
    <row r="871" spans="1:12" ht="21">
      <c r="A871" s="433"/>
      <c r="B871" s="223" t="s">
        <v>637</v>
      </c>
      <c r="C871" s="226"/>
      <c r="D871" s="227"/>
      <c r="E871" s="226"/>
      <c r="F871" s="226"/>
      <c r="G871" s="226"/>
      <c r="H871" s="228"/>
      <c r="I871" s="226"/>
      <c r="J871" s="199"/>
      <c r="K871" s="199"/>
      <c r="L871" s="199"/>
    </row>
    <row r="872" spans="1:12" ht="21">
      <c r="B872" s="226" t="s">
        <v>647</v>
      </c>
      <c r="C872" s="226">
        <v>1</v>
      </c>
      <c r="D872" s="227">
        <v>8</v>
      </c>
      <c r="E872" s="226">
        <v>8.5</v>
      </c>
      <c r="F872" s="226"/>
      <c r="G872" s="226"/>
      <c r="H872" s="212">
        <f t="shared" ref="H872:H884" si="42">C872*D872*E872</f>
        <v>68</v>
      </c>
      <c r="I872" s="226"/>
      <c r="J872" s="199"/>
      <c r="K872" s="199"/>
      <c r="L872" s="199"/>
    </row>
    <row r="873" spans="1:12" ht="21">
      <c r="A873" s="225"/>
      <c r="B873" s="226" t="s">
        <v>767</v>
      </c>
      <c r="C873" s="220">
        <v>1</v>
      </c>
      <c r="D873" s="221">
        <v>11.5</v>
      </c>
      <c r="E873" s="220">
        <v>8.5</v>
      </c>
      <c r="F873" s="217"/>
      <c r="G873" s="217"/>
      <c r="H873" s="212">
        <f t="shared" si="42"/>
        <v>97.75</v>
      </c>
      <c r="I873" s="219"/>
      <c r="J873" s="222"/>
      <c r="K873" s="199"/>
      <c r="L873" s="199"/>
    </row>
    <row r="874" spans="1:12" ht="21">
      <c r="A874" s="225"/>
      <c r="B874" s="226" t="s">
        <v>768</v>
      </c>
      <c r="C874" s="220">
        <v>1</v>
      </c>
      <c r="D874" s="221">
        <v>10.25</v>
      </c>
      <c r="E874" s="220">
        <v>8.5</v>
      </c>
      <c r="F874" s="217"/>
      <c r="G874" s="217"/>
      <c r="H874" s="212">
        <f t="shared" si="42"/>
        <v>87.125</v>
      </c>
      <c r="I874" s="219"/>
      <c r="J874" s="222"/>
      <c r="K874" s="199"/>
      <c r="L874" s="199"/>
    </row>
    <row r="875" spans="1:12" ht="21">
      <c r="A875" s="225"/>
      <c r="B875" s="224" t="s">
        <v>892</v>
      </c>
      <c r="C875" s="220">
        <v>1</v>
      </c>
      <c r="D875" s="221">
        <v>12</v>
      </c>
      <c r="E875" s="220">
        <v>8.5</v>
      </c>
      <c r="F875" s="217"/>
      <c r="G875" s="217"/>
      <c r="H875" s="212">
        <f t="shared" si="42"/>
        <v>102</v>
      </c>
      <c r="I875" s="219"/>
      <c r="J875" s="222"/>
      <c r="K875" s="199"/>
      <c r="L875" s="199"/>
    </row>
    <row r="876" spans="1:12" ht="21">
      <c r="A876" s="225"/>
      <c r="B876" s="224" t="s">
        <v>893</v>
      </c>
      <c r="C876" s="220">
        <v>1</v>
      </c>
      <c r="D876" s="221">
        <v>12.5</v>
      </c>
      <c r="E876" s="220">
        <v>8.5</v>
      </c>
      <c r="F876" s="217"/>
      <c r="G876" s="217"/>
      <c r="H876" s="212">
        <f t="shared" si="42"/>
        <v>106.25</v>
      </c>
      <c r="I876" s="219"/>
      <c r="J876" s="222"/>
      <c r="K876" s="199"/>
      <c r="L876" s="199"/>
    </row>
    <row r="877" spans="1:12" ht="21">
      <c r="A877" s="225"/>
      <c r="B877" s="224"/>
      <c r="C877" s="220">
        <v>1</v>
      </c>
      <c r="D877" s="221">
        <v>15.25</v>
      </c>
      <c r="E877" s="220">
        <v>8.5</v>
      </c>
      <c r="F877" s="217"/>
      <c r="G877" s="217"/>
      <c r="H877" s="212">
        <f t="shared" si="42"/>
        <v>129.625</v>
      </c>
      <c r="I877" s="219"/>
      <c r="J877" s="222"/>
      <c r="K877" s="199"/>
      <c r="L877" s="199"/>
    </row>
    <row r="878" spans="1:12" ht="21">
      <c r="A878" s="225"/>
      <c r="B878" s="224" t="s">
        <v>894</v>
      </c>
      <c r="C878" s="220">
        <v>1</v>
      </c>
      <c r="D878" s="221">
        <v>11.75</v>
      </c>
      <c r="E878" s="220">
        <v>8.5</v>
      </c>
      <c r="F878" s="217"/>
      <c r="G878" s="217"/>
      <c r="H878" s="212">
        <f t="shared" si="42"/>
        <v>99.875</v>
      </c>
      <c r="I878" s="219"/>
      <c r="J878" s="222"/>
      <c r="K878" s="199"/>
      <c r="L878" s="199"/>
    </row>
    <row r="879" spans="1:12" ht="21">
      <c r="A879" s="225"/>
      <c r="B879" s="224"/>
      <c r="C879" s="220">
        <v>1</v>
      </c>
      <c r="D879" s="221">
        <v>12.5</v>
      </c>
      <c r="E879" s="220">
        <v>8.5</v>
      </c>
      <c r="F879" s="217"/>
      <c r="G879" s="217"/>
      <c r="H879" s="212">
        <f t="shared" si="42"/>
        <v>106.25</v>
      </c>
      <c r="I879" s="219"/>
      <c r="J879" s="222"/>
      <c r="K879" s="199"/>
      <c r="L879" s="199"/>
    </row>
    <row r="880" spans="1:12" ht="21">
      <c r="A880" s="225"/>
      <c r="B880" s="224" t="s">
        <v>895</v>
      </c>
      <c r="C880" s="220">
        <v>1</v>
      </c>
      <c r="D880" s="221">
        <v>12</v>
      </c>
      <c r="E880" s="220">
        <v>8.5</v>
      </c>
      <c r="F880" s="217"/>
      <c r="G880" s="217"/>
      <c r="H880" s="212">
        <f t="shared" si="42"/>
        <v>102</v>
      </c>
      <c r="I880" s="219"/>
      <c r="J880" s="222"/>
      <c r="K880" s="199"/>
      <c r="L880" s="199"/>
    </row>
    <row r="881" spans="1:12" ht="21">
      <c r="A881" s="225"/>
      <c r="B881" s="226" t="s">
        <v>774</v>
      </c>
      <c r="C881" s="220">
        <v>1</v>
      </c>
      <c r="D881" s="221">
        <v>10.25</v>
      </c>
      <c r="E881" s="220">
        <v>8.5</v>
      </c>
      <c r="F881" s="217"/>
      <c r="G881" s="217"/>
      <c r="H881" s="212">
        <f t="shared" si="42"/>
        <v>87.125</v>
      </c>
      <c r="I881" s="219"/>
      <c r="J881" s="222"/>
      <c r="K881" s="199"/>
      <c r="L881" s="199"/>
    </row>
    <row r="882" spans="1:12" ht="21">
      <c r="A882" s="225"/>
      <c r="B882" s="224" t="s">
        <v>775</v>
      </c>
      <c r="C882" s="220">
        <v>1</v>
      </c>
      <c r="D882" s="221">
        <v>7.75</v>
      </c>
      <c r="E882" s="220">
        <v>8.5</v>
      </c>
      <c r="F882" s="217"/>
      <c r="G882" s="217"/>
      <c r="H882" s="212">
        <f t="shared" si="42"/>
        <v>65.875</v>
      </c>
      <c r="I882" s="219"/>
      <c r="J882" s="222"/>
      <c r="K882" s="199"/>
      <c r="L882" s="199"/>
    </row>
    <row r="883" spans="1:12" ht="21">
      <c r="A883" s="225"/>
      <c r="B883" s="224" t="s">
        <v>776</v>
      </c>
      <c r="C883" s="220">
        <v>1</v>
      </c>
      <c r="D883" s="221">
        <v>7.25</v>
      </c>
      <c r="E883" s="220">
        <v>8.5</v>
      </c>
      <c r="F883" s="217"/>
      <c r="G883" s="217"/>
      <c r="H883" s="212">
        <f t="shared" si="42"/>
        <v>61.625</v>
      </c>
      <c r="I883" s="219"/>
      <c r="J883" s="222"/>
      <c r="K883" s="199"/>
      <c r="L883" s="199"/>
    </row>
    <row r="884" spans="1:12" ht="21">
      <c r="A884" s="225"/>
      <c r="B884" s="224" t="s">
        <v>777</v>
      </c>
      <c r="C884" s="220">
        <v>1</v>
      </c>
      <c r="D884" s="221">
        <v>8</v>
      </c>
      <c r="E884" s="220">
        <v>8.5</v>
      </c>
      <c r="F884" s="217"/>
      <c r="G884" s="217"/>
      <c r="H884" s="212">
        <f t="shared" si="42"/>
        <v>68</v>
      </c>
      <c r="I884" s="219"/>
      <c r="J884" s="222"/>
      <c r="K884" s="199"/>
      <c r="L884" s="199"/>
    </row>
    <row r="885" spans="1:12" ht="21">
      <c r="A885" s="433"/>
      <c r="B885" s="226" t="s">
        <v>630</v>
      </c>
      <c r="C885" s="226"/>
      <c r="D885" s="227"/>
      <c r="E885" s="226"/>
      <c r="F885" s="226"/>
      <c r="G885" s="226"/>
      <c r="H885" s="228"/>
      <c r="I885" s="226"/>
      <c r="J885" s="199"/>
      <c r="K885" s="199"/>
      <c r="L885" s="199"/>
    </row>
    <row r="886" spans="1:12" ht="21">
      <c r="A886" s="433"/>
      <c r="B886" s="226" t="s">
        <v>685</v>
      </c>
      <c r="C886" s="226">
        <v>1</v>
      </c>
      <c r="D886" s="227">
        <v>13.25</v>
      </c>
      <c r="E886" s="226">
        <v>8.5</v>
      </c>
      <c r="F886" s="226"/>
      <c r="G886" s="226"/>
      <c r="H886" s="228">
        <f>C886*D886*E886</f>
        <v>112.625</v>
      </c>
      <c r="I886" s="226"/>
      <c r="J886" s="199"/>
      <c r="K886" s="199"/>
      <c r="L886" s="199"/>
    </row>
    <row r="887" spans="1:12" ht="21">
      <c r="A887" s="433"/>
      <c r="B887" s="226" t="s">
        <v>685</v>
      </c>
      <c r="C887" s="226">
        <v>1</v>
      </c>
      <c r="D887" s="227">
        <v>10.75</v>
      </c>
      <c r="E887" s="226">
        <v>8.5</v>
      </c>
      <c r="F887" s="226"/>
      <c r="G887" s="226"/>
      <c r="H887" s="228">
        <f>C887*D887*E887</f>
        <v>91.375</v>
      </c>
      <c r="I887" s="226"/>
      <c r="J887" s="199"/>
      <c r="K887" s="199"/>
      <c r="L887" s="199"/>
    </row>
    <row r="888" spans="1:12" ht="21">
      <c r="A888" s="433"/>
      <c r="B888" s="226" t="s">
        <v>685</v>
      </c>
      <c r="C888" s="226">
        <v>1</v>
      </c>
      <c r="D888" s="227">
        <v>8</v>
      </c>
      <c r="E888" s="226">
        <v>8.5</v>
      </c>
      <c r="F888" s="226"/>
      <c r="G888" s="226"/>
      <c r="H888" s="228">
        <f>C888*D888*E888</f>
        <v>68</v>
      </c>
      <c r="I888" s="226"/>
      <c r="J888" s="199"/>
      <c r="K888" s="199"/>
      <c r="L888" s="199"/>
    </row>
    <row r="889" spans="1:12" ht="21">
      <c r="A889" s="433"/>
      <c r="B889" s="226" t="s">
        <v>685</v>
      </c>
      <c r="C889" s="226">
        <v>1</v>
      </c>
      <c r="D889" s="227">
        <v>7.25</v>
      </c>
      <c r="E889" s="226">
        <v>8.5</v>
      </c>
      <c r="F889" s="226"/>
      <c r="G889" s="226"/>
      <c r="H889" s="228">
        <f>C889*D889*E889</f>
        <v>61.625</v>
      </c>
      <c r="I889" s="226"/>
      <c r="J889" s="199"/>
      <c r="K889" s="199"/>
      <c r="L889" s="199"/>
    </row>
    <row r="890" spans="1:12" ht="21">
      <c r="A890" s="433"/>
      <c r="B890" s="226" t="s">
        <v>639</v>
      </c>
      <c r="C890" s="226">
        <v>1</v>
      </c>
      <c r="D890" s="227">
        <v>7.5</v>
      </c>
      <c r="E890" s="226">
        <v>8.5</v>
      </c>
      <c r="F890" s="226"/>
      <c r="G890" s="226"/>
      <c r="H890" s="228">
        <f>C890*D890*E890</f>
        <v>63.75</v>
      </c>
      <c r="I890" s="226"/>
      <c r="J890" s="199"/>
      <c r="K890" s="199"/>
      <c r="L890" s="199"/>
    </row>
    <row r="891" spans="1:12" ht="21">
      <c r="A891" s="433"/>
      <c r="B891" s="226"/>
      <c r="C891" s="226"/>
      <c r="D891" s="227"/>
      <c r="E891" s="226"/>
      <c r="F891" s="226"/>
      <c r="G891" s="226"/>
      <c r="H891" s="228"/>
      <c r="I891" s="226"/>
      <c r="J891" s="199"/>
      <c r="K891" s="199"/>
      <c r="L891" s="199"/>
    </row>
    <row r="892" spans="1:12" ht="21">
      <c r="A892" s="433"/>
      <c r="B892" s="223" t="s">
        <v>640</v>
      </c>
      <c r="C892" s="226"/>
      <c r="D892" s="227"/>
      <c r="E892" s="226"/>
      <c r="F892" s="226"/>
      <c r="G892" s="226"/>
      <c r="H892" s="228"/>
      <c r="I892" s="226"/>
      <c r="J892" s="199"/>
      <c r="K892" s="199"/>
      <c r="L892" s="199"/>
    </row>
    <row r="893" spans="1:12" ht="21">
      <c r="A893" s="433"/>
      <c r="B893" s="226" t="s">
        <v>686</v>
      </c>
      <c r="C893" s="226">
        <v>2</v>
      </c>
      <c r="D893" s="227">
        <v>11.5</v>
      </c>
      <c r="E893" s="226">
        <v>8.5</v>
      </c>
      <c r="F893" s="226"/>
      <c r="G893" s="226"/>
      <c r="H893" s="228">
        <f t="shared" ref="H893:H898" si="43">C893*D893*E893</f>
        <v>195.5</v>
      </c>
      <c r="I893" s="226"/>
      <c r="J893" s="199"/>
      <c r="K893" s="199"/>
      <c r="L893" s="199"/>
    </row>
    <row r="894" spans="1:12" ht="21">
      <c r="A894" s="433"/>
      <c r="B894" s="226" t="s">
        <v>686</v>
      </c>
      <c r="C894" s="226">
        <v>1</v>
      </c>
      <c r="D894" s="227">
        <v>10.25</v>
      </c>
      <c r="E894" s="226">
        <v>8.5</v>
      </c>
      <c r="F894" s="226"/>
      <c r="G894" s="226"/>
      <c r="H894" s="228">
        <f t="shared" si="43"/>
        <v>87.125</v>
      </c>
      <c r="I894" s="226"/>
      <c r="J894" s="199"/>
      <c r="K894" s="199"/>
      <c r="L894" s="199"/>
    </row>
    <row r="895" spans="1:12" ht="21">
      <c r="A895" s="433"/>
      <c r="B895" s="226" t="s">
        <v>686</v>
      </c>
      <c r="C895" s="226">
        <v>1</v>
      </c>
      <c r="D895" s="227">
        <v>12</v>
      </c>
      <c r="E895" s="226">
        <v>8.5</v>
      </c>
      <c r="F895" s="226"/>
      <c r="G895" s="226"/>
      <c r="H895" s="228">
        <f t="shared" si="43"/>
        <v>102</v>
      </c>
      <c r="I895" s="226"/>
      <c r="J895" s="199"/>
      <c r="K895" s="199"/>
      <c r="L895" s="199"/>
    </row>
    <row r="896" spans="1:12" ht="21">
      <c r="A896" s="433"/>
      <c r="B896" s="226" t="s">
        <v>686</v>
      </c>
      <c r="C896" s="226">
        <v>1</v>
      </c>
      <c r="D896" s="227">
        <v>12.5</v>
      </c>
      <c r="E896" s="226">
        <v>8.5</v>
      </c>
      <c r="F896" s="226"/>
      <c r="G896" s="226"/>
      <c r="H896" s="228">
        <f t="shared" si="43"/>
        <v>106.25</v>
      </c>
      <c r="I896" s="226"/>
      <c r="J896" s="199"/>
      <c r="K896" s="199"/>
      <c r="L896" s="199"/>
    </row>
    <row r="897" spans="1:12" ht="21">
      <c r="A897" s="433"/>
      <c r="B897" s="226" t="s">
        <v>641</v>
      </c>
      <c r="C897" s="226">
        <v>1</v>
      </c>
      <c r="D897" s="227">
        <v>12</v>
      </c>
      <c r="E897" s="226">
        <v>8.5</v>
      </c>
      <c r="F897" s="226"/>
      <c r="G897" s="226"/>
      <c r="H897" s="228">
        <f t="shared" si="43"/>
        <v>102</v>
      </c>
      <c r="I897" s="226"/>
      <c r="J897" s="199"/>
      <c r="K897" s="199"/>
      <c r="L897" s="199"/>
    </row>
    <row r="898" spans="1:12" ht="21">
      <c r="A898" s="433"/>
      <c r="B898" s="226" t="s">
        <v>641</v>
      </c>
      <c r="C898" s="226">
        <v>1</v>
      </c>
      <c r="D898" s="227">
        <v>10.25</v>
      </c>
      <c r="E898" s="226">
        <v>8.5</v>
      </c>
      <c r="F898" s="226"/>
      <c r="G898" s="226"/>
      <c r="H898" s="228">
        <f t="shared" si="43"/>
        <v>87.125</v>
      </c>
      <c r="I898" s="226"/>
      <c r="J898" s="199"/>
      <c r="K898" s="199"/>
      <c r="L898" s="199"/>
    </row>
    <row r="899" spans="1:12" ht="21">
      <c r="A899" s="433"/>
      <c r="B899" s="226" t="s">
        <v>646</v>
      </c>
      <c r="C899" s="226">
        <v>1</v>
      </c>
      <c r="D899" s="227">
        <v>10.5</v>
      </c>
      <c r="E899" s="226">
        <v>8.5</v>
      </c>
      <c r="F899" s="226"/>
      <c r="G899" s="226"/>
      <c r="H899" s="228">
        <f t="shared" ref="H899:H906" si="44">C899*D899*E899</f>
        <v>89.25</v>
      </c>
      <c r="I899" s="226"/>
      <c r="J899" s="199"/>
      <c r="K899" s="199"/>
      <c r="L899" s="199"/>
    </row>
    <row r="900" spans="1:12" ht="21">
      <c r="A900" s="433"/>
      <c r="B900" s="226" t="s">
        <v>648</v>
      </c>
      <c r="C900" s="226">
        <v>1</v>
      </c>
      <c r="D900" s="227">
        <v>7.75</v>
      </c>
      <c r="E900" s="226">
        <v>6.5</v>
      </c>
      <c r="F900" s="226"/>
      <c r="G900" s="226"/>
      <c r="H900" s="228">
        <f t="shared" si="44"/>
        <v>50.375</v>
      </c>
      <c r="I900" s="226"/>
      <c r="J900" s="199"/>
      <c r="K900" s="199"/>
      <c r="L900" s="199"/>
    </row>
    <row r="901" spans="1:12" ht="21">
      <c r="A901" s="433"/>
      <c r="B901" s="226" t="s">
        <v>649</v>
      </c>
      <c r="C901" s="226">
        <v>1</v>
      </c>
      <c r="D901" s="227">
        <v>15.75</v>
      </c>
      <c r="E901" s="226">
        <v>8.5</v>
      </c>
      <c r="F901" s="226"/>
      <c r="G901" s="226"/>
      <c r="H901" s="228">
        <f t="shared" si="44"/>
        <v>133.875</v>
      </c>
      <c r="I901" s="226"/>
      <c r="J901" s="199"/>
      <c r="K901" s="199"/>
      <c r="L901" s="199"/>
    </row>
    <row r="902" spans="1:12" ht="21">
      <c r="A902" s="433"/>
      <c r="B902" s="226" t="s">
        <v>650</v>
      </c>
      <c r="C902" s="226">
        <v>1</v>
      </c>
      <c r="D902" s="227">
        <v>13.25</v>
      </c>
      <c r="E902" s="226">
        <v>8.5</v>
      </c>
      <c r="F902" s="226"/>
      <c r="G902" s="226"/>
      <c r="H902" s="228">
        <f t="shared" si="44"/>
        <v>112.625</v>
      </c>
      <c r="I902" s="226"/>
      <c r="J902" s="199"/>
      <c r="K902" s="199"/>
      <c r="L902" s="199"/>
    </row>
    <row r="903" spans="1:12" ht="21">
      <c r="A903" s="433"/>
      <c r="B903" s="226" t="s">
        <v>687</v>
      </c>
      <c r="C903" s="226">
        <v>1</v>
      </c>
      <c r="D903" s="227">
        <v>10.75</v>
      </c>
      <c r="E903" s="226">
        <v>8.5</v>
      </c>
      <c r="F903" s="226"/>
      <c r="G903" s="226"/>
      <c r="H903" s="228">
        <f t="shared" si="44"/>
        <v>91.375</v>
      </c>
      <c r="I903" s="226"/>
      <c r="J903" s="199"/>
      <c r="K903" s="199"/>
      <c r="L903" s="199"/>
    </row>
    <row r="904" spans="1:12" ht="21">
      <c r="A904" s="433"/>
      <c r="B904" s="226" t="s">
        <v>687</v>
      </c>
      <c r="C904" s="226">
        <v>1</v>
      </c>
      <c r="D904" s="227">
        <v>3.5</v>
      </c>
      <c r="E904" s="226">
        <v>8.5</v>
      </c>
      <c r="F904" s="226"/>
      <c r="G904" s="226"/>
      <c r="H904" s="228">
        <f t="shared" si="44"/>
        <v>29.75</v>
      </c>
      <c r="I904" s="226"/>
      <c r="J904" s="199"/>
      <c r="K904" s="199"/>
      <c r="L904" s="199"/>
    </row>
    <row r="905" spans="1:12" ht="21">
      <c r="A905" s="433"/>
      <c r="B905" s="226" t="s">
        <v>668</v>
      </c>
      <c r="C905" s="226">
        <v>1</v>
      </c>
      <c r="D905" s="227">
        <v>9.25</v>
      </c>
      <c r="E905" s="226">
        <v>8.5</v>
      </c>
      <c r="F905" s="226"/>
      <c r="G905" s="226"/>
      <c r="H905" s="228">
        <f t="shared" si="44"/>
        <v>78.625</v>
      </c>
      <c r="I905" s="226"/>
      <c r="J905" s="199"/>
      <c r="K905" s="199"/>
      <c r="L905" s="199"/>
    </row>
    <row r="906" spans="1:12" ht="21">
      <c r="A906" s="433"/>
      <c r="B906" s="226" t="s">
        <v>653</v>
      </c>
      <c r="C906" s="226">
        <v>2</v>
      </c>
      <c r="D906" s="227">
        <v>5</v>
      </c>
      <c r="E906" s="226">
        <v>8.5</v>
      </c>
      <c r="F906" s="226"/>
      <c r="G906" s="226"/>
      <c r="H906" s="228">
        <f t="shared" si="44"/>
        <v>85</v>
      </c>
      <c r="I906" s="226"/>
      <c r="J906" s="199"/>
      <c r="K906" s="199"/>
      <c r="L906" s="199"/>
    </row>
    <row r="907" spans="1:12" ht="21">
      <c r="A907" s="433"/>
      <c r="B907" s="226"/>
      <c r="C907" s="226"/>
      <c r="D907" s="227"/>
      <c r="E907" s="220"/>
      <c r="F907" s="226"/>
      <c r="G907" s="226"/>
      <c r="H907" s="212"/>
      <c r="I907" s="226"/>
      <c r="J907" s="199"/>
      <c r="K907" s="199"/>
      <c r="L907" s="199"/>
    </row>
    <row r="908" spans="1:12" ht="21">
      <c r="A908" s="225"/>
      <c r="B908" s="194"/>
      <c r="C908" s="220"/>
      <c r="D908" s="221"/>
      <c r="E908" s="220"/>
      <c r="F908" s="217"/>
      <c r="G908" s="217"/>
      <c r="H908" s="218"/>
      <c r="I908" s="219"/>
      <c r="J908" s="222"/>
      <c r="K908" s="199"/>
      <c r="L908" s="199"/>
    </row>
    <row r="909" spans="1:12" ht="21">
      <c r="A909" s="433"/>
      <c r="B909" s="226"/>
      <c r="C909" s="226"/>
      <c r="D909" s="227"/>
      <c r="E909" s="220"/>
      <c r="F909" s="226"/>
      <c r="G909" s="226"/>
      <c r="H909" s="212"/>
      <c r="I909" s="226"/>
      <c r="J909" s="199"/>
      <c r="K909" s="199"/>
      <c r="L909" s="199"/>
    </row>
    <row r="910" spans="1:12" ht="288.75">
      <c r="A910" s="345" t="s">
        <v>1102</v>
      </c>
      <c r="B910" s="356" t="s">
        <v>937</v>
      </c>
      <c r="C910" s="354"/>
      <c r="D910" s="354"/>
      <c r="E910" s="354"/>
      <c r="F910" s="348" t="s">
        <v>664</v>
      </c>
      <c r="G910" s="348"/>
      <c r="H910" s="349">
        <f>H911/10.764</f>
        <v>135.07989594946116</v>
      </c>
      <c r="I910" s="355" t="s">
        <v>328</v>
      </c>
      <c r="J910" s="199"/>
      <c r="K910" s="199"/>
      <c r="L910" s="199"/>
    </row>
    <row r="911" spans="1:12" ht="21">
      <c r="A911" s="225"/>
      <c r="B911" s="194"/>
      <c r="C911" s="220"/>
      <c r="D911" s="221"/>
      <c r="E911" s="220"/>
      <c r="F911" s="217" t="s">
        <v>620</v>
      </c>
      <c r="G911" s="217"/>
      <c r="H911" s="218">
        <f>SUM(H914:H917)</f>
        <v>1454</v>
      </c>
      <c r="I911" s="219" t="s">
        <v>621</v>
      </c>
      <c r="J911" s="222"/>
      <c r="K911" s="199"/>
      <c r="L911" s="199"/>
    </row>
    <row r="912" spans="1:12" ht="21">
      <c r="A912" s="225"/>
      <c r="B912" s="223" t="s">
        <v>622</v>
      </c>
      <c r="C912" s="220"/>
      <c r="D912" s="221"/>
      <c r="E912" s="220"/>
      <c r="F912" s="217"/>
      <c r="G912" s="217"/>
      <c r="H912" s="212"/>
      <c r="I912" s="219"/>
      <c r="J912" s="222"/>
      <c r="K912" s="199"/>
      <c r="L912" s="199"/>
    </row>
    <row r="913" spans="1:12" ht="21">
      <c r="A913" s="225"/>
      <c r="B913" s="224" t="s">
        <v>916</v>
      </c>
      <c r="C913" s="220">
        <v>1</v>
      </c>
      <c r="D913" s="221">
        <v>15.5</v>
      </c>
      <c r="E913" s="220">
        <v>10.5</v>
      </c>
      <c r="F913" s="217"/>
      <c r="G913" s="217"/>
      <c r="H913" s="212">
        <f>C913*D913*E913</f>
        <v>162.75</v>
      </c>
      <c r="I913" s="219"/>
      <c r="J913" s="222"/>
      <c r="K913" s="199"/>
      <c r="L913" s="199"/>
    </row>
    <row r="914" spans="1:12" ht="21">
      <c r="A914" s="225"/>
      <c r="B914" s="224" t="s">
        <v>647</v>
      </c>
      <c r="C914" s="220">
        <v>1</v>
      </c>
      <c r="D914" s="221">
        <v>88</v>
      </c>
      <c r="E914" s="220">
        <v>8</v>
      </c>
      <c r="F914" s="217"/>
      <c r="G914" s="217"/>
      <c r="H914" s="212">
        <f>C914*D914*E914</f>
        <v>704</v>
      </c>
      <c r="I914" s="219"/>
      <c r="J914" s="222"/>
      <c r="K914" s="199"/>
      <c r="L914" s="199"/>
    </row>
    <row r="915" spans="1:12" ht="21">
      <c r="A915" s="225"/>
      <c r="B915" s="224"/>
      <c r="C915" s="220"/>
      <c r="D915" s="221"/>
      <c r="E915" s="220"/>
      <c r="F915" s="217"/>
      <c r="G915" s="217"/>
      <c r="H915" s="212"/>
      <c r="I915" s="219"/>
      <c r="J915" s="222"/>
      <c r="K915" s="199"/>
      <c r="L915" s="199"/>
    </row>
    <row r="916" spans="1:12" ht="21">
      <c r="A916" s="433"/>
      <c r="B916" s="223" t="s">
        <v>637</v>
      </c>
      <c r="C916" s="226"/>
      <c r="D916" s="227"/>
      <c r="E916" s="226"/>
      <c r="F916" s="226"/>
      <c r="G916" s="226"/>
      <c r="H916" s="228"/>
      <c r="I916" s="226"/>
      <c r="J916" s="199"/>
      <c r="K916" s="199"/>
      <c r="L916" s="199"/>
    </row>
    <row r="917" spans="1:12" ht="21">
      <c r="A917" s="225"/>
      <c r="B917" s="226" t="s">
        <v>647</v>
      </c>
      <c r="C917" s="220">
        <v>1</v>
      </c>
      <c r="D917" s="221">
        <v>93.75</v>
      </c>
      <c r="E917" s="220">
        <v>8</v>
      </c>
      <c r="F917" s="217"/>
      <c r="G917" s="217"/>
      <c r="H917" s="212">
        <f>C917*D917*E917</f>
        <v>750</v>
      </c>
      <c r="I917" s="219"/>
      <c r="J917" s="222"/>
      <c r="K917" s="199"/>
      <c r="L917" s="199"/>
    </row>
    <row r="918" spans="1:12" ht="21">
      <c r="A918" s="225"/>
      <c r="B918" s="226"/>
      <c r="C918" s="220"/>
      <c r="D918" s="221"/>
      <c r="E918" s="220"/>
      <c r="F918" s="217"/>
      <c r="G918" s="217"/>
      <c r="H918" s="212"/>
      <c r="I918" s="219"/>
      <c r="J918" s="222"/>
      <c r="K918" s="199"/>
      <c r="L918" s="199"/>
    </row>
    <row r="919" spans="1:12" ht="315">
      <c r="A919" s="345" t="s">
        <v>966</v>
      </c>
      <c r="B919" s="356" t="s">
        <v>938</v>
      </c>
      <c r="C919" s="354"/>
      <c r="D919" s="354"/>
      <c r="E919" s="354"/>
      <c r="F919" s="348" t="s">
        <v>664</v>
      </c>
      <c r="G919" s="348"/>
      <c r="H919" s="349">
        <f>H920/10.764</f>
        <v>42.842809364548501</v>
      </c>
      <c r="I919" s="355" t="s">
        <v>328</v>
      </c>
      <c r="J919" s="199"/>
      <c r="K919" s="199"/>
      <c r="L919" s="199"/>
    </row>
    <row r="920" spans="1:12" ht="21">
      <c r="A920" s="225"/>
      <c r="B920" s="194"/>
      <c r="C920" s="220"/>
      <c r="D920" s="221"/>
      <c r="E920" s="220"/>
      <c r="F920" s="217" t="s">
        <v>620</v>
      </c>
      <c r="G920" s="217"/>
      <c r="H920" s="218">
        <f>SUM(H922:H928)</f>
        <v>461.16</v>
      </c>
      <c r="I920" s="219" t="s">
        <v>621</v>
      </c>
      <c r="J920" s="222"/>
      <c r="K920" s="199"/>
      <c r="L920" s="199"/>
    </row>
    <row r="921" spans="1:12" ht="21">
      <c r="A921" s="225"/>
      <c r="B921" s="223" t="s">
        <v>622</v>
      </c>
      <c r="C921" s="220"/>
      <c r="D921" s="221"/>
      <c r="E921" s="220"/>
      <c r="F921" s="217"/>
      <c r="G921" s="217"/>
      <c r="H921" s="212"/>
      <c r="I921" s="219"/>
      <c r="J921" s="222"/>
      <c r="K921" s="199"/>
      <c r="L921" s="199"/>
    </row>
    <row r="922" spans="1:12" ht="21">
      <c r="A922" s="225"/>
      <c r="B922" s="224" t="s">
        <v>658</v>
      </c>
      <c r="C922" s="220">
        <v>1</v>
      </c>
      <c r="D922" s="221">
        <v>25.25</v>
      </c>
      <c r="E922" s="220">
        <v>16</v>
      </c>
      <c r="F922" s="217"/>
      <c r="G922" s="217"/>
      <c r="H922" s="212">
        <f t="shared" ref="H922:H928" si="45">C922*D922*E922</f>
        <v>404</v>
      </c>
      <c r="I922" s="219"/>
      <c r="J922" s="222"/>
      <c r="K922" s="199"/>
      <c r="L922" s="199"/>
    </row>
    <row r="923" spans="1:12" ht="21">
      <c r="A923" s="225"/>
      <c r="B923" s="224" t="s">
        <v>917</v>
      </c>
      <c r="C923" s="220">
        <v>-1</v>
      </c>
      <c r="D923" s="221">
        <v>13</v>
      </c>
      <c r="E923" s="220">
        <v>4.5</v>
      </c>
      <c r="F923" s="217"/>
      <c r="G923" s="217"/>
      <c r="H923" s="212">
        <f>C923*D923*E923</f>
        <v>-58.5</v>
      </c>
      <c r="I923" s="219"/>
      <c r="J923" s="222"/>
      <c r="K923" s="199"/>
      <c r="L923" s="199"/>
    </row>
    <row r="924" spans="1:12" ht="21">
      <c r="A924" s="225"/>
      <c r="B924" s="224" t="s">
        <v>688</v>
      </c>
      <c r="C924" s="220">
        <v>2</v>
      </c>
      <c r="D924" s="221">
        <v>13.33</v>
      </c>
      <c r="E924" s="220">
        <v>1</v>
      </c>
      <c r="F924" s="217"/>
      <c r="G924" s="217"/>
      <c r="H924" s="212">
        <f>C924*D924*E924</f>
        <v>26.66</v>
      </c>
      <c r="I924" s="219"/>
      <c r="J924" s="222"/>
      <c r="K924" s="199"/>
      <c r="L924" s="199"/>
    </row>
    <row r="925" spans="1:12" ht="21">
      <c r="A925" s="225"/>
      <c r="B925" s="224" t="s">
        <v>688</v>
      </c>
      <c r="C925" s="220">
        <v>2</v>
      </c>
      <c r="D925" s="221">
        <v>5</v>
      </c>
      <c r="E925" s="220">
        <v>1</v>
      </c>
      <c r="F925" s="217"/>
      <c r="G925" s="217"/>
      <c r="H925" s="212">
        <f>C925*D925*E925</f>
        <v>10</v>
      </c>
      <c r="I925" s="219"/>
      <c r="J925" s="222"/>
      <c r="K925" s="199"/>
      <c r="L925" s="199"/>
    </row>
    <row r="926" spans="1:12" ht="21">
      <c r="A926" s="225"/>
      <c r="B926" s="224" t="s">
        <v>623</v>
      </c>
      <c r="C926" s="220">
        <v>1</v>
      </c>
      <c r="D926" s="221">
        <v>8</v>
      </c>
      <c r="E926" s="220">
        <v>5</v>
      </c>
      <c r="F926" s="217"/>
      <c r="G926" s="217"/>
      <c r="H926" s="212">
        <f t="shared" si="45"/>
        <v>40</v>
      </c>
      <c r="I926" s="219"/>
      <c r="J926" s="222"/>
      <c r="K926" s="199"/>
      <c r="L926" s="199"/>
    </row>
    <row r="927" spans="1:12" ht="21">
      <c r="A927" s="225"/>
      <c r="B927" s="224" t="s">
        <v>689</v>
      </c>
      <c r="C927" s="220">
        <v>2</v>
      </c>
      <c r="D927" s="221">
        <v>8</v>
      </c>
      <c r="E927" s="220">
        <v>1.5</v>
      </c>
      <c r="F927" s="217"/>
      <c r="G927" s="217"/>
      <c r="H927" s="212">
        <f t="shared" si="45"/>
        <v>24</v>
      </c>
      <c r="I927" s="219"/>
      <c r="J927" s="222"/>
      <c r="K927" s="199"/>
      <c r="L927" s="199"/>
    </row>
    <row r="928" spans="1:12" ht="21">
      <c r="A928" s="225"/>
      <c r="B928" s="224" t="s">
        <v>689</v>
      </c>
      <c r="C928" s="220">
        <v>2</v>
      </c>
      <c r="D928" s="221">
        <v>5</v>
      </c>
      <c r="E928" s="220">
        <v>1.5</v>
      </c>
      <c r="F928" s="217"/>
      <c r="G928" s="217"/>
      <c r="H928" s="212">
        <f t="shared" si="45"/>
        <v>15</v>
      </c>
      <c r="I928" s="219"/>
      <c r="J928" s="222"/>
      <c r="K928" s="199"/>
      <c r="L928" s="199"/>
    </row>
    <row r="929" spans="1:12" ht="21">
      <c r="A929" s="225"/>
      <c r="B929" s="224"/>
      <c r="C929" s="220"/>
      <c r="D929" s="221"/>
      <c r="E929" s="220"/>
      <c r="F929" s="217"/>
      <c r="G929" s="217"/>
      <c r="H929" s="212"/>
      <c r="I929" s="219"/>
      <c r="J929" s="222"/>
      <c r="K929" s="199"/>
      <c r="L929" s="199"/>
    </row>
    <row r="930" spans="1:12" ht="26.25">
      <c r="A930" s="214" t="s">
        <v>1101</v>
      </c>
      <c r="B930" s="215" t="s">
        <v>337</v>
      </c>
      <c r="C930" s="216"/>
      <c r="D930" s="216"/>
      <c r="E930" s="216"/>
      <c r="F930" s="217" t="s">
        <v>664</v>
      </c>
      <c r="G930" s="217"/>
      <c r="H930" s="218">
        <f>H931/10.764</f>
        <v>5.4347826086956523</v>
      </c>
      <c r="I930" s="219" t="s">
        <v>328</v>
      </c>
      <c r="J930" s="199"/>
      <c r="K930" s="199"/>
      <c r="L930" s="199"/>
    </row>
    <row r="931" spans="1:12" ht="21">
      <c r="A931" s="225"/>
      <c r="B931" s="194"/>
      <c r="C931" s="220"/>
      <c r="D931" s="221"/>
      <c r="E931" s="220"/>
      <c r="F931" s="217" t="s">
        <v>620</v>
      </c>
      <c r="G931" s="217"/>
      <c r="H931" s="218">
        <f>H933</f>
        <v>58.5</v>
      </c>
      <c r="I931" s="219" t="s">
        <v>621</v>
      </c>
      <c r="J931" s="222"/>
      <c r="K931" s="199"/>
      <c r="L931" s="199"/>
    </row>
    <row r="932" spans="1:12" ht="21">
      <c r="A932" s="225"/>
      <c r="B932" s="223" t="s">
        <v>622</v>
      </c>
      <c r="C932" s="220"/>
      <c r="D932" s="221"/>
      <c r="E932" s="220"/>
      <c r="F932" s="217"/>
      <c r="G932" s="217"/>
      <c r="H932" s="212"/>
      <c r="I932" s="219"/>
      <c r="J932" s="222"/>
      <c r="K932" s="199"/>
      <c r="L932" s="199"/>
    </row>
    <row r="933" spans="1:12" ht="21">
      <c r="A933" s="225"/>
      <c r="B933" s="224" t="s">
        <v>658</v>
      </c>
      <c r="C933" s="220">
        <v>1</v>
      </c>
      <c r="D933" s="221">
        <v>13</v>
      </c>
      <c r="E933" s="220">
        <v>4.5</v>
      </c>
      <c r="F933" s="217"/>
      <c r="G933" s="217"/>
      <c r="H933" s="212">
        <f>C933*D933*E933</f>
        <v>58.5</v>
      </c>
      <c r="I933" s="219"/>
      <c r="J933" s="222"/>
      <c r="K933" s="199"/>
      <c r="L933" s="199"/>
    </row>
    <row r="934" spans="1:12" ht="21">
      <c r="A934" s="225"/>
      <c r="B934" s="224"/>
      <c r="C934" s="220"/>
      <c r="D934" s="221"/>
      <c r="E934" s="220"/>
      <c r="F934" s="217"/>
      <c r="G934" s="217"/>
      <c r="H934" s="212"/>
      <c r="I934" s="219"/>
      <c r="J934" s="222"/>
      <c r="K934" s="199"/>
      <c r="L934" s="199"/>
    </row>
    <row r="935" spans="1:12" ht="21">
      <c r="A935" s="225"/>
      <c r="B935" s="224"/>
      <c r="C935" s="220"/>
      <c r="D935" s="221"/>
      <c r="E935" s="220"/>
      <c r="F935" s="217"/>
      <c r="G935" s="217"/>
      <c r="H935" s="212"/>
      <c r="I935" s="219"/>
      <c r="J935" s="222"/>
      <c r="K935" s="199"/>
      <c r="L935" s="199"/>
    </row>
    <row r="936" spans="1:12" ht="21">
      <c r="A936" s="415"/>
      <c r="B936" s="315"/>
      <c r="C936" s="315"/>
      <c r="D936" s="233"/>
      <c r="E936" s="232"/>
      <c r="F936" s="315"/>
      <c r="G936" s="315"/>
      <c r="H936" s="287"/>
      <c r="I936" s="236"/>
      <c r="J936" s="199"/>
      <c r="K936" s="199"/>
      <c r="L936" s="199"/>
    </row>
    <row r="937" spans="1:12" ht="26.25">
      <c r="A937" s="345" t="s">
        <v>976</v>
      </c>
      <c r="B937" s="356" t="s">
        <v>933</v>
      </c>
      <c r="C937" s="365"/>
      <c r="D937" s="366"/>
      <c r="E937" s="365"/>
      <c r="F937" s="348" t="s">
        <v>620</v>
      </c>
      <c r="G937" s="348"/>
      <c r="H937" s="349">
        <f>H938/10.764</f>
        <v>954.66369379412868</v>
      </c>
      <c r="I937" s="355" t="s">
        <v>328</v>
      </c>
      <c r="J937" s="199"/>
      <c r="K937" s="199"/>
      <c r="L937" s="199"/>
    </row>
    <row r="938" spans="1:12" ht="21">
      <c r="A938" s="435"/>
      <c r="B938" s="246"/>
      <c r="C938" s="246"/>
      <c r="D938" s="247"/>
      <c r="E938" s="246"/>
      <c r="F938" s="217" t="s">
        <v>620</v>
      </c>
      <c r="G938" s="217"/>
      <c r="H938" s="218">
        <f>SUM(H941:H1024)</f>
        <v>10276</v>
      </c>
      <c r="I938" s="219" t="s">
        <v>621</v>
      </c>
      <c r="J938" s="199"/>
      <c r="K938" s="199"/>
      <c r="L938" s="199"/>
    </row>
    <row r="939" spans="1:12" ht="21">
      <c r="A939" s="435"/>
      <c r="B939" s="246"/>
      <c r="C939" s="246"/>
      <c r="D939" s="247"/>
      <c r="E939" s="246"/>
      <c r="F939" s="246"/>
      <c r="G939" s="246"/>
      <c r="H939" s="248"/>
      <c r="I939" s="246"/>
      <c r="J939" s="199"/>
      <c r="K939" s="199"/>
      <c r="L939" s="199"/>
    </row>
    <row r="940" spans="1:12" ht="21">
      <c r="A940" s="225"/>
      <c r="B940" s="194" t="s">
        <v>605</v>
      </c>
      <c r="C940" s="220"/>
      <c r="D940" s="221"/>
      <c r="E940" s="220"/>
      <c r="F940" s="217"/>
      <c r="G940" s="217"/>
      <c r="H940" s="218"/>
      <c r="I940" s="219"/>
      <c r="J940" s="199"/>
      <c r="K940" s="199"/>
      <c r="L940" s="199"/>
    </row>
    <row r="941" spans="1:12" ht="21">
      <c r="A941" s="225"/>
      <c r="B941" s="224" t="s">
        <v>803</v>
      </c>
      <c r="C941" s="220">
        <v>1</v>
      </c>
      <c r="D941" s="221">
        <v>10.5</v>
      </c>
      <c r="E941" s="220">
        <v>11.75</v>
      </c>
      <c r="F941" s="217"/>
      <c r="G941" s="217"/>
      <c r="H941" s="212">
        <f t="shared" ref="H941:H946" si="46">C941*D941*E941</f>
        <v>123.375</v>
      </c>
      <c r="I941" s="219"/>
      <c r="J941" s="222"/>
      <c r="K941" s="199"/>
      <c r="L941" s="199"/>
    </row>
    <row r="942" spans="1:12" ht="21">
      <c r="A942" s="225"/>
      <c r="B942" s="224" t="s">
        <v>806</v>
      </c>
      <c r="C942" s="220">
        <v>1</v>
      </c>
      <c r="D942" s="221">
        <v>19.5</v>
      </c>
      <c r="E942" s="220">
        <v>13.25</v>
      </c>
      <c r="F942" s="217"/>
      <c r="G942" s="217"/>
      <c r="H942" s="212">
        <f t="shared" si="46"/>
        <v>258.375</v>
      </c>
      <c r="I942" s="219"/>
      <c r="J942" s="222"/>
      <c r="K942" s="199"/>
      <c r="L942" s="199"/>
    </row>
    <row r="943" spans="1:12" ht="21">
      <c r="A943" s="417"/>
      <c r="B943" s="245" t="s">
        <v>808</v>
      </c>
      <c r="C943" s="245">
        <v>1</v>
      </c>
      <c r="D943" s="245">
        <v>10.75</v>
      </c>
      <c r="E943" s="245">
        <v>13.25</v>
      </c>
      <c r="F943" s="301"/>
      <c r="G943" s="301"/>
      <c r="H943" s="212">
        <f t="shared" si="46"/>
        <v>142.4375</v>
      </c>
      <c r="I943" s="219"/>
      <c r="J943" s="222"/>
      <c r="K943" s="199"/>
      <c r="L943" s="199"/>
    </row>
    <row r="944" spans="1:12" ht="21">
      <c r="A944" s="225"/>
      <c r="B944" s="302" t="s">
        <v>770</v>
      </c>
      <c r="C944" s="260">
        <v>1</v>
      </c>
      <c r="D944" s="297">
        <v>13.25</v>
      </c>
      <c r="E944" s="260">
        <v>13.25</v>
      </c>
      <c r="F944" s="217"/>
      <c r="G944" s="217"/>
      <c r="H944" s="212">
        <f t="shared" si="46"/>
        <v>175.5625</v>
      </c>
      <c r="I944" s="219"/>
      <c r="J944" s="222"/>
      <c r="K944" s="199"/>
      <c r="L944" s="199"/>
    </row>
    <row r="945" spans="1:12" ht="21">
      <c r="A945" s="225"/>
      <c r="B945" s="302" t="s">
        <v>771</v>
      </c>
      <c r="C945" s="260">
        <v>1</v>
      </c>
      <c r="D945" s="297">
        <v>12.5</v>
      </c>
      <c r="E945" s="260">
        <v>13.25</v>
      </c>
      <c r="F945" s="217"/>
      <c r="G945" s="217"/>
      <c r="H945" s="212">
        <f t="shared" si="46"/>
        <v>165.625</v>
      </c>
      <c r="I945" s="219"/>
      <c r="J945" s="222"/>
      <c r="K945" s="199"/>
      <c r="L945" s="199"/>
    </row>
    <row r="946" spans="1:12" ht="21">
      <c r="A946" s="225"/>
      <c r="B946" s="237" t="s">
        <v>831</v>
      </c>
      <c r="C946" s="303">
        <v>1</v>
      </c>
      <c r="D946" s="297">
        <v>25.5</v>
      </c>
      <c r="E946" s="260">
        <v>16.25</v>
      </c>
      <c r="F946" s="217"/>
      <c r="G946" s="217"/>
      <c r="H946" s="212">
        <f t="shared" si="46"/>
        <v>414.375</v>
      </c>
      <c r="I946" s="219"/>
      <c r="J946" s="222"/>
      <c r="K946" s="199"/>
      <c r="L946" s="199"/>
    </row>
    <row r="947" spans="1:12" ht="21">
      <c r="A947" s="225"/>
      <c r="B947" s="302" t="s">
        <v>627</v>
      </c>
      <c r="C947" s="260">
        <v>1</v>
      </c>
      <c r="D947" s="297">
        <v>23.5</v>
      </c>
      <c r="E947" s="260">
        <v>16.75</v>
      </c>
      <c r="F947" s="217"/>
      <c r="G947" s="217"/>
      <c r="H947" s="212">
        <f t="shared" ref="H947:H956" si="47">C947*D947*E947</f>
        <v>393.625</v>
      </c>
      <c r="I947" s="219"/>
      <c r="J947" s="222"/>
      <c r="K947" s="199"/>
      <c r="L947" s="199"/>
    </row>
    <row r="948" spans="1:12" ht="21">
      <c r="A948" s="225"/>
      <c r="B948" s="302" t="s">
        <v>822</v>
      </c>
      <c r="C948" s="260">
        <v>1</v>
      </c>
      <c r="D948" s="297">
        <v>5.5</v>
      </c>
      <c r="E948" s="260">
        <v>16.75</v>
      </c>
      <c r="F948" s="217"/>
      <c r="G948" s="217"/>
      <c r="H948" s="212">
        <f t="shared" si="47"/>
        <v>92.125</v>
      </c>
      <c r="I948" s="219"/>
      <c r="J948" s="222"/>
      <c r="K948" s="199"/>
      <c r="L948" s="199"/>
    </row>
    <row r="949" spans="1:12" ht="21">
      <c r="A949" s="225"/>
      <c r="B949" s="302" t="s">
        <v>809</v>
      </c>
      <c r="C949" s="260">
        <v>1</v>
      </c>
      <c r="D949" s="297">
        <v>4.5</v>
      </c>
      <c r="E949" s="260">
        <v>6.25</v>
      </c>
      <c r="F949" s="217"/>
      <c r="G949" s="217"/>
      <c r="H949" s="212">
        <f t="shared" si="47"/>
        <v>28.125</v>
      </c>
      <c r="I949" s="219"/>
      <c r="J949" s="222"/>
      <c r="K949" s="199"/>
      <c r="L949" s="199"/>
    </row>
    <row r="950" spans="1:12" ht="21">
      <c r="A950" s="225"/>
      <c r="B950" s="302" t="s">
        <v>810</v>
      </c>
      <c r="C950" s="260">
        <v>1</v>
      </c>
      <c r="D950" s="297">
        <v>12.5</v>
      </c>
      <c r="E950" s="260">
        <v>8</v>
      </c>
      <c r="F950" s="217"/>
      <c r="G950" s="217"/>
      <c r="H950" s="212">
        <f t="shared" si="47"/>
        <v>100</v>
      </c>
      <c r="I950" s="219"/>
      <c r="J950" s="222"/>
      <c r="K950" s="199"/>
      <c r="L950" s="199"/>
    </row>
    <row r="951" spans="1:12" ht="21">
      <c r="A951" s="225"/>
      <c r="B951" s="302" t="s">
        <v>811</v>
      </c>
      <c r="C951" s="260">
        <v>1</v>
      </c>
      <c r="D951" s="297">
        <v>13.5</v>
      </c>
      <c r="E951" s="260">
        <v>28.5</v>
      </c>
      <c r="F951" s="217"/>
      <c r="G951" s="217"/>
      <c r="H951" s="212">
        <f t="shared" si="47"/>
        <v>384.75</v>
      </c>
      <c r="I951" s="219"/>
      <c r="J951" s="222"/>
      <c r="K951" s="199"/>
      <c r="L951" s="199"/>
    </row>
    <row r="952" spans="1:12" ht="21">
      <c r="A952" s="225"/>
      <c r="B952" s="302" t="s">
        <v>812</v>
      </c>
      <c r="C952" s="260">
        <v>1</v>
      </c>
      <c r="D952" s="297">
        <v>22.25</v>
      </c>
      <c r="E952" s="260">
        <v>8</v>
      </c>
      <c r="F952" s="217"/>
      <c r="G952" s="217"/>
      <c r="H952" s="212">
        <f t="shared" si="47"/>
        <v>178</v>
      </c>
      <c r="I952" s="219"/>
      <c r="J952" s="222"/>
      <c r="K952" s="199"/>
      <c r="L952" s="199"/>
    </row>
    <row r="953" spans="1:12" ht="21">
      <c r="A953" s="225"/>
      <c r="B953" s="302" t="s">
        <v>813</v>
      </c>
      <c r="C953" s="260">
        <v>1</v>
      </c>
      <c r="D953" s="297">
        <v>8.75</v>
      </c>
      <c r="E953" s="260">
        <v>12</v>
      </c>
      <c r="F953" s="217"/>
      <c r="G953" s="217"/>
      <c r="H953" s="212">
        <f t="shared" si="47"/>
        <v>105</v>
      </c>
      <c r="I953" s="219"/>
      <c r="J953" s="222"/>
      <c r="K953" s="199"/>
      <c r="L953" s="199"/>
    </row>
    <row r="954" spans="1:12" ht="21">
      <c r="A954" s="225"/>
      <c r="B954" s="302" t="s">
        <v>54</v>
      </c>
      <c r="C954" s="260">
        <v>1</v>
      </c>
      <c r="D954" s="297">
        <v>7.5</v>
      </c>
      <c r="E954" s="260">
        <v>12</v>
      </c>
      <c r="F954" s="217"/>
      <c r="G954" s="217"/>
      <c r="H954" s="212">
        <f t="shared" si="47"/>
        <v>90</v>
      </c>
      <c r="I954" s="219"/>
      <c r="J954" s="222"/>
      <c r="K954" s="199"/>
      <c r="L954" s="199"/>
    </row>
    <row r="955" spans="1:12" ht="21">
      <c r="A955" s="225"/>
      <c r="B955" s="302" t="s">
        <v>814</v>
      </c>
      <c r="C955" s="260">
        <v>1</v>
      </c>
      <c r="D955" s="297">
        <v>8.5</v>
      </c>
      <c r="E955" s="260">
        <v>12</v>
      </c>
      <c r="F955" s="217"/>
      <c r="G955" s="217"/>
      <c r="H955" s="212">
        <f t="shared" si="47"/>
        <v>102</v>
      </c>
      <c r="I955" s="219"/>
      <c r="J955" s="222"/>
      <c r="K955" s="199"/>
      <c r="L955" s="199"/>
    </row>
    <row r="956" spans="1:12" ht="21">
      <c r="A956" s="225"/>
      <c r="B956" s="302" t="s">
        <v>1115</v>
      </c>
      <c r="C956" s="260">
        <v>1</v>
      </c>
      <c r="D956" s="297">
        <v>10.5</v>
      </c>
      <c r="E956" s="260">
        <v>17</v>
      </c>
      <c r="F956" s="217"/>
      <c r="G956" s="217"/>
      <c r="H956" s="212">
        <f t="shared" si="47"/>
        <v>178.5</v>
      </c>
      <c r="I956" s="219"/>
      <c r="J956" s="222"/>
      <c r="K956" s="199"/>
      <c r="L956" s="199"/>
    </row>
    <row r="957" spans="1:12" ht="21">
      <c r="A957" s="225"/>
      <c r="B957" s="194" t="s">
        <v>753</v>
      </c>
      <c r="C957" s="260"/>
      <c r="D957" s="297"/>
      <c r="E957" s="260"/>
      <c r="F957" s="217"/>
      <c r="G957" s="217"/>
      <c r="H957" s="212"/>
      <c r="I957" s="219"/>
      <c r="J957" s="222"/>
      <c r="K957" s="199"/>
      <c r="L957" s="199"/>
    </row>
    <row r="958" spans="1:12" ht="21">
      <c r="A958" s="225"/>
      <c r="B958" s="302" t="s">
        <v>815</v>
      </c>
      <c r="C958" s="260">
        <v>1</v>
      </c>
      <c r="D958" s="297">
        <v>11.25</v>
      </c>
      <c r="E958" s="260">
        <v>16.75</v>
      </c>
      <c r="F958" s="217"/>
      <c r="G958" s="217"/>
      <c r="H958" s="212">
        <f t="shared" ref="H958:H972" si="48">C958*D958*E958</f>
        <v>188.4375</v>
      </c>
      <c r="I958" s="219"/>
      <c r="J958" s="222"/>
      <c r="K958" s="199"/>
      <c r="L958" s="199"/>
    </row>
    <row r="959" spans="1:12" ht="21">
      <c r="A959" s="225"/>
      <c r="B959" s="302" t="s">
        <v>816</v>
      </c>
      <c r="C959" s="260">
        <v>1</v>
      </c>
      <c r="D959" s="297">
        <v>11.75</v>
      </c>
      <c r="E959" s="260">
        <v>16.75</v>
      </c>
      <c r="F959" s="217"/>
      <c r="G959" s="217"/>
      <c r="H959" s="212">
        <f t="shared" si="48"/>
        <v>196.8125</v>
      </c>
      <c r="I959" s="219"/>
      <c r="J959" s="222"/>
      <c r="K959" s="199"/>
      <c r="L959" s="199"/>
    </row>
    <row r="960" spans="1:12" ht="21">
      <c r="A960" s="225"/>
      <c r="B960" s="302" t="s">
        <v>770</v>
      </c>
      <c r="C960" s="260">
        <v>1</v>
      </c>
      <c r="D960" s="297">
        <v>12.75</v>
      </c>
      <c r="E960" s="260">
        <v>16.75</v>
      </c>
      <c r="F960" s="217"/>
      <c r="G960" s="217"/>
      <c r="H960" s="212">
        <f t="shared" si="48"/>
        <v>213.5625</v>
      </c>
      <c r="I960" s="219"/>
      <c r="J960" s="222"/>
      <c r="K960" s="199"/>
      <c r="L960" s="199"/>
    </row>
    <row r="961" spans="1:12" ht="24" customHeight="1">
      <c r="A961" s="225"/>
      <c r="B961" s="302" t="s">
        <v>771</v>
      </c>
      <c r="C961" s="260">
        <v>1</v>
      </c>
      <c r="D961" s="297">
        <v>12.5</v>
      </c>
      <c r="E961" s="260">
        <v>16</v>
      </c>
      <c r="F961" s="217"/>
      <c r="G961" s="217"/>
      <c r="H961" s="212">
        <f t="shared" si="48"/>
        <v>200</v>
      </c>
      <c r="I961" s="219"/>
      <c r="J961" s="222"/>
      <c r="K961" s="199"/>
      <c r="L961" s="199"/>
    </row>
    <row r="962" spans="1:12" ht="24" customHeight="1">
      <c r="A962" s="225"/>
      <c r="B962" s="302" t="s">
        <v>772</v>
      </c>
      <c r="C962" s="260">
        <v>1</v>
      </c>
      <c r="D962" s="297">
        <v>12.5</v>
      </c>
      <c r="E962" s="260">
        <v>13.25</v>
      </c>
      <c r="F962" s="217"/>
      <c r="G962" s="217"/>
      <c r="H962" s="212">
        <f t="shared" si="48"/>
        <v>165.625</v>
      </c>
      <c r="I962" s="219"/>
      <c r="J962" s="222"/>
      <c r="K962" s="199"/>
      <c r="L962" s="199"/>
    </row>
    <row r="963" spans="1:12" ht="24" customHeight="1">
      <c r="A963" s="225"/>
      <c r="B963" s="302" t="s">
        <v>773</v>
      </c>
      <c r="C963" s="260">
        <v>1</v>
      </c>
      <c r="D963" s="297">
        <v>12.75</v>
      </c>
      <c r="E963" s="260">
        <v>13.25</v>
      </c>
      <c r="F963" s="217"/>
      <c r="G963" s="217"/>
      <c r="H963" s="212">
        <f t="shared" si="48"/>
        <v>168.9375</v>
      </c>
      <c r="I963" s="219"/>
      <c r="J963" s="222"/>
      <c r="K963" s="199"/>
      <c r="L963" s="199"/>
    </row>
    <row r="964" spans="1:12" ht="24" customHeight="1">
      <c r="A964" s="225"/>
      <c r="B964" s="302" t="s">
        <v>817</v>
      </c>
      <c r="C964" s="260">
        <v>1</v>
      </c>
      <c r="D964" s="297">
        <v>10.75</v>
      </c>
      <c r="E964" s="260">
        <v>13.25</v>
      </c>
      <c r="F964" s="217"/>
      <c r="G964" s="217"/>
      <c r="H964" s="212">
        <f t="shared" si="48"/>
        <v>142.4375</v>
      </c>
      <c r="I964" s="219"/>
      <c r="J964" s="222"/>
      <c r="K964" s="199"/>
      <c r="L964" s="199"/>
    </row>
    <row r="965" spans="1:12" ht="24" customHeight="1">
      <c r="A965" s="225"/>
      <c r="B965" s="302" t="s">
        <v>818</v>
      </c>
      <c r="C965" s="260">
        <v>1</v>
      </c>
      <c r="D965" s="297">
        <v>8.5</v>
      </c>
      <c r="E965" s="260">
        <v>12</v>
      </c>
      <c r="F965" s="217"/>
      <c r="G965" s="217"/>
      <c r="H965" s="212">
        <f t="shared" si="48"/>
        <v>102</v>
      </c>
      <c r="I965" s="219"/>
      <c r="J965" s="222"/>
      <c r="K965" s="199"/>
      <c r="L965" s="199"/>
    </row>
    <row r="966" spans="1:12" ht="24" customHeight="1">
      <c r="A966" s="225"/>
      <c r="B966" s="302" t="s">
        <v>819</v>
      </c>
      <c r="C966" s="260">
        <v>1</v>
      </c>
      <c r="D966" s="297">
        <v>7.5</v>
      </c>
      <c r="E966" s="260">
        <v>12</v>
      </c>
      <c r="F966" s="217"/>
      <c r="G966" s="217"/>
      <c r="H966" s="212">
        <f t="shared" si="48"/>
        <v>90</v>
      </c>
      <c r="I966" s="219"/>
      <c r="J966" s="222"/>
      <c r="K966" s="199"/>
      <c r="L966" s="199"/>
    </row>
    <row r="967" spans="1:12" ht="24" customHeight="1">
      <c r="A967" s="225"/>
      <c r="B967" s="302" t="s">
        <v>820</v>
      </c>
      <c r="C967" s="260">
        <v>1</v>
      </c>
      <c r="D967" s="297">
        <v>8.75</v>
      </c>
      <c r="E967" s="260">
        <v>12</v>
      </c>
      <c r="F967" s="217"/>
      <c r="G967" s="217"/>
      <c r="H967" s="212">
        <f t="shared" si="48"/>
        <v>105</v>
      </c>
      <c r="I967" s="219"/>
      <c r="J967" s="222"/>
      <c r="K967" s="199"/>
      <c r="L967" s="199"/>
    </row>
    <row r="968" spans="1:12" ht="24" customHeight="1">
      <c r="A968" s="225"/>
      <c r="B968" s="302" t="s">
        <v>811</v>
      </c>
      <c r="C968" s="260">
        <v>1</v>
      </c>
      <c r="D968" s="297">
        <v>13.5</v>
      </c>
      <c r="E968" s="260">
        <v>28.25</v>
      </c>
      <c r="F968" s="217"/>
      <c r="G968" s="217"/>
      <c r="H968" s="212">
        <f t="shared" si="48"/>
        <v>381.375</v>
      </c>
      <c r="I968" s="219"/>
      <c r="J968" s="222"/>
      <c r="K968" s="199"/>
      <c r="L968" s="199"/>
    </row>
    <row r="969" spans="1:12" ht="24" customHeight="1">
      <c r="A969" s="225"/>
      <c r="B969" s="302" t="s">
        <v>812</v>
      </c>
      <c r="C969" s="260">
        <v>1</v>
      </c>
      <c r="D969" s="297">
        <v>22.25</v>
      </c>
      <c r="E969" s="260">
        <v>8</v>
      </c>
      <c r="F969" s="217"/>
      <c r="G969" s="217"/>
      <c r="H969" s="212">
        <f t="shared" si="48"/>
        <v>178</v>
      </c>
      <c r="I969" s="219"/>
      <c r="J969" s="222"/>
      <c r="K969" s="199"/>
      <c r="L969" s="199"/>
    </row>
    <row r="970" spans="1:12" ht="24" customHeight="1">
      <c r="A970" s="225"/>
      <c r="B970" s="302" t="s">
        <v>821</v>
      </c>
      <c r="C970" s="260">
        <v>1</v>
      </c>
      <c r="D970" s="297">
        <v>12.5</v>
      </c>
      <c r="E970" s="260">
        <v>8</v>
      </c>
      <c r="F970" s="217"/>
      <c r="G970" s="217"/>
      <c r="H970" s="212">
        <f t="shared" si="48"/>
        <v>100</v>
      </c>
      <c r="I970" s="219"/>
      <c r="J970" s="222"/>
      <c r="K970" s="199"/>
      <c r="L970" s="199"/>
    </row>
    <row r="971" spans="1:12" ht="24" customHeight="1">
      <c r="A971" s="225"/>
      <c r="B971" s="302" t="s">
        <v>809</v>
      </c>
      <c r="C971" s="260">
        <v>1</v>
      </c>
      <c r="D971" s="297">
        <v>4.25</v>
      </c>
      <c r="E971" s="260">
        <v>7.25</v>
      </c>
      <c r="F971" s="217"/>
      <c r="G971" s="217"/>
      <c r="H971" s="212">
        <f t="shared" si="48"/>
        <v>30.8125</v>
      </c>
      <c r="I971" s="219"/>
      <c r="J971" s="222"/>
      <c r="K971" s="199"/>
      <c r="L971" s="199"/>
    </row>
    <row r="972" spans="1:12" ht="24" customHeight="1">
      <c r="A972" s="225"/>
      <c r="B972" s="302" t="s">
        <v>1115</v>
      </c>
      <c r="C972" s="260">
        <v>1</v>
      </c>
      <c r="D972" s="297">
        <v>10.5</v>
      </c>
      <c r="E972" s="260">
        <v>17</v>
      </c>
      <c r="F972" s="217"/>
      <c r="G972" s="217"/>
      <c r="H972" s="212">
        <f t="shared" si="48"/>
        <v>178.5</v>
      </c>
      <c r="I972" s="219"/>
      <c r="J972" s="222"/>
      <c r="K972" s="199"/>
      <c r="L972" s="199"/>
    </row>
    <row r="973" spans="1:12" ht="24" customHeight="1">
      <c r="A973" s="225"/>
      <c r="B973" s="194" t="s">
        <v>606</v>
      </c>
      <c r="C973" s="260"/>
      <c r="D973" s="297"/>
      <c r="E973" s="260"/>
      <c r="F973" s="217"/>
      <c r="G973" s="217"/>
      <c r="H973" s="212"/>
      <c r="I973" s="219"/>
      <c r="J973" s="222"/>
      <c r="K973" s="199"/>
      <c r="L973" s="199"/>
    </row>
    <row r="974" spans="1:12" ht="24" customHeight="1">
      <c r="A974" s="225"/>
      <c r="B974" s="302" t="s">
        <v>823</v>
      </c>
      <c r="C974" s="260">
        <v>1</v>
      </c>
      <c r="D974" s="297">
        <v>10.25</v>
      </c>
      <c r="E974" s="260">
        <v>10.75</v>
      </c>
      <c r="F974" s="217"/>
      <c r="G974" s="217"/>
      <c r="H974" s="212">
        <f t="shared" ref="H974:H989" si="49">C974*D974*E974</f>
        <v>110.1875</v>
      </c>
      <c r="I974" s="219"/>
      <c r="J974" s="222"/>
      <c r="K974" s="199"/>
      <c r="L974" s="199"/>
    </row>
    <row r="975" spans="1:12" ht="24" customHeight="1">
      <c r="A975" s="225"/>
      <c r="B975" s="320" t="s">
        <v>824</v>
      </c>
      <c r="C975" s="260">
        <v>1</v>
      </c>
      <c r="D975" s="297">
        <v>7.5</v>
      </c>
      <c r="E975" s="260">
        <v>8</v>
      </c>
      <c r="F975" s="217"/>
      <c r="G975" s="217"/>
      <c r="H975" s="212">
        <f t="shared" si="49"/>
        <v>60</v>
      </c>
      <c r="I975" s="219"/>
      <c r="J975" s="222"/>
      <c r="K975" s="199"/>
      <c r="L975" s="199"/>
    </row>
    <row r="976" spans="1:12" ht="24" customHeight="1">
      <c r="A976" s="417"/>
      <c r="B976" s="237" t="s">
        <v>825</v>
      </c>
      <c r="C976" s="303">
        <v>1</v>
      </c>
      <c r="D976" s="297">
        <v>37.75</v>
      </c>
      <c r="E976" s="260">
        <v>11.5</v>
      </c>
      <c r="F976" s="217"/>
      <c r="G976" s="217"/>
      <c r="H976" s="212">
        <f t="shared" si="49"/>
        <v>434.125</v>
      </c>
      <c r="I976" s="219"/>
      <c r="J976" s="222"/>
      <c r="K976" s="199"/>
      <c r="L976" s="199"/>
    </row>
    <row r="977" spans="1:12" ht="24" customHeight="1">
      <c r="A977" s="417"/>
      <c r="B977" s="237"/>
      <c r="C977" s="303">
        <v>1</v>
      </c>
      <c r="D977" s="297">
        <v>37.5</v>
      </c>
      <c r="E977" s="260">
        <v>13</v>
      </c>
      <c r="F977" s="217"/>
      <c r="G977" s="217"/>
      <c r="H977" s="212">
        <f t="shared" si="49"/>
        <v>487.5</v>
      </c>
      <c r="I977" s="219"/>
      <c r="J977" s="222"/>
      <c r="K977" s="199"/>
      <c r="L977" s="199"/>
    </row>
    <row r="978" spans="1:12" ht="24" customHeight="1">
      <c r="A978" s="225"/>
      <c r="B978" s="302" t="s">
        <v>826</v>
      </c>
      <c r="C978" s="260">
        <v>1</v>
      </c>
      <c r="D978" s="297">
        <v>7</v>
      </c>
      <c r="E978" s="260">
        <v>12.5</v>
      </c>
      <c r="F978" s="217"/>
      <c r="G978" s="217"/>
      <c r="H978" s="212">
        <f t="shared" si="49"/>
        <v>87.5</v>
      </c>
      <c r="I978" s="219"/>
      <c r="J978" s="222"/>
      <c r="K978" s="199"/>
      <c r="L978" s="199"/>
    </row>
    <row r="979" spans="1:12" ht="24" customHeight="1">
      <c r="A979" s="225"/>
      <c r="B979" s="302" t="s">
        <v>607</v>
      </c>
      <c r="C979" s="260">
        <v>1</v>
      </c>
      <c r="D979" s="297">
        <v>12.25</v>
      </c>
      <c r="E979" s="260">
        <v>8.5</v>
      </c>
      <c r="F979" s="217"/>
      <c r="G979" s="217"/>
      <c r="H979" s="212">
        <f t="shared" si="49"/>
        <v>104.125</v>
      </c>
      <c r="I979" s="219"/>
      <c r="J979" s="222"/>
      <c r="K979" s="199"/>
      <c r="L979" s="199"/>
    </row>
    <row r="980" spans="1:12" ht="24" customHeight="1">
      <c r="A980" s="225"/>
      <c r="B980" s="302" t="s">
        <v>757</v>
      </c>
      <c r="C980" s="260">
        <v>1</v>
      </c>
      <c r="D980" s="297">
        <v>37.5</v>
      </c>
      <c r="E980" s="260">
        <v>24.75</v>
      </c>
      <c r="F980" s="217"/>
      <c r="G980" s="217"/>
      <c r="H980" s="212">
        <f t="shared" si="49"/>
        <v>928.125</v>
      </c>
      <c r="I980" s="219"/>
      <c r="J980" s="222"/>
      <c r="K980" s="199"/>
      <c r="L980" s="199"/>
    </row>
    <row r="981" spans="1:12" ht="24" customHeight="1">
      <c r="A981" s="225"/>
      <c r="B981" s="302" t="s">
        <v>758</v>
      </c>
      <c r="C981" s="260">
        <v>1</v>
      </c>
      <c r="D981" s="297">
        <v>10.5</v>
      </c>
      <c r="E981" s="260">
        <v>13.25</v>
      </c>
      <c r="F981" s="217"/>
      <c r="G981" s="217"/>
      <c r="H981" s="212">
        <f t="shared" si="49"/>
        <v>139.125</v>
      </c>
      <c r="I981" s="219"/>
      <c r="J981" s="222"/>
      <c r="K981" s="199"/>
      <c r="L981" s="199"/>
    </row>
    <row r="982" spans="1:12" ht="24" customHeight="1">
      <c r="A982" s="225"/>
      <c r="B982" s="302" t="s">
        <v>756</v>
      </c>
      <c r="C982" s="260">
        <v>1</v>
      </c>
      <c r="D982" s="297">
        <v>7.5</v>
      </c>
      <c r="E982" s="260">
        <v>7</v>
      </c>
      <c r="F982" s="217"/>
      <c r="G982" s="217"/>
      <c r="H982" s="212">
        <f t="shared" si="49"/>
        <v>52.5</v>
      </c>
      <c r="I982" s="219"/>
      <c r="J982" s="222"/>
      <c r="K982" s="199"/>
      <c r="L982" s="199"/>
    </row>
    <row r="983" spans="1:12" ht="24" customHeight="1">
      <c r="A983" s="225"/>
      <c r="B983" s="302"/>
      <c r="C983" s="260">
        <v>1</v>
      </c>
      <c r="D983" s="297">
        <v>17.5</v>
      </c>
      <c r="E983" s="260">
        <v>5</v>
      </c>
      <c r="F983" s="217"/>
      <c r="G983" s="217"/>
      <c r="H983" s="212">
        <f t="shared" si="49"/>
        <v>87.5</v>
      </c>
      <c r="I983" s="219"/>
      <c r="J983" s="222"/>
      <c r="K983" s="199"/>
      <c r="L983" s="199"/>
    </row>
    <row r="984" spans="1:12" ht="24" customHeight="1">
      <c r="A984" s="225"/>
      <c r="B984" s="302" t="s">
        <v>827</v>
      </c>
      <c r="C984" s="260">
        <v>1</v>
      </c>
      <c r="D984" s="297">
        <v>24.75</v>
      </c>
      <c r="E984" s="260">
        <v>11.75</v>
      </c>
      <c r="F984" s="217"/>
      <c r="G984" s="217"/>
      <c r="H984" s="212">
        <f t="shared" si="49"/>
        <v>290.8125</v>
      </c>
      <c r="I984" s="219"/>
      <c r="J984" s="222"/>
      <c r="K984" s="199"/>
      <c r="L984" s="199"/>
    </row>
    <row r="985" spans="1:12" ht="24" customHeight="1">
      <c r="A985" s="225"/>
      <c r="B985" s="302" t="s">
        <v>828</v>
      </c>
      <c r="C985" s="260">
        <v>1</v>
      </c>
      <c r="D985" s="297">
        <v>13.5</v>
      </c>
      <c r="E985" s="260">
        <v>15.5</v>
      </c>
      <c r="F985" s="217"/>
      <c r="G985" s="217"/>
      <c r="H985" s="212">
        <f t="shared" si="49"/>
        <v>209.25</v>
      </c>
      <c r="I985" s="219"/>
      <c r="J985" s="222"/>
      <c r="K985" s="199"/>
      <c r="L985" s="199"/>
    </row>
    <row r="986" spans="1:12" ht="24" customHeight="1">
      <c r="A986" s="225"/>
      <c r="B986" s="302" t="s">
        <v>608</v>
      </c>
      <c r="C986" s="260">
        <v>1</v>
      </c>
      <c r="D986" s="297">
        <v>13.5</v>
      </c>
      <c r="E986" s="260">
        <v>14.25</v>
      </c>
      <c r="F986" s="217"/>
      <c r="G986" s="217"/>
      <c r="H986" s="212">
        <f t="shared" si="49"/>
        <v>192.375</v>
      </c>
      <c r="I986" s="219"/>
      <c r="J986" s="222"/>
      <c r="K986" s="199"/>
      <c r="L986" s="199"/>
    </row>
    <row r="987" spans="1:12" ht="24" customHeight="1">
      <c r="A987" s="225"/>
      <c r="B987" s="302" t="s">
        <v>609</v>
      </c>
      <c r="C987" s="260">
        <v>1</v>
      </c>
      <c r="D987" s="297">
        <v>17</v>
      </c>
      <c r="E987" s="260">
        <v>19.25</v>
      </c>
      <c r="F987" s="217"/>
      <c r="G987" s="217"/>
      <c r="H987" s="212">
        <f t="shared" si="49"/>
        <v>327.25</v>
      </c>
      <c r="I987" s="219"/>
      <c r="J987" s="222"/>
      <c r="K987" s="199"/>
      <c r="L987" s="199"/>
    </row>
    <row r="988" spans="1:12" ht="24" customHeight="1">
      <c r="A988" s="225"/>
      <c r="B988" s="302" t="s">
        <v>829</v>
      </c>
      <c r="C988" s="260">
        <v>1</v>
      </c>
      <c r="D988" s="297">
        <v>3.25</v>
      </c>
      <c r="E988" s="260">
        <v>8.25</v>
      </c>
      <c r="F988" s="217"/>
      <c r="G988" s="217"/>
      <c r="H988" s="212">
        <f t="shared" si="49"/>
        <v>26.8125</v>
      </c>
      <c r="I988" s="219"/>
      <c r="J988" s="222"/>
      <c r="K988" s="199"/>
      <c r="L988" s="199"/>
    </row>
    <row r="989" spans="1:12" ht="24" customHeight="1">
      <c r="A989" s="225"/>
      <c r="B989" s="302" t="s">
        <v>1115</v>
      </c>
      <c r="C989" s="260">
        <v>1</v>
      </c>
      <c r="D989" s="297">
        <v>10.5</v>
      </c>
      <c r="E989" s="260">
        <v>17</v>
      </c>
      <c r="F989" s="217"/>
      <c r="G989" s="217"/>
      <c r="H989" s="212">
        <f t="shared" si="49"/>
        <v>178.5</v>
      </c>
      <c r="I989" s="219"/>
      <c r="J989" s="222"/>
      <c r="K989" s="199"/>
      <c r="L989" s="199"/>
    </row>
    <row r="990" spans="1:12" ht="24" customHeight="1">
      <c r="A990" s="416"/>
      <c r="B990" s="455"/>
      <c r="C990" s="303"/>
      <c r="D990" s="297"/>
      <c r="E990" s="260"/>
      <c r="F990" s="217"/>
      <c r="G990" s="217"/>
      <c r="H990" s="212"/>
      <c r="I990" s="219"/>
      <c r="J990" s="222"/>
      <c r="K990" s="199"/>
      <c r="L990" s="199"/>
    </row>
    <row r="991" spans="1:12" ht="24" customHeight="1">
      <c r="A991" s="225"/>
      <c r="B991" s="451" t="s">
        <v>918</v>
      </c>
      <c r="C991" s="216"/>
      <c r="D991" s="216"/>
      <c r="E991" s="216"/>
      <c r="F991" s="217"/>
      <c r="G991" s="217"/>
      <c r="H991" s="218"/>
      <c r="I991" s="219"/>
      <c r="J991" s="222"/>
      <c r="K991" s="199"/>
      <c r="L991" s="199"/>
    </row>
    <row r="992" spans="1:12" ht="24" customHeight="1">
      <c r="A992" s="417"/>
      <c r="B992" s="367"/>
      <c r="C992" s="364"/>
      <c r="D992" s="221"/>
      <c r="E992" s="220"/>
      <c r="F992" s="217"/>
      <c r="G992" s="217"/>
      <c r="H992" s="218"/>
      <c r="I992" s="219"/>
      <c r="J992" s="222"/>
      <c r="K992" s="199"/>
      <c r="L992" s="199"/>
    </row>
    <row r="993" spans="1:12" ht="24" customHeight="1">
      <c r="A993" s="417"/>
      <c r="B993" s="195" t="s">
        <v>605</v>
      </c>
      <c r="C993" s="303"/>
      <c r="D993" s="297"/>
      <c r="E993" s="260"/>
      <c r="F993" s="217"/>
      <c r="G993" s="217"/>
      <c r="H993" s="212"/>
      <c r="I993" s="219"/>
      <c r="J993" s="222"/>
      <c r="K993" s="199"/>
      <c r="L993" s="199"/>
    </row>
    <row r="994" spans="1:12" ht="24" customHeight="1">
      <c r="A994" s="417"/>
      <c r="B994" s="237" t="s">
        <v>830</v>
      </c>
      <c r="C994" s="303">
        <v>1</v>
      </c>
      <c r="D994" s="297">
        <v>5</v>
      </c>
      <c r="E994" s="260">
        <v>7.5</v>
      </c>
      <c r="F994" s="217"/>
      <c r="G994" s="217"/>
      <c r="H994" s="212">
        <f t="shared" ref="H994:H1001" si="50">C994*D994*E994</f>
        <v>37.5</v>
      </c>
      <c r="I994" s="219"/>
      <c r="J994" s="222"/>
      <c r="K994" s="199"/>
      <c r="L994" s="199"/>
    </row>
    <row r="995" spans="1:12" ht="24" customHeight="1">
      <c r="A995" s="417"/>
      <c r="B995" s="237" t="s">
        <v>832</v>
      </c>
      <c r="C995" s="304">
        <v>1</v>
      </c>
      <c r="D995" s="305">
        <v>6.5</v>
      </c>
      <c r="E995" s="306">
        <v>6</v>
      </c>
      <c r="F995" s="234"/>
      <c r="G995" s="234"/>
      <c r="H995" s="212">
        <f t="shared" si="50"/>
        <v>39</v>
      </c>
      <c r="I995" s="219"/>
      <c r="J995" s="222"/>
      <c r="K995" s="199"/>
      <c r="L995" s="199"/>
    </row>
    <row r="996" spans="1:12" ht="24" customHeight="1">
      <c r="A996" s="422"/>
      <c r="B996" s="237" t="s">
        <v>833</v>
      </c>
      <c r="C996" s="307">
        <v>1</v>
      </c>
      <c r="D996" s="239">
        <v>3.5</v>
      </c>
      <c r="E996" s="238">
        <v>12</v>
      </c>
      <c r="F996" s="240"/>
      <c r="G996" s="334"/>
      <c r="H996" s="212">
        <f t="shared" si="50"/>
        <v>42</v>
      </c>
      <c r="I996" s="219"/>
      <c r="J996" s="222"/>
      <c r="K996" s="199"/>
      <c r="L996" s="199"/>
    </row>
    <row r="997" spans="1:12" ht="24" customHeight="1">
      <c r="A997" s="424"/>
      <c r="B997" s="237" t="s">
        <v>834</v>
      </c>
      <c r="C997" s="307">
        <v>1</v>
      </c>
      <c r="D997" s="239">
        <v>4.75</v>
      </c>
      <c r="E997" s="238">
        <v>3.5</v>
      </c>
      <c r="F997" s="240"/>
      <c r="G997" s="334"/>
      <c r="H997" s="212">
        <f t="shared" si="50"/>
        <v>16.625</v>
      </c>
      <c r="I997" s="289"/>
      <c r="J997" s="222"/>
      <c r="K997" s="199"/>
      <c r="L997" s="199"/>
    </row>
    <row r="998" spans="1:12" ht="24" customHeight="1">
      <c r="A998" s="425"/>
      <c r="B998" s="308" t="s">
        <v>836</v>
      </c>
      <c r="C998" s="309">
        <v>1</v>
      </c>
      <c r="D998" s="291">
        <v>4</v>
      </c>
      <c r="E998" s="290">
        <v>4</v>
      </c>
      <c r="F998" s="292"/>
      <c r="G998" s="334"/>
      <c r="H998" s="235">
        <f t="shared" si="50"/>
        <v>16</v>
      </c>
      <c r="I998" s="293"/>
      <c r="J998" s="222"/>
      <c r="K998" s="199"/>
      <c r="L998" s="199"/>
    </row>
    <row r="999" spans="1:12" ht="24" customHeight="1">
      <c r="A999" s="243"/>
      <c r="B999" s="245" t="s">
        <v>837</v>
      </c>
      <c r="C999" s="309">
        <v>1</v>
      </c>
      <c r="D999" s="245">
        <v>3.75</v>
      </c>
      <c r="E999" s="245">
        <v>12</v>
      </c>
      <c r="F999" s="245"/>
      <c r="G999" s="593"/>
      <c r="H999" s="235">
        <f t="shared" si="50"/>
        <v>45</v>
      </c>
      <c r="I999" s="242"/>
      <c r="J999" s="222"/>
      <c r="K999" s="199"/>
      <c r="L999" s="199"/>
    </row>
    <row r="1000" spans="1:12" ht="24" customHeight="1">
      <c r="A1000" s="243"/>
      <c r="B1000" s="237" t="s">
        <v>839</v>
      </c>
      <c r="C1000" s="238">
        <v>1</v>
      </c>
      <c r="D1000" s="239">
        <v>8</v>
      </c>
      <c r="E1000" s="238">
        <v>4</v>
      </c>
      <c r="F1000" s="240"/>
      <c r="G1000" s="240"/>
      <c r="H1000" s="241">
        <f t="shared" si="50"/>
        <v>32</v>
      </c>
      <c r="I1000" s="242"/>
      <c r="J1000" s="222"/>
      <c r="K1000" s="199"/>
      <c r="L1000" s="199"/>
    </row>
    <row r="1001" spans="1:12" ht="24" customHeight="1">
      <c r="A1001" s="243"/>
      <c r="B1001" s="308" t="s">
        <v>838</v>
      </c>
      <c r="C1001" s="238">
        <v>1</v>
      </c>
      <c r="D1001" s="239">
        <v>3.75</v>
      </c>
      <c r="E1001" s="238">
        <v>8</v>
      </c>
      <c r="F1001" s="240"/>
      <c r="G1001" s="240"/>
      <c r="H1001" s="241">
        <f t="shared" si="50"/>
        <v>30</v>
      </c>
      <c r="I1001" s="242"/>
      <c r="J1001" s="222"/>
      <c r="K1001" s="199"/>
      <c r="L1001" s="199"/>
    </row>
    <row r="1002" spans="1:12" ht="24" customHeight="1">
      <c r="A1002" s="243"/>
      <c r="B1002" s="237"/>
      <c r="C1002" s="238"/>
      <c r="D1002" s="239"/>
      <c r="E1002" s="238"/>
      <c r="F1002" s="240"/>
      <c r="G1002" s="240"/>
      <c r="H1002" s="241"/>
      <c r="I1002" s="242"/>
      <c r="J1002" s="222"/>
      <c r="K1002" s="199"/>
      <c r="L1002" s="199"/>
    </row>
    <row r="1003" spans="1:12" ht="24" customHeight="1">
      <c r="A1003" s="243"/>
      <c r="B1003" s="194" t="s">
        <v>753</v>
      </c>
      <c r="C1003" s="238"/>
      <c r="D1003" s="239"/>
      <c r="E1003" s="238"/>
      <c r="F1003" s="240"/>
      <c r="G1003" s="240"/>
      <c r="H1003" s="241"/>
      <c r="I1003" s="242"/>
      <c r="J1003" s="222"/>
      <c r="K1003" s="199"/>
      <c r="L1003" s="199"/>
    </row>
    <row r="1004" spans="1:12" ht="24" customHeight="1">
      <c r="A1004" s="243"/>
      <c r="B1004" s="237" t="s">
        <v>840</v>
      </c>
      <c r="C1004" s="304">
        <v>1</v>
      </c>
      <c r="D1004" s="305">
        <v>6.5</v>
      </c>
      <c r="E1004" s="306">
        <v>6</v>
      </c>
      <c r="F1004" s="234"/>
      <c r="G1004" s="234"/>
      <c r="H1004" s="212">
        <f t="shared" ref="H1004:H1010" si="51">C1004*D1004*E1004</f>
        <v>39</v>
      </c>
      <c r="I1004" s="242"/>
      <c r="J1004" s="222"/>
      <c r="K1004" s="199"/>
      <c r="L1004" s="199"/>
    </row>
    <row r="1005" spans="1:12" ht="24" customHeight="1">
      <c r="A1005" s="243"/>
      <c r="B1005" s="237" t="s">
        <v>833</v>
      </c>
      <c r="C1005" s="307">
        <v>1</v>
      </c>
      <c r="D1005" s="239">
        <v>3.5</v>
      </c>
      <c r="E1005" s="238">
        <v>12</v>
      </c>
      <c r="F1005" s="240"/>
      <c r="G1005" s="334"/>
      <c r="H1005" s="212">
        <f t="shared" si="51"/>
        <v>42</v>
      </c>
      <c r="I1005" s="242"/>
      <c r="J1005" s="222"/>
      <c r="K1005" s="199"/>
      <c r="L1005" s="199"/>
    </row>
    <row r="1006" spans="1:12" ht="24" customHeight="1">
      <c r="A1006" s="426"/>
      <c r="B1006" s="237" t="s">
        <v>834</v>
      </c>
      <c r="C1006" s="307">
        <v>1</v>
      </c>
      <c r="D1006" s="239">
        <v>4.75</v>
      </c>
      <c r="E1006" s="238">
        <v>3.5</v>
      </c>
      <c r="F1006" s="240"/>
      <c r="G1006" s="334"/>
      <c r="H1006" s="212">
        <f t="shared" si="51"/>
        <v>16.625</v>
      </c>
      <c r="I1006" s="310"/>
      <c r="J1006" s="222"/>
      <c r="K1006" s="199"/>
      <c r="L1006" s="199"/>
    </row>
    <row r="1007" spans="1:12" ht="24" customHeight="1">
      <c r="A1007" s="424"/>
      <c r="B1007" s="308" t="s">
        <v>836</v>
      </c>
      <c r="C1007" s="309">
        <v>1</v>
      </c>
      <c r="D1007" s="291">
        <v>4</v>
      </c>
      <c r="E1007" s="290">
        <v>4</v>
      </c>
      <c r="F1007" s="292"/>
      <c r="G1007" s="334"/>
      <c r="H1007" s="235">
        <f t="shared" si="51"/>
        <v>16</v>
      </c>
      <c r="I1007" s="289"/>
      <c r="J1007" s="222"/>
      <c r="K1007" s="199"/>
      <c r="L1007" s="199"/>
    </row>
    <row r="1008" spans="1:12" ht="24" customHeight="1">
      <c r="A1008" s="424"/>
      <c r="B1008" s="245" t="s">
        <v>837</v>
      </c>
      <c r="C1008" s="309">
        <v>1</v>
      </c>
      <c r="D1008" s="245">
        <v>3.75</v>
      </c>
      <c r="E1008" s="245">
        <v>12</v>
      </c>
      <c r="F1008" s="245"/>
      <c r="G1008" s="593"/>
      <c r="H1008" s="235">
        <f t="shared" si="51"/>
        <v>45</v>
      </c>
      <c r="I1008" s="289"/>
      <c r="J1008" s="222"/>
      <c r="K1008" s="199"/>
      <c r="L1008" s="199"/>
    </row>
    <row r="1009" spans="1:12" ht="24" customHeight="1">
      <c r="A1009" s="424"/>
      <c r="B1009" s="237" t="s">
        <v>839</v>
      </c>
      <c r="C1009" s="238">
        <v>1</v>
      </c>
      <c r="D1009" s="239">
        <v>8</v>
      </c>
      <c r="E1009" s="238">
        <v>4</v>
      </c>
      <c r="F1009" s="240"/>
      <c r="G1009" s="240"/>
      <c r="H1009" s="241">
        <f t="shared" si="51"/>
        <v>32</v>
      </c>
      <c r="I1009" s="289"/>
      <c r="J1009" s="222"/>
      <c r="K1009" s="199"/>
      <c r="L1009" s="199"/>
    </row>
    <row r="1010" spans="1:12" ht="24" customHeight="1">
      <c r="A1010" s="424"/>
      <c r="B1010" s="308" t="s">
        <v>838</v>
      </c>
      <c r="C1010" s="238">
        <v>1</v>
      </c>
      <c r="D1010" s="239">
        <v>3.75</v>
      </c>
      <c r="E1010" s="238">
        <v>8</v>
      </c>
      <c r="F1010" s="240"/>
      <c r="G1010" s="240"/>
      <c r="H1010" s="241">
        <f t="shared" si="51"/>
        <v>30</v>
      </c>
      <c r="I1010" s="289"/>
      <c r="J1010" s="222"/>
      <c r="K1010" s="199"/>
      <c r="L1010" s="199"/>
    </row>
    <row r="1011" spans="1:12" ht="24" customHeight="1">
      <c r="A1011" s="243"/>
      <c r="B1011" s="237"/>
      <c r="C1011" s="238"/>
      <c r="D1011" s="239"/>
      <c r="E1011" s="290"/>
      <c r="F1011" s="292"/>
      <c r="G1011" s="292"/>
      <c r="H1011" s="311"/>
      <c r="I1011" s="293"/>
      <c r="J1011" s="222"/>
      <c r="K1011" s="199"/>
      <c r="L1011" s="199"/>
    </row>
    <row r="1012" spans="1:12" ht="24" customHeight="1">
      <c r="A1012" s="427"/>
      <c r="B1012" s="196" t="s">
        <v>606</v>
      </c>
      <c r="C1012" s="312"/>
      <c r="D1012" s="313"/>
      <c r="E1012" s="290"/>
      <c r="F1012" s="292"/>
      <c r="G1012" s="292"/>
      <c r="H1012" s="311"/>
      <c r="I1012" s="293"/>
      <c r="J1012" s="222"/>
      <c r="K1012" s="199"/>
      <c r="L1012" s="199"/>
    </row>
    <row r="1013" spans="1:12" ht="24" customHeight="1">
      <c r="A1013" s="243"/>
      <c r="B1013" s="237" t="s">
        <v>841</v>
      </c>
      <c r="C1013" s="238">
        <v>1</v>
      </c>
      <c r="D1013" s="239">
        <v>6.5</v>
      </c>
      <c r="E1013" s="238">
        <v>6</v>
      </c>
      <c r="F1013" s="240"/>
      <c r="G1013" s="240"/>
      <c r="H1013" s="241">
        <f>C1013*D1013*E1013</f>
        <v>39</v>
      </c>
      <c r="I1013" s="242"/>
      <c r="J1013" s="222"/>
      <c r="K1013" s="199"/>
      <c r="L1013" s="199"/>
    </row>
    <row r="1014" spans="1:12" ht="24" customHeight="1">
      <c r="A1014" s="243"/>
      <c r="B1014" s="237" t="s">
        <v>842</v>
      </c>
      <c r="C1014" s="238">
        <v>1</v>
      </c>
      <c r="D1014" s="239">
        <v>4</v>
      </c>
      <c r="E1014" s="238">
        <v>7.5</v>
      </c>
      <c r="F1014" s="240"/>
      <c r="G1014" s="240"/>
      <c r="H1014" s="241">
        <f>C1014*D1014*E1014</f>
        <v>30</v>
      </c>
      <c r="I1014" s="242"/>
      <c r="J1014" s="222"/>
      <c r="K1014" s="199"/>
      <c r="L1014" s="199"/>
    </row>
    <row r="1015" spans="1:12" ht="24" customHeight="1">
      <c r="A1015" s="243"/>
      <c r="B1015" s="237" t="s">
        <v>843</v>
      </c>
      <c r="C1015" s="238">
        <v>1</v>
      </c>
      <c r="D1015" s="239">
        <v>7.25</v>
      </c>
      <c r="E1015" s="238">
        <v>7.75</v>
      </c>
      <c r="F1015" s="240"/>
      <c r="G1015" s="240"/>
      <c r="H1015" s="241">
        <f>C1015*D1015*E1015</f>
        <v>56.1875</v>
      </c>
      <c r="I1015" s="242"/>
      <c r="J1015" s="222"/>
      <c r="K1015" s="199"/>
      <c r="L1015" s="199"/>
    </row>
    <row r="1016" spans="1:12" ht="24" customHeight="1">
      <c r="A1016" s="243"/>
      <c r="B1016" s="237"/>
      <c r="C1016" s="238">
        <v>1</v>
      </c>
      <c r="D1016" s="239">
        <v>2.5</v>
      </c>
      <c r="E1016" s="238">
        <v>2</v>
      </c>
      <c r="F1016" s="240"/>
      <c r="G1016" s="240"/>
      <c r="H1016" s="241">
        <f>C1016*D1016*E1016</f>
        <v>5</v>
      </c>
      <c r="I1016" s="242"/>
      <c r="J1016" s="222"/>
      <c r="K1016" s="199"/>
      <c r="L1016" s="199"/>
    </row>
    <row r="1017" spans="1:12" ht="24" customHeight="1">
      <c r="A1017" s="243"/>
      <c r="B1017" s="237" t="s">
        <v>844</v>
      </c>
      <c r="C1017" s="238">
        <v>1</v>
      </c>
      <c r="D1017" s="239">
        <v>13.5</v>
      </c>
      <c r="E1017" s="238">
        <v>6</v>
      </c>
      <c r="F1017" s="240"/>
      <c r="G1017" s="240"/>
      <c r="H1017" s="241">
        <f>C1017*D1017*E1017</f>
        <v>81</v>
      </c>
      <c r="I1017" s="242"/>
      <c r="J1017" s="222"/>
      <c r="K1017" s="199"/>
      <c r="L1017" s="199"/>
    </row>
    <row r="1018" spans="1:12" ht="24" customHeight="1">
      <c r="A1018" s="429"/>
      <c r="B1018" s="308"/>
      <c r="C1018" s="238"/>
      <c r="D1018" s="239"/>
      <c r="E1018" s="238"/>
      <c r="F1018" s="240"/>
      <c r="G1018" s="240"/>
      <c r="H1018" s="241"/>
      <c r="I1018" s="336"/>
      <c r="J1018" s="222"/>
      <c r="K1018" s="199"/>
      <c r="L1018" s="199"/>
    </row>
    <row r="1019" spans="1:12" ht="24" customHeight="1">
      <c r="A1019" s="415"/>
      <c r="B1019" s="454" t="s">
        <v>1066</v>
      </c>
      <c r="C1019" s="246"/>
      <c r="D1019" s="247"/>
      <c r="E1019" s="246"/>
      <c r="F1019" s="246"/>
      <c r="G1019" s="246"/>
      <c r="H1019" s="248"/>
      <c r="I1019" s="219"/>
      <c r="J1019" s="222"/>
      <c r="K1019" s="199"/>
      <c r="L1019" s="199"/>
    </row>
    <row r="1020" spans="1:12" ht="24" customHeight="1">
      <c r="A1020" s="243"/>
      <c r="B1020" s="237" t="s">
        <v>1067</v>
      </c>
      <c r="C1020" s="303">
        <v>1</v>
      </c>
      <c r="D1020" s="297">
        <v>11</v>
      </c>
      <c r="E1020" s="260">
        <v>25</v>
      </c>
      <c r="F1020" s="423"/>
      <c r="G1020" s="423"/>
      <c r="H1020" s="261">
        <f>C1020*D1020*E1020</f>
        <v>275</v>
      </c>
      <c r="I1020" s="219"/>
      <c r="J1020" s="222"/>
      <c r="K1020" s="199"/>
      <c r="L1020" s="199"/>
    </row>
    <row r="1021" spans="1:12" ht="24" customHeight="1">
      <c r="A1021" s="243"/>
      <c r="B1021" s="237" t="s">
        <v>1068</v>
      </c>
      <c r="C1021" s="303">
        <v>1</v>
      </c>
      <c r="D1021" s="297">
        <v>7</v>
      </c>
      <c r="E1021" s="260">
        <v>16</v>
      </c>
      <c r="F1021" s="423"/>
      <c r="G1021" s="423"/>
      <c r="H1021" s="261">
        <f>C1021*D1021*E1021</f>
        <v>112</v>
      </c>
      <c r="I1021" s="219"/>
      <c r="J1021" s="222"/>
      <c r="K1021" s="199"/>
      <c r="L1021" s="199"/>
    </row>
    <row r="1022" spans="1:12" ht="24" customHeight="1">
      <c r="A1022" s="243"/>
      <c r="B1022" s="237" t="s">
        <v>1068</v>
      </c>
      <c r="C1022" s="364">
        <v>1</v>
      </c>
      <c r="D1022" s="221">
        <v>10</v>
      </c>
      <c r="E1022" s="220">
        <v>11</v>
      </c>
      <c r="F1022" s="225"/>
      <c r="G1022" s="225"/>
      <c r="H1022" s="212">
        <f>C1022*D1022*E1022</f>
        <v>110</v>
      </c>
      <c r="I1022" s="219"/>
      <c r="J1022" s="222"/>
      <c r="K1022" s="199"/>
      <c r="L1022" s="199"/>
    </row>
    <row r="1023" spans="1:12" ht="24" customHeight="1">
      <c r="A1023" s="243"/>
      <c r="B1023" s="237"/>
      <c r="C1023" s="238"/>
      <c r="D1023" s="239"/>
      <c r="E1023" s="238"/>
      <c r="F1023" s="240"/>
      <c r="G1023" s="240"/>
      <c r="H1023" s="241"/>
      <c r="I1023" s="242"/>
      <c r="J1023" s="222"/>
      <c r="K1023" s="199"/>
      <c r="L1023" s="199"/>
    </row>
    <row r="1024" spans="1:12" ht="21">
      <c r="A1024" s="243"/>
      <c r="B1024" s="237"/>
      <c r="C1024" s="238"/>
      <c r="D1024" s="239"/>
      <c r="E1024" s="238"/>
      <c r="F1024" s="240"/>
      <c r="G1024" s="240"/>
      <c r="H1024" s="241"/>
      <c r="I1024" s="242"/>
      <c r="J1024" s="222"/>
      <c r="K1024" s="199"/>
      <c r="L1024" s="199"/>
    </row>
    <row r="1025" spans="1:12" ht="15" customHeight="1">
      <c r="A1025" s="434"/>
      <c r="B1025" s="244"/>
      <c r="C1025" s="244"/>
      <c r="D1025" s="244"/>
      <c r="E1025" s="244"/>
      <c r="F1025" s="244"/>
      <c r="G1025" s="244"/>
      <c r="H1025" s="244"/>
      <c r="I1025" s="244"/>
    </row>
    <row r="1026" spans="1:12" ht="26.25">
      <c r="A1026" s="345" t="s">
        <v>977</v>
      </c>
      <c r="B1026" s="356" t="s">
        <v>932</v>
      </c>
      <c r="C1026" s="354"/>
      <c r="D1026" s="354"/>
      <c r="E1026" s="354"/>
      <c r="F1026" s="348" t="s">
        <v>664</v>
      </c>
      <c r="G1026" s="348"/>
      <c r="H1026" s="349">
        <f>H1027/10.764</f>
        <v>768.25529542920856</v>
      </c>
      <c r="I1026" s="355" t="s">
        <v>328</v>
      </c>
      <c r="J1026" s="199"/>
      <c r="K1026" s="199"/>
      <c r="L1026" s="199"/>
    </row>
    <row r="1027" spans="1:12" ht="24" customHeight="1">
      <c r="A1027" s="225"/>
      <c r="B1027" s="194"/>
      <c r="C1027" s="220"/>
      <c r="D1027" s="221"/>
      <c r="E1027" s="220"/>
      <c r="F1027" s="217" t="s">
        <v>620</v>
      </c>
      <c r="G1027" s="217"/>
      <c r="H1027" s="218">
        <f>SUM(H1029:H1103)</f>
        <v>8269.5</v>
      </c>
      <c r="I1027" s="219" t="s">
        <v>621</v>
      </c>
      <c r="J1027" s="222"/>
      <c r="K1027" s="199"/>
      <c r="L1027" s="199"/>
    </row>
    <row r="1028" spans="1:12" ht="24" customHeight="1">
      <c r="A1028" s="225"/>
      <c r="B1028" s="223" t="s">
        <v>622</v>
      </c>
      <c r="C1028" s="220"/>
      <c r="D1028" s="221"/>
      <c r="E1028" s="220"/>
      <c r="F1028" s="217"/>
      <c r="G1028" s="217"/>
      <c r="H1028" s="212"/>
      <c r="I1028" s="219"/>
      <c r="J1028" s="222"/>
      <c r="K1028" s="199"/>
      <c r="L1028" s="199"/>
    </row>
    <row r="1029" spans="1:12" ht="24" customHeight="1">
      <c r="A1029" s="225"/>
      <c r="B1029" s="224" t="s">
        <v>623</v>
      </c>
      <c r="C1029" s="220">
        <v>1</v>
      </c>
      <c r="D1029" s="221">
        <v>18.75</v>
      </c>
      <c r="E1029" s="220">
        <v>23</v>
      </c>
      <c r="F1029" s="217"/>
      <c r="G1029" s="217"/>
      <c r="H1029" s="212">
        <f t="shared" ref="H1029:H1050" si="52">C1029*D1029*E1029</f>
        <v>431.25</v>
      </c>
      <c r="I1029" s="219"/>
      <c r="J1029" s="222"/>
      <c r="K1029" s="199"/>
      <c r="L1029" s="199"/>
    </row>
    <row r="1030" spans="1:12" ht="24" customHeight="1">
      <c r="A1030" s="225"/>
      <c r="B1030" s="224"/>
      <c r="C1030" s="220">
        <v>1</v>
      </c>
      <c r="D1030" s="221">
        <v>12.25</v>
      </c>
      <c r="E1030" s="220">
        <v>23</v>
      </c>
      <c r="F1030" s="217"/>
      <c r="G1030" s="217"/>
      <c r="H1030" s="212">
        <f t="shared" si="52"/>
        <v>281.75</v>
      </c>
      <c r="I1030" s="219"/>
      <c r="J1030" s="222"/>
      <c r="K1030" s="199"/>
      <c r="L1030" s="199"/>
    </row>
    <row r="1031" spans="1:12" ht="24" customHeight="1">
      <c r="A1031" s="225"/>
      <c r="B1031" s="224" t="s">
        <v>665</v>
      </c>
      <c r="C1031" s="220">
        <v>-1</v>
      </c>
      <c r="D1031" s="221">
        <v>5</v>
      </c>
      <c r="E1031" s="220">
        <v>8</v>
      </c>
      <c r="F1031" s="217"/>
      <c r="G1031" s="217"/>
      <c r="H1031" s="212">
        <f t="shared" si="52"/>
        <v>-40</v>
      </c>
      <c r="I1031" s="219"/>
      <c r="J1031" s="222"/>
      <c r="K1031" s="199"/>
      <c r="L1031" s="199"/>
    </row>
    <row r="1032" spans="1:12" ht="24" customHeight="1">
      <c r="A1032" s="225"/>
      <c r="B1032" s="224" t="s">
        <v>780</v>
      </c>
      <c r="C1032" s="220">
        <v>-1</v>
      </c>
      <c r="D1032" s="221">
        <v>8.25</v>
      </c>
      <c r="E1032" s="220">
        <v>11.25</v>
      </c>
      <c r="F1032" s="217"/>
      <c r="G1032" s="217"/>
      <c r="H1032" s="212">
        <f t="shared" si="52"/>
        <v>-92.8125</v>
      </c>
      <c r="I1032" s="219"/>
      <c r="J1032" s="222"/>
      <c r="K1032" s="199"/>
      <c r="L1032" s="199"/>
    </row>
    <row r="1033" spans="1:12" ht="24" customHeight="1">
      <c r="A1033" s="225"/>
      <c r="B1033" s="224" t="s">
        <v>781</v>
      </c>
      <c r="C1033" s="220">
        <v>-1</v>
      </c>
      <c r="D1033" s="221">
        <v>10</v>
      </c>
      <c r="E1033" s="220">
        <v>11.25</v>
      </c>
      <c r="F1033" s="217"/>
      <c r="G1033" s="217"/>
      <c r="H1033" s="212">
        <f t="shared" si="52"/>
        <v>-112.5</v>
      </c>
      <c r="I1033" s="219"/>
      <c r="J1033" s="222"/>
      <c r="K1033" s="199"/>
      <c r="L1033" s="199"/>
    </row>
    <row r="1034" spans="1:12" ht="24" customHeight="1">
      <c r="A1034" s="225"/>
      <c r="B1034" s="224" t="s">
        <v>625</v>
      </c>
      <c r="C1034" s="220">
        <v>1</v>
      </c>
      <c r="D1034" s="221">
        <v>11.75</v>
      </c>
      <c r="E1034" s="220">
        <v>10</v>
      </c>
      <c r="F1034" s="217"/>
      <c r="G1034" s="217"/>
      <c r="H1034" s="212">
        <f t="shared" si="52"/>
        <v>117.5</v>
      </c>
      <c r="I1034" s="219"/>
      <c r="J1034" s="222"/>
      <c r="K1034" s="199"/>
      <c r="L1034" s="199"/>
    </row>
    <row r="1035" spans="1:12" ht="24" customHeight="1">
      <c r="A1035" s="225"/>
      <c r="B1035" s="224" t="s">
        <v>666</v>
      </c>
      <c r="C1035" s="220">
        <v>1</v>
      </c>
      <c r="D1035" s="221">
        <v>10.75</v>
      </c>
      <c r="E1035" s="220">
        <v>1.75</v>
      </c>
      <c r="F1035" s="217"/>
      <c r="G1035" s="217"/>
      <c r="H1035" s="212">
        <f t="shared" si="52"/>
        <v>18.8125</v>
      </c>
      <c r="I1035" s="219"/>
      <c r="J1035" s="222"/>
      <c r="K1035" s="199"/>
      <c r="L1035" s="199"/>
    </row>
    <row r="1036" spans="1:12" ht="24" customHeight="1">
      <c r="A1036" s="415"/>
      <c r="B1036" s="231" t="s">
        <v>782</v>
      </c>
      <c r="C1036" s="232">
        <v>1</v>
      </c>
      <c r="D1036" s="233">
        <v>12</v>
      </c>
      <c r="E1036" s="232">
        <v>1.75</v>
      </c>
      <c r="F1036" s="234"/>
      <c r="G1036" s="234"/>
      <c r="H1036" s="235">
        <f t="shared" si="52"/>
        <v>21</v>
      </c>
      <c r="I1036" s="236"/>
      <c r="J1036" s="222"/>
      <c r="K1036" s="199"/>
      <c r="L1036" s="199"/>
    </row>
    <row r="1037" spans="1:12" ht="24" customHeight="1">
      <c r="A1037" s="243"/>
      <c r="B1037" s="237" t="s">
        <v>783</v>
      </c>
      <c r="C1037" s="238">
        <v>1</v>
      </c>
      <c r="D1037" s="239">
        <f>11.75+12.5</f>
        <v>24.25</v>
      </c>
      <c r="E1037" s="238">
        <v>1.75</v>
      </c>
      <c r="F1037" s="240"/>
      <c r="G1037" s="240"/>
      <c r="H1037" s="241">
        <f t="shared" si="52"/>
        <v>42.4375</v>
      </c>
      <c r="I1037" s="242"/>
      <c r="J1037" s="222"/>
      <c r="K1037" s="199"/>
      <c r="L1037" s="199"/>
    </row>
    <row r="1038" spans="1:12" ht="24" customHeight="1">
      <c r="A1038" s="243"/>
      <c r="B1038" s="237" t="s">
        <v>658</v>
      </c>
      <c r="C1038" s="238">
        <v>1</v>
      </c>
      <c r="D1038" s="239">
        <f>12.25+12</f>
        <v>24.25</v>
      </c>
      <c r="E1038" s="238">
        <v>1.75</v>
      </c>
      <c r="F1038" s="240"/>
      <c r="G1038" s="240"/>
      <c r="H1038" s="241">
        <f t="shared" si="52"/>
        <v>42.4375</v>
      </c>
      <c r="I1038" s="242"/>
      <c r="J1038" s="222"/>
      <c r="K1038" s="199"/>
      <c r="L1038" s="199"/>
    </row>
    <row r="1039" spans="1:12" ht="24" customHeight="1">
      <c r="A1039" s="243"/>
      <c r="B1039" s="237" t="s">
        <v>627</v>
      </c>
      <c r="C1039" s="238">
        <v>1</v>
      </c>
      <c r="D1039" s="239">
        <f>10.75+11.25</f>
        <v>22</v>
      </c>
      <c r="E1039" s="238">
        <v>1.75</v>
      </c>
      <c r="F1039" s="243"/>
      <c r="G1039" s="243"/>
      <c r="H1039" s="241">
        <f t="shared" si="52"/>
        <v>38.5</v>
      </c>
      <c r="I1039" s="242"/>
      <c r="J1039" s="222"/>
      <c r="K1039" s="199"/>
      <c r="L1039" s="199"/>
    </row>
    <row r="1040" spans="1:12" ht="24" customHeight="1">
      <c r="A1040" s="243"/>
      <c r="B1040" s="237" t="s">
        <v>865</v>
      </c>
      <c r="C1040" s="238">
        <v>1</v>
      </c>
      <c r="D1040" s="239">
        <f>5.5+16.75</f>
        <v>22.25</v>
      </c>
      <c r="E1040" s="238">
        <v>10.25</v>
      </c>
      <c r="F1040" s="243"/>
      <c r="G1040" s="243"/>
      <c r="H1040" s="241">
        <f t="shared" si="52"/>
        <v>228.0625</v>
      </c>
      <c r="I1040" s="242"/>
      <c r="J1040" s="222"/>
      <c r="K1040" s="199"/>
      <c r="L1040" s="199"/>
    </row>
    <row r="1041" spans="1:12" ht="24" customHeight="1">
      <c r="A1041" s="434"/>
      <c r="B1041" s="245" t="s">
        <v>861</v>
      </c>
      <c r="C1041" s="245">
        <v>1</v>
      </c>
      <c r="D1041" s="245">
        <f>6.75+4.5+6.75</f>
        <v>18</v>
      </c>
      <c r="E1041" s="245">
        <v>10.25</v>
      </c>
      <c r="F1041" s="245"/>
      <c r="G1041" s="245"/>
      <c r="H1041" s="241">
        <f t="shared" si="52"/>
        <v>184.5</v>
      </c>
      <c r="I1041" s="242"/>
      <c r="J1041" s="222"/>
      <c r="K1041" s="199"/>
      <c r="L1041" s="199"/>
    </row>
    <row r="1042" spans="1:12" ht="24" customHeight="1">
      <c r="A1042" s="434"/>
      <c r="B1042" s="245" t="s">
        <v>851</v>
      </c>
      <c r="C1042" s="245">
        <v>-1</v>
      </c>
      <c r="D1042" s="245">
        <v>3</v>
      </c>
      <c r="E1042" s="245">
        <v>8</v>
      </c>
      <c r="F1042" s="245"/>
      <c r="G1042" s="245"/>
      <c r="H1042" s="241">
        <f t="shared" si="52"/>
        <v>-24</v>
      </c>
      <c r="I1042" s="242"/>
      <c r="J1042" s="222"/>
      <c r="K1042" s="199"/>
      <c r="L1042" s="199"/>
    </row>
    <row r="1043" spans="1:12" ht="24" customHeight="1">
      <c r="A1043" s="434"/>
      <c r="B1043" s="246" t="s">
        <v>631</v>
      </c>
      <c r="C1043" s="246">
        <v>1</v>
      </c>
      <c r="D1043" s="247">
        <f>8+8+12.5+12.5</f>
        <v>41</v>
      </c>
      <c r="E1043" s="246">
        <v>10.25</v>
      </c>
      <c r="F1043" s="246"/>
      <c r="G1043" s="246"/>
      <c r="H1043" s="248">
        <f t="shared" si="52"/>
        <v>420.25</v>
      </c>
      <c r="I1043" s="242"/>
      <c r="J1043" s="222"/>
      <c r="K1043" s="199"/>
      <c r="L1043" s="199"/>
    </row>
    <row r="1044" spans="1:12" ht="24" customHeight="1">
      <c r="A1044" s="434"/>
      <c r="B1044" s="246" t="s">
        <v>851</v>
      </c>
      <c r="C1044" s="246">
        <v>-1</v>
      </c>
      <c r="D1044" s="247">
        <v>3</v>
      </c>
      <c r="E1044" s="246">
        <v>8</v>
      </c>
      <c r="F1044" s="246"/>
      <c r="G1044" s="246"/>
      <c r="H1044" s="248">
        <f t="shared" si="52"/>
        <v>-24</v>
      </c>
      <c r="I1044" s="242"/>
      <c r="J1044" s="222"/>
      <c r="K1044" s="199"/>
      <c r="L1044" s="199"/>
    </row>
    <row r="1045" spans="1:12" ht="24" customHeight="1">
      <c r="A1045" s="435"/>
      <c r="B1045" s="246" t="s">
        <v>630</v>
      </c>
      <c r="C1045" s="246">
        <v>1</v>
      </c>
      <c r="D1045" s="247">
        <f>8.5+8.5+12+13.5</f>
        <v>42.5</v>
      </c>
      <c r="E1045" s="246">
        <v>10.25</v>
      </c>
      <c r="F1045" s="246"/>
      <c r="G1045" s="246"/>
      <c r="H1045" s="248">
        <f t="shared" si="52"/>
        <v>435.625</v>
      </c>
      <c r="I1045" s="246"/>
      <c r="J1045" s="199"/>
      <c r="K1045" s="199"/>
      <c r="L1045" s="199"/>
    </row>
    <row r="1046" spans="1:12" ht="24" customHeight="1">
      <c r="A1046" s="435"/>
      <c r="B1046" s="246" t="s">
        <v>667</v>
      </c>
      <c r="C1046" s="246">
        <v>-1</v>
      </c>
      <c r="D1046" s="247">
        <f>10.75+13.25</f>
        <v>24</v>
      </c>
      <c r="E1046" s="246">
        <v>8.25</v>
      </c>
      <c r="F1046" s="246"/>
      <c r="G1046" s="246"/>
      <c r="H1046" s="248">
        <f t="shared" si="52"/>
        <v>-198</v>
      </c>
      <c r="I1046" s="246"/>
      <c r="J1046" s="199"/>
      <c r="K1046" s="199"/>
      <c r="L1046" s="199"/>
    </row>
    <row r="1047" spans="1:12" ht="24" customHeight="1">
      <c r="A1047" s="435"/>
      <c r="B1047" s="246" t="s">
        <v>862</v>
      </c>
      <c r="C1047" s="246">
        <v>1</v>
      </c>
      <c r="D1047" s="247">
        <f>9+8+22.25+7.5</f>
        <v>46.75</v>
      </c>
      <c r="E1047" s="246">
        <v>10.25</v>
      </c>
      <c r="F1047" s="246"/>
      <c r="G1047" s="246"/>
      <c r="H1047" s="248">
        <f t="shared" si="52"/>
        <v>479.1875</v>
      </c>
      <c r="I1047" s="246"/>
      <c r="J1047" s="199"/>
      <c r="K1047" s="199"/>
      <c r="L1047" s="199"/>
    </row>
    <row r="1048" spans="1:12" ht="24" customHeight="1">
      <c r="A1048" s="435"/>
      <c r="B1048" s="246" t="s">
        <v>863</v>
      </c>
      <c r="C1048" s="246">
        <v>-1</v>
      </c>
      <c r="D1048" s="247">
        <f>5+5+7.5</f>
        <v>17.5</v>
      </c>
      <c r="E1048" s="246">
        <v>8.25</v>
      </c>
      <c r="F1048" s="246"/>
      <c r="G1048" s="246"/>
      <c r="H1048" s="248">
        <f t="shared" si="52"/>
        <v>-144.375</v>
      </c>
      <c r="I1048" s="246"/>
      <c r="J1048" s="199"/>
      <c r="K1048" s="199"/>
      <c r="L1048" s="199"/>
    </row>
    <row r="1049" spans="1:12" ht="24" customHeight="1">
      <c r="A1049" s="435"/>
      <c r="B1049" s="246" t="s">
        <v>864</v>
      </c>
      <c r="C1049" s="246">
        <v>1</v>
      </c>
      <c r="D1049" s="247">
        <v>25.25</v>
      </c>
      <c r="E1049" s="246">
        <v>10.25</v>
      </c>
      <c r="F1049" s="246"/>
      <c r="G1049" s="246"/>
      <c r="H1049" s="248">
        <f t="shared" si="52"/>
        <v>258.8125</v>
      </c>
      <c r="I1049" s="246"/>
      <c r="J1049" s="199"/>
      <c r="K1049" s="199"/>
      <c r="L1049" s="199"/>
    </row>
    <row r="1050" spans="1:12" ht="24" customHeight="1">
      <c r="A1050" s="435"/>
      <c r="B1050" s="246" t="s">
        <v>866</v>
      </c>
      <c r="C1050" s="246">
        <v>-1</v>
      </c>
      <c r="D1050" s="247">
        <f>8+7.25+7.75</f>
        <v>23</v>
      </c>
      <c r="E1050" s="246">
        <v>8.25</v>
      </c>
      <c r="F1050" s="246"/>
      <c r="G1050" s="246"/>
      <c r="H1050" s="248">
        <f t="shared" si="52"/>
        <v>-189.75</v>
      </c>
      <c r="I1050" s="246"/>
      <c r="J1050" s="199"/>
      <c r="K1050" s="199"/>
      <c r="L1050" s="199"/>
    </row>
    <row r="1051" spans="1:12" ht="24" customHeight="1">
      <c r="A1051" s="436"/>
      <c r="B1051" s="249" t="s">
        <v>1116</v>
      </c>
      <c r="C1051" s="246">
        <v>1</v>
      </c>
      <c r="D1051" s="247">
        <v>12</v>
      </c>
      <c r="E1051" s="246">
        <v>17</v>
      </c>
      <c r="F1051" s="246"/>
      <c r="G1051" s="246"/>
      <c r="H1051" s="248">
        <f>D1051*E1051</f>
        <v>204</v>
      </c>
      <c r="I1051" s="452"/>
      <c r="J1051" s="222"/>
      <c r="K1051" s="199"/>
      <c r="L1051" s="199"/>
    </row>
    <row r="1052" spans="1:12" ht="24" customHeight="1">
      <c r="A1052" s="437"/>
      <c r="B1052" s="453" t="s">
        <v>637</v>
      </c>
      <c r="C1052" s="244"/>
      <c r="D1052" s="244"/>
      <c r="E1052" s="244"/>
      <c r="F1052" s="244"/>
      <c r="G1052" s="244"/>
      <c r="H1052" s="244"/>
      <c r="I1052" s="251"/>
      <c r="J1052" s="222"/>
      <c r="K1052" s="199"/>
      <c r="L1052" s="199"/>
    </row>
    <row r="1053" spans="1:12" ht="24" customHeight="1">
      <c r="A1053" s="437"/>
      <c r="B1053" s="246" t="s">
        <v>873</v>
      </c>
      <c r="C1053" s="246">
        <v>1</v>
      </c>
      <c r="D1053" s="247">
        <f>16.75+11.25</f>
        <v>28</v>
      </c>
      <c r="E1053" s="246">
        <v>10.25</v>
      </c>
      <c r="F1053" s="246"/>
      <c r="G1053" s="246"/>
      <c r="H1053" s="248">
        <f>C1053*D1053*E1053</f>
        <v>287</v>
      </c>
      <c r="I1053" s="242"/>
      <c r="J1053" s="222"/>
      <c r="K1053" s="199"/>
      <c r="L1053" s="199"/>
    </row>
    <row r="1054" spans="1:12" ht="24" customHeight="1">
      <c r="A1054" s="438"/>
      <c r="B1054" s="246" t="s">
        <v>866</v>
      </c>
      <c r="C1054" s="246">
        <v>-1</v>
      </c>
      <c r="D1054" s="247">
        <v>2.75</v>
      </c>
      <c r="E1054" s="246">
        <v>8</v>
      </c>
      <c r="F1054" s="246"/>
      <c r="G1054" s="246"/>
      <c r="H1054" s="248">
        <f t="shared" ref="H1054:H1072" si="53">C1054*D1054*E1054</f>
        <v>-22</v>
      </c>
      <c r="I1054" s="242"/>
      <c r="J1054" s="222"/>
      <c r="K1054" s="199"/>
      <c r="L1054" s="199"/>
    </row>
    <row r="1055" spans="1:12" ht="24" customHeight="1">
      <c r="A1055" s="438"/>
      <c r="B1055" s="246" t="s">
        <v>866</v>
      </c>
      <c r="C1055" s="246">
        <v>-1</v>
      </c>
      <c r="D1055" s="247">
        <v>11.25</v>
      </c>
      <c r="E1055" s="246">
        <v>8.25</v>
      </c>
      <c r="F1055" s="246"/>
      <c r="G1055" s="246"/>
      <c r="H1055" s="248">
        <f t="shared" si="53"/>
        <v>-92.8125</v>
      </c>
      <c r="I1055" s="242"/>
      <c r="J1055" s="222"/>
      <c r="K1055" s="199"/>
      <c r="L1055" s="199"/>
    </row>
    <row r="1056" spans="1:12" ht="24" customHeight="1">
      <c r="A1056" s="416"/>
      <c r="B1056" s="246" t="s">
        <v>872</v>
      </c>
      <c r="C1056" s="238">
        <v>1</v>
      </c>
      <c r="D1056" s="239">
        <v>10</v>
      </c>
      <c r="E1056" s="238">
        <v>1.75</v>
      </c>
      <c r="F1056" s="240"/>
      <c r="G1056" s="240"/>
      <c r="H1056" s="248">
        <f t="shared" si="53"/>
        <v>17.5</v>
      </c>
      <c r="I1056" s="242"/>
      <c r="J1056" s="222"/>
      <c r="K1056" s="199"/>
      <c r="L1056" s="199"/>
    </row>
    <row r="1057" spans="1:12" ht="24" customHeight="1">
      <c r="A1057" s="417"/>
      <c r="B1057" s="246" t="s">
        <v>867</v>
      </c>
      <c r="C1057" s="238">
        <v>1</v>
      </c>
      <c r="D1057" s="239">
        <v>12</v>
      </c>
      <c r="E1057" s="238">
        <v>1.75</v>
      </c>
      <c r="F1057" s="243"/>
      <c r="G1057" s="243"/>
      <c r="H1057" s="248">
        <f t="shared" si="53"/>
        <v>21</v>
      </c>
      <c r="I1057" s="242"/>
      <c r="J1057" s="222"/>
      <c r="K1057" s="199"/>
      <c r="L1057" s="199"/>
    </row>
    <row r="1058" spans="1:12" ht="24" customHeight="1">
      <c r="A1058" s="417"/>
      <c r="B1058" s="246" t="s">
        <v>868</v>
      </c>
      <c r="C1058" s="238">
        <v>1</v>
      </c>
      <c r="D1058" s="239">
        <f>12.25+15.25</f>
        <v>27.5</v>
      </c>
      <c r="E1058" s="238">
        <v>1.75</v>
      </c>
      <c r="F1058" s="243"/>
      <c r="G1058" s="243"/>
      <c r="H1058" s="248">
        <f t="shared" si="53"/>
        <v>48.125</v>
      </c>
      <c r="I1058" s="242"/>
      <c r="J1058" s="222"/>
      <c r="K1058" s="199"/>
      <c r="L1058" s="199"/>
    </row>
    <row r="1059" spans="1:12" ht="24" customHeight="1">
      <c r="A1059" s="439"/>
      <c r="B1059" s="246" t="s">
        <v>869</v>
      </c>
      <c r="C1059" s="245">
        <v>1</v>
      </c>
      <c r="D1059" s="245">
        <f>11.75+12.25</f>
        <v>24</v>
      </c>
      <c r="E1059" s="245">
        <v>1.75</v>
      </c>
      <c r="F1059" s="245"/>
      <c r="G1059" s="245"/>
      <c r="H1059" s="248">
        <f t="shared" si="53"/>
        <v>42</v>
      </c>
      <c r="I1059" s="246"/>
      <c r="J1059" s="199"/>
      <c r="K1059" s="199"/>
      <c r="L1059" s="199"/>
    </row>
    <row r="1060" spans="1:12" ht="24" customHeight="1">
      <c r="A1060" s="417"/>
      <c r="B1060" s="246" t="s">
        <v>870</v>
      </c>
      <c r="C1060" s="238">
        <v>1</v>
      </c>
      <c r="D1060" s="239">
        <v>12</v>
      </c>
      <c r="E1060" s="245">
        <v>1.75</v>
      </c>
      <c r="F1060" s="240"/>
      <c r="G1060" s="240"/>
      <c r="H1060" s="248">
        <f t="shared" si="53"/>
        <v>21</v>
      </c>
      <c r="I1060" s="242"/>
      <c r="J1060" s="222"/>
      <c r="K1060" s="199"/>
      <c r="L1060" s="199"/>
    </row>
    <row r="1061" spans="1:12" ht="24" customHeight="1">
      <c r="A1061" s="417"/>
      <c r="B1061" s="246" t="s">
        <v>871</v>
      </c>
      <c r="C1061" s="238">
        <v>1</v>
      </c>
      <c r="D1061" s="245">
        <v>12.75</v>
      </c>
      <c r="E1061" s="245">
        <v>10.25</v>
      </c>
      <c r="F1061" s="245"/>
      <c r="G1061" s="245"/>
      <c r="H1061" s="245">
        <f t="shared" si="53"/>
        <v>130.6875</v>
      </c>
      <c r="I1061" s="242"/>
      <c r="J1061" s="222"/>
      <c r="K1061" s="199"/>
      <c r="L1061" s="199"/>
    </row>
    <row r="1062" spans="1:12" ht="24" customHeight="1">
      <c r="A1062" s="417"/>
      <c r="B1062" s="237"/>
      <c r="C1062" s="238">
        <v>1</v>
      </c>
      <c r="D1062" s="239">
        <v>10.25</v>
      </c>
      <c r="E1062" s="238">
        <v>1.75</v>
      </c>
      <c r="F1062" s="240"/>
      <c r="G1062" s="240"/>
      <c r="H1062" s="241">
        <f t="shared" si="53"/>
        <v>17.9375</v>
      </c>
      <c r="I1062" s="242"/>
      <c r="J1062" s="222"/>
      <c r="K1062" s="199"/>
      <c r="L1062" s="199"/>
    </row>
    <row r="1063" spans="1:12" ht="24" customHeight="1">
      <c r="A1063" s="417"/>
      <c r="B1063" s="246" t="s">
        <v>874</v>
      </c>
      <c r="C1063" s="238">
        <v>1</v>
      </c>
      <c r="D1063" s="239">
        <v>11</v>
      </c>
      <c r="E1063" s="238">
        <v>10.25</v>
      </c>
      <c r="F1063" s="240"/>
      <c r="G1063" s="240"/>
      <c r="H1063" s="241">
        <f t="shared" si="53"/>
        <v>112.75</v>
      </c>
      <c r="I1063" s="242"/>
      <c r="J1063" s="222"/>
      <c r="K1063" s="199"/>
      <c r="L1063" s="199"/>
    </row>
    <row r="1064" spans="1:12" ht="24" customHeight="1">
      <c r="A1064" s="440"/>
      <c r="B1064" s="252"/>
      <c r="C1064" s="252">
        <v>1</v>
      </c>
      <c r="D1064" s="252">
        <v>7.75</v>
      </c>
      <c r="E1064" s="252">
        <v>1.75</v>
      </c>
      <c r="F1064" s="252"/>
      <c r="G1064" s="252"/>
      <c r="H1064" s="241">
        <f t="shared" si="53"/>
        <v>13.5625</v>
      </c>
      <c r="I1064" s="253"/>
      <c r="J1064" s="199"/>
      <c r="K1064" s="199"/>
      <c r="L1064" s="199"/>
    </row>
    <row r="1065" spans="1:12" ht="24" customHeight="1">
      <c r="A1065" s="435"/>
      <c r="B1065" s="246" t="s">
        <v>875</v>
      </c>
      <c r="C1065" s="245">
        <v>1</v>
      </c>
      <c r="D1065" s="245">
        <v>7.5</v>
      </c>
      <c r="E1065" s="245">
        <v>1.75</v>
      </c>
      <c r="F1065" s="245"/>
      <c r="G1065" s="245"/>
      <c r="H1065" s="245">
        <f t="shared" si="53"/>
        <v>13.125</v>
      </c>
      <c r="I1065" s="246"/>
      <c r="J1065" s="199"/>
      <c r="K1065" s="199"/>
      <c r="L1065" s="199"/>
    </row>
    <row r="1066" spans="1:12" ht="24" customHeight="1">
      <c r="A1066" s="435"/>
      <c r="B1066" s="246" t="s">
        <v>876</v>
      </c>
      <c r="C1066" s="245">
        <v>1</v>
      </c>
      <c r="D1066" s="245">
        <v>8</v>
      </c>
      <c r="E1066" s="245">
        <v>1.75</v>
      </c>
      <c r="F1066" s="245"/>
      <c r="G1066" s="245"/>
      <c r="H1066" s="245">
        <f t="shared" si="53"/>
        <v>14</v>
      </c>
      <c r="I1066" s="246"/>
      <c r="J1066" s="199"/>
      <c r="K1066" s="199"/>
      <c r="L1066" s="199"/>
    </row>
    <row r="1067" spans="1:12" ht="24" customHeight="1">
      <c r="A1067" s="435"/>
      <c r="B1067" s="245" t="s">
        <v>877</v>
      </c>
      <c r="C1067" s="245">
        <v>1</v>
      </c>
      <c r="D1067" s="245">
        <f>13.5+28.5+8.5</f>
        <v>50.5</v>
      </c>
      <c r="E1067" s="245">
        <v>10.25</v>
      </c>
      <c r="F1067" s="245"/>
      <c r="G1067" s="245"/>
      <c r="H1067" s="245">
        <f t="shared" si="53"/>
        <v>517.625</v>
      </c>
      <c r="I1067" s="246"/>
      <c r="J1067" s="199"/>
      <c r="K1067" s="199"/>
      <c r="L1067" s="199"/>
    </row>
    <row r="1068" spans="1:12" ht="24" customHeight="1">
      <c r="A1068" s="435"/>
      <c r="B1068" s="245" t="s">
        <v>866</v>
      </c>
      <c r="C1068" s="245">
        <v>-1</v>
      </c>
      <c r="D1068" s="245">
        <f>7+7.75+10.75+13.25</f>
        <v>38.75</v>
      </c>
      <c r="E1068" s="245">
        <v>8.25</v>
      </c>
      <c r="F1068" s="245"/>
      <c r="G1068" s="245"/>
      <c r="H1068" s="245">
        <f t="shared" si="53"/>
        <v>-319.6875</v>
      </c>
      <c r="I1068" s="246"/>
      <c r="J1068" s="199"/>
      <c r="K1068" s="199"/>
      <c r="L1068" s="199"/>
    </row>
    <row r="1069" spans="1:12" ht="23.45" customHeight="1">
      <c r="A1069" s="435"/>
      <c r="B1069" s="246" t="s">
        <v>862</v>
      </c>
      <c r="C1069" s="246">
        <v>1</v>
      </c>
      <c r="D1069" s="247">
        <f>9+8+22.25+7.5</f>
        <v>46.75</v>
      </c>
      <c r="E1069" s="246">
        <v>10.25</v>
      </c>
      <c r="F1069" s="246"/>
      <c r="G1069" s="246"/>
      <c r="H1069" s="248">
        <f t="shared" si="53"/>
        <v>479.1875</v>
      </c>
      <c r="I1069" s="246"/>
      <c r="J1069" s="199"/>
      <c r="K1069" s="199"/>
      <c r="L1069" s="199"/>
    </row>
    <row r="1070" spans="1:12" ht="23.45" customHeight="1">
      <c r="A1070" s="435"/>
      <c r="B1070" s="246" t="s">
        <v>863</v>
      </c>
      <c r="C1070" s="246">
        <v>-1</v>
      </c>
      <c r="D1070" s="247">
        <f>5+5+7.5</f>
        <v>17.5</v>
      </c>
      <c r="E1070" s="246">
        <v>8.25</v>
      </c>
      <c r="F1070" s="246"/>
      <c r="G1070" s="246"/>
      <c r="H1070" s="248">
        <f t="shared" si="53"/>
        <v>-144.375</v>
      </c>
      <c r="I1070" s="246"/>
      <c r="J1070" s="199"/>
      <c r="K1070" s="199"/>
      <c r="L1070" s="199"/>
    </row>
    <row r="1071" spans="1:12" ht="23.45" customHeight="1">
      <c r="A1071" s="435"/>
      <c r="B1071" s="246" t="s">
        <v>676</v>
      </c>
      <c r="C1071" s="246">
        <v>1</v>
      </c>
      <c r="D1071" s="247">
        <f>8+8+12.5+12.5</f>
        <v>41</v>
      </c>
      <c r="E1071" s="246">
        <v>10.25</v>
      </c>
      <c r="F1071" s="246"/>
      <c r="G1071" s="246"/>
      <c r="H1071" s="248">
        <f t="shared" si="53"/>
        <v>420.25</v>
      </c>
      <c r="I1071" s="246"/>
      <c r="J1071" s="199"/>
      <c r="K1071" s="199"/>
      <c r="L1071" s="199"/>
    </row>
    <row r="1072" spans="1:12" ht="23.45" customHeight="1">
      <c r="A1072" s="435"/>
      <c r="B1072" s="246" t="s">
        <v>851</v>
      </c>
      <c r="C1072" s="246">
        <v>-1</v>
      </c>
      <c r="D1072" s="247">
        <v>3</v>
      </c>
      <c r="E1072" s="246">
        <v>8</v>
      </c>
      <c r="F1072" s="246"/>
      <c r="G1072" s="246"/>
      <c r="H1072" s="248">
        <f t="shared" si="53"/>
        <v>-24</v>
      </c>
      <c r="I1072" s="246"/>
      <c r="J1072" s="199"/>
      <c r="K1072" s="199"/>
      <c r="L1072" s="199"/>
    </row>
    <row r="1073" spans="1:12" ht="23.45" customHeight="1">
      <c r="A1073" s="435"/>
      <c r="B1073" s="245" t="s">
        <v>861</v>
      </c>
      <c r="C1073" s="245">
        <v>1</v>
      </c>
      <c r="D1073" s="245">
        <f>6.75+4.5+6.75</f>
        <v>18</v>
      </c>
      <c r="E1073" s="245">
        <v>10.25</v>
      </c>
      <c r="F1073" s="245"/>
      <c r="G1073" s="245"/>
      <c r="H1073" s="241">
        <f>C1073*D1073*E1073</f>
        <v>184.5</v>
      </c>
      <c r="I1073" s="246"/>
      <c r="J1073" s="199"/>
      <c r="K1073" s="199"/>
      <c r="L1073" s="199"/>
    </row>
    <row r="1074" spans="1:12" ht="23.45" customHeight="1">
      <c r="A1074" s="435"/>
      <c r="B1074" s="245" t="s">
        <v>851</v>
      </c>
      <c r="C1074" s="245">
        <v>-1</v>
      </c>
      <c r="D1074" s="245">
        <v>3</v>
      </c>
      <c r="E1074" s="245">
        <v>8</v>
      </c>
      <c r="F1074" s="245"/>
      <c r="G1074" s="245"/>
      <c r="H1074" s="241">
        <f>C1074*D1074*E1074</f>
        <v>-24</v>
      </c>
      <c r="I1074" s="246"/>
      <c r="J1074" s="199"/>
      <c r="K1074" s="199"/>
      <c r="L1074" s="199"/>
    </row>
    <row r="1075" spans="1:12" ht="23.45" customHeight="1">
      <c r="A1075" s="435"/>
      <c r="B1075" s="252" t="s">
        <v>1116</v>
      </c>
      <c r="C1075" s="245">
        <v>1</v>
      </c>
      <c r="D1075" s="245">
        <v>12</v>
      </c>
      <c r="E1075" s="245">
        <v>17</v>
      </c>
      <c r="F1075" s="245"/>
      <c r="G1075" s="245"/>
      <c r="H1075" s="241">
        <f>C1075*D1075*E1075</f>
        <v>204</v>
      </c>
      <c r="I1075" s="246"/>
      <c r="J1075" s="199"/>
      <c r="K1075" s="199"/>
      <c r="L1075" s="199"/>
    </row>
    <row r="1076" spans="1:12" ht="24" customHeight="1">
      <c r="A1076" s="441"/>
      <c r="B1076" s="255" t="s">
        <v>640</v>
      </c>
      <c r="C1076" s="254"/>
      <c r="D1076" s="256"/>
      <c r="E1076" s="254"/>
      <c r="F1076" s="254"/>
      <c r="G1076" s="254"/>
      <c r="H1076" s="257"/>
      <c r="I1076" s="254"/>
      <c r="J1076" s="199"/>
      <c r="K1076" s="199"/>
      <c r="L1076" s="199"/>
    </row>
    <row r="1077" spans="1:12" ht="24" customHeight="1">
      <c r="A1077" s="435"/>
      <c r="B1077" s="246" t="s">
        <v>645</v>
      </c>
      <c r="C1077" s="246">
        <v>1</v>
      </c>
      <c r="D1077" s="246">
        <f>7.5+8+3+10.75</f>
        <v>29.25</v>
      </c>
      <c r="E1077" s="246">
        <v>10.25</v>
      </c>
      <c r="F1077" s="246"/>
      <c r="G1077" s="246"/>
      <c r="H1077" s="241">
        <f>C1077*D1077*E1077</f>
        <v>299.8125</v>
      </c>
      <c r="I1077" s="246"/>
      <c r="J1077" s="222"/>
      <c r="K1077" s="199"/>
      <c r="L1077" s="199"/>
    </row>
    <row r="1078" spans="1:12" ht="24" customHeight="1">
      <c r="A1078" s="435"/>
      <c r="B1078" s="246" t="s">
        <v>866</v>
      </c>
      <c r="C1078" s="246">
        <v>-1</v>
      </c>
      <c r="D1078" s="246">
        <f>3.25+3.25</f>
        <v>6.5</v>
      </c>
      <c r="E1078" s="246">
        <v>8</v>
      </c>
      <c r="F1078" s="246"/>
      <c r="G1078" s="246"/>
      <c r="H1078" s="241">
        <f t="shared" ref="H1078:H1089" si="54">C1078*D1078*E1078</f>
        <v>-52</v>
      </c>
      <c r="I1078" s="246"/>
      <c r="J1078" s="222"/>
      <c r="K1078" s="199"/>
      <c r="L1078" s="199"/>
    </row>
    <row r="1079" spans="1:12" ht="24" customHeight="1">
      <c r="A1079" s="435"/>
      <c r="B1079" s="246" t="s">
        <v>644</v>
      </c>
      <c r="C1079" s="246">
        <v>1</v>
      </c>
      <c r="D1079" s="246">
        <f>25.5+49+13</f>
        <v>87.5</v>
      </c>
      <c r="E1079" s="246">
        <v>10.25</v>
      </c>
      <c r="F1079" s="246"/>
      <c r="G1079" s="246"/>
      <c r="H1079" s="241">
        <f t="shared" si="54"/>
        <v>896.875</v>
      </c>
      <c r="I1079" s="246"/>
      <c r="J1079" s="222"/>
      <c r="K1079" s="199"/>
      <c r="L1079" s="199"/>
    </row>
    <row r="1080" spans="1:12" ht="24" customHeight="1">
      <c r="A1080" s="435"/>
      <c r="B1080" s="246" t="s">
        <v>878</v>
      </c>
      <c r="C1080" s="246">
        <v>-1</v>
      </c>
      <c r="D1080" s="246">
        <f>3.25+2.75</f>
        <v>6</v>
      </c>
      <c r="E1080" s="246">
        <v>8</v>
      </c>
      <c r="F1080" s="246"/>
      <c r="G1080" s="246"/>
      <c r="H1080" s="241">
        <f t="shared" si="54"/>
        <v>-48</v>
      </c>
      <c r="I1080" s="246"/>
      <c r="J1080" s="222"/>
      <c r="K1080" s="199"/>
      <c r="L1080" s="199"/>
    </row>
    <row r="1081" spans="1:12" ht="24" customHeight="1">
      <c r="A1081" s="435"/>
      <c r="B1081" s="246" t="s">
        <v>879</v>
      </c>
      <c r="C1081" s="246">
        <v>-1</v>
      </c>
      <c r="D1081" s="246">
        <f>11.25+10+12+12.25</f>
        <v>45.5</v>
      </c>
      <c r="E1081" s="246">
        <v>8.25</v>
      </c>
      <c r="F1081" s="246"/>
      <c r="G1081" s="246"/>
      <c r="H1081" s="241">
        <f t="shared" si="54"/>
        <v>-375.375</v>
      </c>
      <c r="I1081" s="246"/>
      <c r="J1081" s="222"/>
      <c r="K1081" s="199"/>
      <c r="L1081" s="199"/>
    </row>
    <row r="1082" spans="1:12" ht="24" customHeight="1">
      <c r="A1082" s="435"/>
      <c r="B1082" s="246" t="s">
        <v>676</v>
      </c>
      <c r="C1082" s="246">
        <v>1</v>
      </c>
      <c r="D1082" s="246">
        <f>7+12.5+7</f>
        <v>26.5</v>
      </c>
      <c r="E1082" s="246">
        <v>10.25</v>
      </c>
      <c r="F1082" s="246"/>
      <c r="G1082" s="246"/>
      <c r="H1082" s="241">
        <f t="shared" si="54"/>
        <v>271.625</v>
      </c>
      <c r="I1082" s="246"/>
      <c r="J1082" s="222"/>
      <c r="K1082" s="199"/>
      <c r="L1082" s="199"/>
    </row>
    <row r="1083" spans="1:12" ht="24" customHeight="1">
      <c r="A1083" s="435"/>
      <c r="B1083" s="246" t="s">
        <v>880</v>
      </c>
      <c r="C1083" s="246">
        <v>1</v>
      </c>
      <c r="D1083" s="246">
        <f>7.25+24.75</f>
        <v>32</v>
      </c>
      <c r="E1083" s="246">
        <v>10.25</v>
      </c>
      <c r="F1083" s="246"/>
      <c r="G1083" s="246"/>
      <c r="H1083" s="241">
        <f t="shared" si="54"/>
        <v>328</v>
      </c>
      <c r="I1083" s="246"/>
      <c r="J1083" s="222"/>
      <c r="K1083" s="199"/>
      <c r="L1083" s="199"/>
    </row>
    <row r="1084" spans="1:12" ht="24" customHeight="1">
      <c r="A1084" s="435"/>
      <c r="B1084" s="246" t="s">
        <v>879</v>
      </c>
      <c r="C1084" s="246">
        <v>-1</v>
      </c>
      <c r="D1084" s="246">
        <f>10+12+12.25</f>
        <v>34.25</v>
      </c>
      <c r="E1084" s="246">
        <v>8.25</v>
      </c>
      <c r="F1084" s="246"/>
      <c r="G1084" s="246"/>
      <c r="H1084" s="241">
        <f t="shared" si="54"/>
        <v>-282.5625</v>
      </c>
      <c r="I1084" s="246"/>
      <c r="J1084" s="222"/>
      <c r="K1084" s="199"/>
      <c r="L1084" s="199"/>
    </row>
    <row r="1085" spans="1:12" ht="24" customHeight="1">
      <c r="A1085" s="435"/>
      <c r="B1085" s="246" t="s">
        <v>646</v>
      </c>
      <c r="C1085" s="246">
        <v>1</v>
      </c>
      <c r="D1085" s="246">
        <f>13+10.5+13</f>
        <v>36.5</v>
      </c>
      <c r="E1085" s="246">
        <v>10.25</v>
      </c>
      <c r="F1085" s="246"/>
      <c r="G1085" s="246"/>
      <c r="H1085" s="241">
        <f t="shared" si="54"/>
        <v>374.125</v>
      </c>
      <c r="I1085" s="246"/>
      <c r="J1085" s="222"/>
      <c r="K1085" s="199"/>
      <c r="L1085" s="199"/>
    </row>
    <row r="1086" spans="1:12" ht="24" customHeight="1">
      <c r="A1086" s="435"/>
      <c r="B1086" s="246" t="s">
        <v>879</v>
      </c>
      <c r="C1086" s="246">
        <v>-1</v>
      </c>
      <c r="D1086" s="246">
        <v>10.25</v>
      </c>
      <c r="E1086" s="246">
        <v>8.25</v>
      </c>
      <c r="F1086" s="246"/>
      <c r="G1086" s="246"/>
      <c r="H1086" s="241">
        <f t="shared" si="54"/>
        <v>-84.5625</v>
      </c>
      <c r="I1086" s="246"/>
      <c r="J1086" s="222"/>
      <c r="K1086" s="199"/>
      <c r="L1086" s="199"/>
    </row>
    <row r="1087" spans="1:12" ht="24" customHeight="1">
      <c r="A1087" s="435"/>
      <c r="B1087" s="246" t="s">
        <v>881</v>
      </c>
      <c r="C1087" s="246">
        <v>1</v>
      </c>
      <c r="D1087" s="246">
        <f>7.5+9.5+7+5</f>
        <v>29</v>
      </c>
      <c r="E1087" s="246">
        <v>10.25</v>
      </c>
      <c r="F1087" s="246"/>
      <c r="G1087" s="246"/>
      <c r="H1087" s="241">
        <f t="shared" si="54"/>
        <v>297.25</v>
      </c>
      <c r="I1087" s="246"/>
      <c r="J1087" s="222"/>
      <c r="K1087" s="199"/>
      <c r="L1087" s="199"/>
    </row>
    <row r="1088" spans="1:12" ht="24" customHeight="1">
      <c r="A1088" s="435"/>
      <c r="B1088" s="246" t="s">
        <v>878</v>
      </c>
      <c r="C1088" s="246">
        <v>-1</v>
      </c>
      <c r="D1088" s="246">
        <f>2.75+2.5+3.25+3</f>
        <v>11.5</v>
      </c>
      <c r="E1088" s="246">
        <v>8</v>
      </c>
      <c r="F1088" s="246"/>
      <c r="G1088" s="246"/>
      <c r="H1088" s="241">
        <f t="shared" si="54"/>
        <v>-92</v>
      </c>
      <c r="I1088" s="246"/>
      <c r="J1088" s="222"/>
      <c r="K1088" s="199"/>
      <c r="L1088" s="199"/>
    </row>
    <row r="1089" spans="1:12" ht="24" customHeight="1">
      <c r="A1089" s="435"/>
      <c r="B1089" s="246" t="s">
        <v>648</v>
      </c>
      <c r="C1089" s="246">
        <v>1</v>
      </c>
      <c r="D1089" s="246">
        <f>15+11.75</f>
        <v>26.75</v>
      </c>
      <c r="E1089" s="246">
        <v>10.25</v>
      </c>
      <c r="F1089" s="246"/>
      <c r="G1089" s="246"/>
      <c r="H1089" s="241">
        <f t="shared" si="54"/>
        <v>274.1875</v>
      </c>
      <c r="I1089" s="246"/>
      <c r="J1089" s="222"/>
      <c r="K1089" s="199"/>
      <c r="L1089" s="199"/>
    </row>
    <row r="1090" spans="1:12" ht="24" customHeight="1">
      <c r="A1090" s="435"/>
      <c r="B1090" s="246" t="s">
        <v>879</v>
      </c>
      <c r="C1090" s="246">
        <v>-1</v>
      </c>
      <c r="D1090" s="246">
        <f>14.75</f>
        <v>14.75</v>
      </c>
      <c r="E1090" s="246">
        <v>8.25</v>
      </c>
      <c r="F1090" s="246"/>
      <c r="G1090" s="246"/>
      <c r="H1090" s="241">
        <f>C1090*D1090*E1090</f>
        <v>-121.6875</v>
      </c>
      <c r="I1090" s="246"/>
      <c r="J1090" s="222"/>
      <c r="K1090" s="199"/>
      <c r="L1090" s="199"/>
    </row>
    <row r="1091" spans="1:12" ht="24" customHeight="1">
      <c r="A1091" s="435"/>
      <c r="B1091" s="246" t="s">
        <v>650</v>
      </c>
      <c r="C1091" s="246">
        <v>1</v>
      </c>
      <c r="D1091" s="246">
        <f>15.5+14</f>
        <v>29.5</v>
      </c>
      <c r="E1091" s="246">
        <v>10.25</v>
      </c>
      <c r="F1091" s="246"/>
      <c r="G1091" s="246"/>
      <c r="H1091" s="241">
        <f t="shared" ref="H1091:H1097" si="55">C1091*D1091*E1091</f>
        <v>302.375</v>
      </c>
      <c r="I1091" s="246"/>
      <c r="J1091" s="222"/>
      <c r="K1091" s="199"/>
      <c r="L1091" s="199"/>
    </row>
    <row r="1092" spans="1:12" ht="24" customHeight="1">
      <c r="A1092" s="435"/>
      <c r="B1092" s="246" t="s">
        <v>879</v>
      </c>
      <c r="C1092" s="246">
        <v>-1</v>
      </c>
      <c r="D1092" s="246">
        <f>3.25+10.75+13.25</f>
        <v>27.25</v>
      </c>
      <c r="E1092" s="246">
        <v>8.25</v>
      </c>
      <c r="F1092" s="246"/>
      <c r="G1092" s="246"/>
      <c r="H1092" s="241">
        <f t="shared" si="55"/>
        <v>-224.8125</v>
      </c>
      <c r="I1092" s="246"/>
      <c r="J1092" s="222"/>
      <c r="K1092" s="199"/>
      <c r="L1092" s="199"/>
    </row>
    <row r="1093" spans="1:12" ht="24" customHeight="1">
      <c r="A1093" s="435"/>
      <c r="B1093" s="246" t="s">
        <v>882</v>
      </c>
      <c r="C1093" s="246">
        <v>1</v>
      </c>
      <c r="D1093" s="246">
        <f>13.5+13.5</f>
        <v>27</v>
      </c>
      <c r="E1093" s="246">
        <v>10.25</v>
      </c>
      <c r="F1093" s="246"/>
      <c r="G1093" s="246"/>
      <c r="H1093" s="241">
        <f t="shared" si="55"/>
        <v>276.75</v>
      </c>
      <c r="I1093" s="246"/>
      <c r="J1093" s="222"/>
      <c r="K1093" s="199"/>
      <c r="L1093" s="199"/>
    </row>
    <row r="1094" spans="1:12" ht="24" customHeight="1">
      <c r="A1094" s="435"/>
      <c r="B1094" s="246" t="s">
        <v>878</v>
      </c>
      <c r="C1094" s="246">
        <v>-1</v>
      </c>
      <c r="D1094" s="246">
        <f>2.25+3.25</f>
        <v>5.5</v>
      </c>
      <c r="E1094" s="246">
        <v>8</v>
      </c>
      <c r="F1094" s="246"/>
      <c r="G1094" s="246"/>
      <c r="H1094" s="241">
        <f t="shared" si="55"/>
        <v>-44</v>
      </c>
      <c r="I1094" s="246"/>
      <c r="J1094" s="222"/>
      <c r="K1094" s="199"/>
      <c r="L1094" s="199"/>
    </row>
    <row r="1095" spans="1:12" ht="24" customHeight="1">
      <c r="A1095" s="435"/>
      <c r="B1095" s="246" t="s">
        <v>653</v>
      </c>
      <c r="C1095" s="246">
        <v>1</v>
      </c>
      <c r="D1095" s="246">
        <f>17+16.75</f>
        <v>33.75</v>
      </c>
      <c r="E1095" s="246">
        <v>10.25</v>
      </c>
      <c r="F1095" s="246"/>
      <c r="G1095" s="246"/>
      <c r="H1095" s="241">
        <f t="shared" si="55"/>
        <v>345.9375</v>
      </c>
      <c r="I1095" s="246"/>
      <c r="J1095" s="222"/>
      <c r="K1095" s="199"/>
      <c r="L1095" s="199"/>
    </row>
    <row r="1096" spans="1:12" ht="24" customHeight="1">
      <c r="A1096" s="435"/>
      <c r="B1096" s="246" t="s">
        <v>878</v>
      </c>
      <c r="C1096" s="246">
        <v>-1</v>
      </c>
      <c r="D1096" s="246">
        <f>2.75</f>
        <v>2.75</v>
      </c>
      <c r="E1096" s="246">
        <v>8</v>
      </c>
      <c r="F1096" s="246"/>
      <c r="G1096" s="246"/>
      <c r="H1096" s="246">
        <f t="shared" si="55"/>
        <v>-22</v>
      </c>
      <c r="I1096" s="246"/>
      <c r="J1096" s="222"/>
      <c r="K1096" s="199"/>
      <c r="L1096" s="199"/>
    </row>
    <row r="1097" spans="1:12" ht="24" customHeight="1">
      <c r="A1097" s="435"/>
      <c r="B1097" s="246" t="s">
        <v>879</v>
      </c>
      <c r="C1097" s="246">
        <v>-1</v>
      </c>
      <c r="D1097" s="246">
        <f>5+5</f>
        <v>10</v>
      </c>
      <c r="E1097" s="246">
        <v>8.25</v>
      </c>
      <c r="F1097" s="246"/>
      <c r="G1097" s="246"/>
      <c r="H1097" s="246">
        <f t="shared" si="55"/>
        <v>-82.5</v>
      </c>
      <c r="I1097" s="246"/>
      <c r="J1097" s="222"/>
      <c r="K1097" s="199"/>
      <c r="L1097" s="199"/>
    </row>
    <row r="1098" spans="1:12" ht="24" customHeight="1">
      <c r="A1098" s="435"/>
      <c r="B1098" s="245" t="s">
        <v>861</v>
      </c>
      <c r="C1098" s="245">
        <v>1</v>
      </c>
      <c r="D1098" s="245">
        <f>6.75+4.5+6.75</f>
        <v>18</v>
      </c>
      <c r="E1098" s="245">
        <v>10.25</v>
      </c>
      <c r="F1098" s="245"/>
      <c r="G1098" s="245"/>
      <c r="H1098" s="241">
        <f>C1098*D1098*E1098</f>
        <v>184.5</v>
      </c>
      <c r="I1098" s="246"/>
      <c r="J1098" s="222"/>
      <c r="K1098" s="199"/>
      <c r="L1098" s="199"/>
    </row>
    <row r="1099" spans="1:12" ht="24" customHeight="1">
      <c r="A1099" s="435"/>
      <c r="B1099" s="245" t="s">
        <v>851</v>
      </c>
      <c r="C1099" s="245">
        <v>-1</v>
      </c>
      <c r="D1099" s="245">
        <v>3</v>
      </c>
      <c r="E1099" s="245">
        <v>8</v>
      </c>
      <c r="F1099" s="245"/>
      <c r="G1099" s="245"/>
      <c r="H1099" s="241">
        <f>C1099*D1099*E1099</f>
        <v>-24</v>
      </c>
      <c r="I1099" s="246"/>
      <c r="J1099" s="222"/>
      <c r="K1099" s="199"/>
      <c r="L1099" s="199"/>
    </row>
    <row r="1100" spans="1:12" ht="24" customHeight="1">
      <c r="A1100" s="435"/>
      <c r="B1100" s="252" t="s">
        <v>1116</v>
      </c>
      <c r="C1100" s="245">
        <v>1</v>
      </c>
      <c r="D1100" s="245">
        <v>12</v>
      </c>
      <c r="E1100" s="245">
        <v>10</v>
      </c>
      <c r="F1100" s="245"/>
      <c r="G1100" s="245"/>
      <c r="H1100" s="241">
        <f>C1100*D1100*E1100</f>
        <v>120</v>
      </c>
      <c r="I1100" s="456"/>
      <c r="J1100" s="222"/>
      <c r="K1100" s="199"/>
      <c r="L1100" s="199"/>
    </row>
    <row r="1101" spans="1:12" ht="24" customHeight="1">
      <c r="A1101" s="446"/>
      <c r="B1101" s="454" t="s">
        <v>1066</v>
      </c>
      <c r="C1101" s="246"/>
      <c r="D1101" s="247"/>
      <c r="E1101" s="246"/>
      <c r="F1101" s="246"/>
      <c r="G1101" s="246"/>
      <c r="H1101" s="248"/>
      <c r="I1101" s="219"/>
      <c r="J1101" s="222"/>
      <c r="K1101" s="199"/>
      <c r="L1101" s="199"/>
    </row>
    <row r="1102" spans="1:12" ht="24" customHeight="1">
      <c r="A1102" s="243"/>
      <c r="B1102" s="237" t="s">
        <v>1067</v>
      </c>
      <c r="C1102" s="303">
        <v>1</v>
      </c>
      <c r="D1102" s="297">
        <v>72</v>
      </c>
      <c r="E1102" s="260">
        <v>10.25</v>
      </c>
      <c r="F1102" s="423"/>
      <c r="G1102" s="423"/>
      <c r="H1102" s="261">
        <f>C1102*D1102*E1102</f>
        <v>738</v>
      </c>
      <c r="I1102" s="219"/>
      <c r="J1102" s="222"/>
      <c r="K1102" s="199"/>
      <c r="L1102" s="199"/>
    </row>
    <row r="1103" spans="1:12" ht="24" customHeight="1">
      <c r="A1103" s="243"/>
      <c r="B1103" s="237" t="s">
        <v>1068</v>
      </c>
      <c r="C1103" s="364">
        <v>1</v>
      </c>
      <c r="D1103" s="221">
        <v>70</v>
      </c>
      <c r="E1103" s="220">
        <v>10.25</v>
      </c>
      <c r="F1103" s="225"/>
      <c r="G1103" s="225"/>
      <c r="H1103" s="212">
        <f>C1103*D1103*E1103</f>
        <v>717.5</v>
      </c>
      <c r="I1103" s="219"/>
      <c r="J1103" s="222"/>
      <c r="K1103" s="199"/>
      <c r="L1103" s="199"/>
    </row>
    <row r="1104" spans="1:12" ht="15" customHeight="1">
      <c r="A1104" s="434"/>
      <c r="B1104" s="244"/>
      <c r="C1104" s="244"/>
      <c r="D1104" s="244"/>
      <c r="E1104" s="244"/>
      <c r="F1104" s="244"/>
      <c r="G1104" s="244"/>
      <c r="H1104" s="244"/>
      <c r="I1104" s="244"/>
    </row>
    <row r="1105" spans="1:12" ht="26.25">
      <c r="A1105" s="434"/>
      <c r="B1105" s="215"/>
      <c r="C1105" s="244"/>
      <c r="D1105" s="244"/>
      <c r="E1105" s="244"/>
      <c r="F1105" s="244"/>
      <c r="G1105" s="244"/>
      <c r="H1105" s="244"/>
      <c r="I1105" s="244"/>
    </row>
    <row r="1106" spans="1:12" ht="283.5">
      <c r="A1106" s="368" t="s">
        <v>960</v>
      </c>
      <c r="B1106" s="198" t="s">
        <v>958</v>
      </c>
      <c r="C1106" s="369"/>
      <c r="D1106" s="370"/>
      <c r="E1106" s="369"/>
      <c r="F1106" s="348" t="s">
        <v>664</v>
      </c>
      <c r="G1106" s="348"/>
      <c r="H1106" s="349">
        <f>H1107/10.764</f>
        <v>396.29784466740989</v>
      </c>
      <c r="I1106" s="355" t="s">
        <v>328</v>
      </c>
      <c r="J1106" s="222"/>
      <c r="K1106" s="199"/>
      <c r="L1106" s="330"/>
    </row>
    <row r="1107" spans="1:12" ht="24" customHeight="1">
      <c r="A1107" s="225"/>
      <c r="B1107" s="223" t="s">
        <v>622</v>
      </c>
      <c r="C1107" s="220"/>
      <c r="D1107" s="221"/>
      <c r="E1107" s="220"/>
      <c r="F1107" s="217" t="s">
        <v>620</v>
      </c>
      <c r="G1107" s="217"/>
      <c r="H1107" s="218">
        <f>SUM(H1108:H1145)</f>
        <v>4265.75</v>
      </c>
      <c r="I1107" s="219" t="s">
        <v>621</v>
      </c>
      <c r="J1107" s="222"/>
      <c r="K1107" s="199"/>
      <c r="L1107" s="330"/>
    </row>
    <row r="1108" spans="1:12" ht="24" customHeight="1">
      <c r="A1108" s="225"/>
      <c r="B1108" s="224" t="s">
        <v>883</v>
      </c>
      <c r="C1108" s="220"/>
      <c r="D1108" s="221"/>
      <c r="E1108" s="220"/>
      <c r="F1108" s="217"/>
      <c r="G1108" s="217"/>
      <c r="H1108" s="212"/>
      <c r="I1108" s="219"/>
      <c r="J1108" s="222"/>
      <c r="K1108" s="199"/>
      <c r="L1108" s="330"/>
    </row>
    <row r="1109" spans="1:12" ht="24" customHeight="1">
      <c r="A1109" s="225"/>
      <c r="B1109" s="320" t="s">
        <v>884</v>
      </c>
      <c r="C1109" s="220">
        <v>1</v>
      </c>
      <c r="D1109" s="221">
        <v>13.5</v>
      </c>
      <c r="E1109" s="220">
        <v>22.25</v>
      </c>
      <c r="F1109" s="217"/>
      <c r="G1109" s="217"/>
      <c r="H1109" s="212">
        <f t="shared" ref="H1109:H1122" si="56">C1109*D1109*E1109</f>
        <v>300.375</v>
      </c>
      <c r="I1109" s="219"/>
      <c r="J1109" s="222"/>
      <c r="K1109" s="199"/>
      <c r="L1109" s="330"/>
    </row>
    <row r="1110" spans="1:12" ht="24" customHeight="1">
      <c r="A1110" s="225"/>
      <c r="B1110" s="224" t="s">
        <v>885</v>
      </c>
      <c r="C1110" s="220">
        <v>5</v>
      </c>
      <c r="D1110" s="221">
        <f>8.75</f>
        <v>8.75</v>
      </c>
      <c r="E1110" s="220">
        <v>22.25</v>
      </c>
      <c r="F1110" s="217"/>
      <c r="G1110" s="217"/>
      <c r="H1110" s="212">
        <f t="shared" si="56"/>
        <v>973.4375</v>
      </c>
      <c r="I1110" s="219"/>
      <c r="J1110" s="222"/>
      <c r="K1110" s="199"/>
      <c r="L1110" s="330"/>
    </row>
    <row r="1111" spans="1:12" ht="24" customHeight="1">
      <c r="A1111" s="225"/>
      <c r="B1111" s="224" t="s">
        <v>886</v>
      </c>
      <c r="C1111" s="220">
        <v>-1</v>
      </c>
      <c r="D1111" s="221">
        <v>17.25</v>
      </c>
      <c r="E1111" s="220">
        <v>8</v>
      </c>
      <c r="F1111" s="217"/>
      <c r="G1111" s="217"/>
      <c r="H1111" s="212">
        <f t="shared" si="56"/>
        <v>-138</v>
      </c>
      <c r="I1111" s="219"/>
      <c r="J1111" s="222"/>
      <c r="K1111" s="199"/>
      <c r="L1111" s="330"/>
    </row>
    <row r="1112" spans="1:12" ht="24" customHeight="1">
      <c r="A1112" s="225"/>
      <c r="B1112" s="224" t="s">
        <v>887</v>
      </c>
      <c r="C1112" s="220">
        <v>-1</v>
      </c>
      <c r="D1112" s="221">
        <v>17.25</v>
      </c>
      <c r="E1112" s="220">
        <v>9</v>
      </c>
      <c r="F1112" s="217"/>
      <c r="G1112" s="217"/>
      <c r="H1112" s="212">
        <f t="shared" si="56"/>
        <v>-155.25</v>
      </c>
      <c r="I1112" s="219"/>
      <c r="J1112" s="222"/>
      <c r="K1112" s="199"/>
      <c r="L1112" s="330"/>
    </row>
    <row r="1113" spans="1:12" ht="24" customHeight="1">
      <c r="A1113" s="225"/>
      <c r="B1113" s="224" t="s">
        <v>888</v>
      </c>
      <c r="C1113" s="220">
        <v>8</v>
      </c>
      <c r="D1113" s="221">
        <f>(1.25+1.5)*2</f>
        <v>5.5</v>
      </c>
      <c r="E1113" s="220">
        <v>9</v>
      </c>
      <c r="F1113" s="217"/>
      <c r="G1113" s="217"/>
      <c r="H1113" s="212">
        <f t="shared" si="56"/>
        <v>396</v>
      </c>
      <c r="I1113" s="219"/>
      <c r="J1113" s="222"/>
      <c r="K1113" s="199"/>
      <c r="L1113" s="330"/>
    </row>
    <row r="1114" spans="1:12" ht="24" customHeight="1">
      <c r="A1114" s="225"/>
      <c r="B1114" s="224" t="s">
        <v>889</v>
      </c>
      <c r="C1114" s="220">
        <v>1</v>
      </c>
      <c r="D1114" s="221">
        <f>13.25+9.25+2.75+2.5</f>
        <v>27.75</v>
      </c>
      <c r="E1114" s="220">
        <v>9</v>
      </c>
      <c r="F1114" s="217"/>
      <c r="G1114" s="217"/>
      <c r="H1114" s="212">
        <f t="shared" si="56"/>
        <v>249.75</v>
      </c>
      <c r="I1114" s="219"/>
      <c r="J1114" s="222"/>
      <c r="K1114" s="199"/>
      <c r="L1114" s="330"/>
    </row>
    <row r="1115" spans="1:12" ht="24" customHeight="1">
      <c r="A1115" s="225"/>
      <c r="B1115" s="224" t="s">
        <v>625</v>
      </c>
      <c r="C1115" s="220">
        <v>1</v>
      </c>
      <c r="D1115" s="221">
        <f>0.75+5+0.75+0.25</f>
        <v>6.75</v>
      </c>
      <c r="E1115" s="220">
        <v>10</v>
      </c>
      <c r="F1115" s="217"/>
      <c r="G1115" s="217"/>
      <c r="H1115" s="212">
        <f t="shared" si="56"/>
        <v>67.5</v>
      </c>
      <c r="I1115" s="219"/>
      <c r="J1115" s="222"/>
      <c r="K1115" s="199"/>
      <c r="L1115" s="330"/>
    </row>
    <row r="1116" spans="1:12" ht="24" customHeight="1">
      <c r="A1116" s="225"/>
      <c r="B1116" s="224" t="s">
        <v>770</v>
      </c>
      <c r="C1116" s="220">
        <v>1</v>
      </c>
      <c r="D1116" s="221">
        <f>0.75+0.75+0.75+0.5</f>
        <v>2.75</v>
      </c>
      <c r="E1116" s="220">
        <v>10</v>
      </c>
      <c r="F1116" s="217"/>
      <c r="G1116" s="217"/>
      <c r="H1116" s="212">
        <f t="shared" si="56"/>
        <v>27.5</v>
      </c>
      <c r="I1116" s="219"/>
      <c r="J1116" s="222"/>
      <c r="K1116" s="199"/>
      <c r="L1116" s="330"/>
    </row>
    <row r="1117" spans="1:12" ht="24" customHeight="1">
      <c r="A1117" s="225"/>
      <c r="B1117" s="224" t="s">
        <v>771</v>
      </c>
      <c r="C1117" s="220">
        <v>1</v>
      </c>
      <c r="D1117" s="221">
        <f>0.75+0.75+0.25+6</f>
        <v>7.75</v>
      </c>
      <c r="E1117" s="220">
        <v>10</v>
      </c>
      <c r="F1117" s="217"/>
      <c r="G1117" s="217"/>
      <c r="H1117" s="212">
        <f t="shared" si="56"/>
        <v>77.5</v>
      </c>
      <c r="I1117" s="219"/>
      <c r="J1117" s="222"/>
      <c r="K1117" s="199"/>
      <c r="L1117" s="330"/>
    </row>
    <row r="1118" spans="1:12" ht="24" customHeight="1">
      <c r="A1118" s="225"/>
      <c r="B1118" s="224" t="s">
        <v>658</v>
      </c>
      <c r="C1118" s="220">
        <v>1</v>
      </c>
      <c r="D1118" s="221">
        <f>6+15.75+1.25+0.75+0.75</f>
        <v>24.5</v>
      </c>
      <c r="E1118" s="220">
        <v>10</v>
      </c>
      <c r="F1118" s="217"/>
      <c r="G1118" s="217"/>
      <c r="H1118" s="212">
        <f t="shared" si="56"/>
        <v>245</v>
      </c>
      <c r="I1118" s="219"/>
      <c r="J1118" s="222"/>
      <c r="K1118" s="199"/>
      <c r="L1118" s="330"/>
    </row>
    <row r="1119" spans="1:12" ht="24" customHeight="1">
      <c r="A1119" s="225"/>
      <c r="B1119" s="224" t="s">
        <v>890</v>
      </c>
      <c r="C1119" s="220">
        <v>-1</v>
      </c>
      <c r="D1119" s="221">
        <v>2.75</v>
      </c>
      <c r="E1119" s="220">
        <v>8</v>
      </c>
      <c r="F1119" s="217"/>
      <c r="G1119" s="217"/>
      <c r="H1119" s="212">
        <f t="shared" si="56"/>
        <v>-22</v>
      </c>
      <c r="I1119" s="219"/>
      <c r="J1119" s="222"/>
      <c r="K1119" s="199"/>
      <c r="L1119" s="330"/>
    </row>
    <row r="1120" spans="1:12" ht="24" customHeight="1">
      <c r="A1120" s="225"/>
      <c r="B1120" s="224" t="s">
        <v>627</v>
      </c>
      <c r="C1120" s="220">
        <v>1</v>
      </c>
      <c r="D1120" s="221">
        <f>16.5+1.25+0.75+0.75+0.75+0.75</f>
        <v>20.75</v>
      </c>
      <c r="E1120" s="220">
        <v>10</v>
      </c>
      <c r="F1120" s="217"/>
      <c r="G1120" s="217"/>
      <c r="H1120" s="212">
        <f t="shared" si="56"/>
        <v>207.5</v>
      </c>
      <c r="I1120" s="219"/>
      <c r="J1120" s="222"/>
      <c r="K1120" s="199"/>
      <c r="L1120" s="330"/>
    </row>
    <row r="1121" spans="1:12" ht="24" customHeight="1">
      <c r="A1121" s="225"/>
      <c r="B1121" s="224" t="s">
        <v>890</v>
      </c>
      <c r="C1121" s="220">
        <v>-1</v>
      </c>
      <c r="D1121" s="221">
        <v>2.75</v>
      </c>
      <c r="E1121" s="220">
        <v>8</v>
      </c>
      <c r="F1121" s="217"/>
      <c r="G1121" s="217"/>
      <c r="H1121" s="212">
        <f t="shared" si="56"/>
        <v>-22</v>
      </c>
      <c r="I1121" s="219"/>
      <c r="J1121" s="222"/>
      <c r="K1121" s="199"/>
      <c r="L1121" s="330"/>
    </row>
    <row r="1122" spans="1:12" ht="24" customHeight="1">
      <c r="A1122" s="225"/>
      <c r="B1122" s="224" t="s">
        <v>768</v>
      </c>
      <c r="C1122" s="220">
        <v>1</v>
      </c>
      <c r="D1122" s="221">
        <f>0.75</f>
        <v>0.75</v>
      </c>
      <c r="E1122" s="220">
        <v>10</v>
      </c>
      <c r="F1122" s="217"/>
      <c r="G1122" s="217"/>
      <c r="H1122" s="212">
        <f t="shared" si="56"/>
        <v>7.5</v>
      </c>
      <c r="I1122" s="219"/>
      <c r="J1122" s="222"/>
      <c r="K1122" s="199"/>
      <c r="L1122" s="330"/>
    </row>
    <row r="1123" spans="1:12" ht="24" customHeight="1">
      <c r="A1123" s="225"/>
      <c r="B1123" s="223" t="s">
        <v>637</v>
      </c>
      <c r="C1123" s="220"/>
      <c r="D1123" s="221"/>
      <c r="E1123" s="220"/>
      <c r="F1123" s="217"/>
      <c r="G1123" s="217"/>
      <c r="H1123" s="212"/>
      <c r="I1123" s="219"/>
      <c r="J1123" s="222"/>
      <c r="K1123" s="199"/>
      <c r="L1123" s="330"/>
    </row>
    <row r="1124" spans="1:12" ht="24" customHeight="1">
      <c r="A1124" s="225"/>
      <c r="B1124" s="224" t="s">
        <v>888</v>
      </c>
      <c r="C1124" s="220">
        <v>10</v>
      </c>
      <c r="D1124" s="221">
        <f>(1.25+1.5)*2</f>
        <v>5.5</v>
      </c>
      <c r="E1124" s="220">
        <v>9</v>
      </c>
      <c r="F1124" s="217"/>
      <c r="G1124" s="217"/>
      <c r="H1124" s="212">
        <f t="shared" ref="H1124:H1134" si="57">C1124*D1124*E1124</f>
        <v>495</v>
      </c>
      <c r="I1124" s="219"/>
      <c r="J1124" s="222"/>
      <c r="K1124" s="199"/>
      <c r="L1124" s="330"/>
    </row>
    <row r="1125" spans="1:12" ht="24" customHeight="1">
      <c r="A1125" s="225"/>
      <c r="B1125" s="224" t="s">
        <v>889</v>
      </c>
      <c r="C1125" s="220">
        <v>1</v>
      </c>
      <c r="D1125" s="221">
        <f>2.75+2.5+13.25+1.25+1.25</f>
        <v>21</v>
      </c>
      <c r="E1125" s="220">
        <v>9</v>
      </c>
      <c r="F1125" s="217"/>
      <c r="G1125" s="217"/>
      <c r="H1125" s="212">
        <f t="shared" si="57"/>
        <v>189</v>
      </c>
      <c r="I1125" s="219"/>
      <c r="J1125" s="222"/>
      <c r="K1125" s="199"/>
      <c r="L1125" s="330"/>
    </row>
    <row r="1126" spans="1:12" ht="24" customHeight="1">
      <c r="A1126" s="225"/>
      <c r="B1126" s="224" t="s">
        <v>778</v>
      </c>
      <c r="C1126" s="220">
        <v>1</v>
      </c>
      <c r="D1126" s="221">
        <v>0.75</v>
      </c>
      <c r="E1126" s="220">
        <v>10</v>
      </c>
      <c r="F1126" s="217"/>
      <c r="G1126" s="217"/>
      <c r="H1126" s="212">
        <f t="shared" si="57"/>
        <v>7.5</v>
      </c>
      <c r="I1126" s="219"/>
      <c r="J1126" s="222"/>
      <c r="K1126" s="199"/>
      <c r="L1126" s="330"/>
    </row>
    <row r="1127" spans="1:12" ht="24" customHeight="1">
      <c r="A1127" s="225"/>
      <c r="B1127" s="224" t="s">
        <v>891</v>
      </c>
      <c r="C1127" s="220">
        <v>1</v>
      </c>
      <c r="D1127" s="221">
        <f>0.75+0.75+0.75+0.75</f>
        <v>3</v>
      </c>
      <c r="E1127" s="220">
        <v>10</v>
      </c>
      <c r="F1127" s="217"/>
      <c r="G1127" s="217"/>
      <c r="H1127" s="212">
        <f t="shared" si="57"/>
        <v>30</v>
      </c>
      <c r="I1127" s="219"/>
      <c r="J1127" s="222"/>
      <c r="K1127" s="199"/>
      <c r="L1127" s="330"/>
    </row>
    <row r="1128" spans="1:12" ht="24" customHeight="1">
      <c r="A1128" s="225"/>
      <c r="B1128" s="224" t="s">
        <v>892</v>
      </c>
      <c r="C1128" s="220">
        <v>1</v>
      </c>
      <c r="D1128" s="221">
        <f>0.75+0.75+0.75</f>
        <v>2.25</v>
      </c>
      <c r="E1128" s="220">
        <v>10</v>
      </c>
      <c r="F1128" s="217"/>
      <c r="G1128" s="217"/>
      <c r="H1128" s="212">
        <f t="shared" si="57"/>
        <v>22.5</v>
      </c>
      <c r="I1128" s="219"/>
      <c r="J1128" s="222"/>
      <c r="K1128" s="199"/>
      <c r="L1128" s="330"/>
    </row>
    <row r="1129" spans="1:12" ht="24" customHeight="1">
      <c r="A1129" s="225"/>
      <c r="B1129" s="224" t="s">
        <v>893</v>
      </c>
      <c r="C1129" s="220">
        <v>1</v>
      </c>
      <c r="D1129" s="221">
        <f>0.75+0.75+0.75</f>
        <v>2.25</v>
      </c>
      <c r="E1129" s="220">
        <v>10</v>
      </c>
      <c r="F1129" s="217"/>
      <c r="G1129" s="217"/>
      <c r="H1129" s="212">
        <f t="shared" si="57"/>
        <v>22.5</v>
      </c>
      <c r="I1129" s="219"/>
      <c r="J1129" s="222"/>
      <c r="K1129" s="199"/>
      <c r="L1129" s="330"/>
    </row>
    <row r="1130" spans="1:12" ht="24" customHeight="1">
      <c r="A1130" s="225"/>
      <c r="B1130" s="224" t="s">
        <v>894</v>
      </c>
      <c r="C1130" s="220">
        <v>1</v>
      </c>
      <c r="D1130" s="221">
        <f>1+1+0.75</f>
        <v>2.75</v>
      </c>
      <c r="E1130" s="220">
        <v>10</v>
      </c>
      <c r="F1130" s="217"/>
      <c r="G1130" s="217"/>
      <c r="H1130" s="212">
        <f t="shared" si="57"/>
        <v>27.5</v>
      </c>
      <c r="I1130" s="219"/>
      <c r="J1130" s="222"/>
      <c r="K1130" s="199"/>
      <c r="L1130" s="330"/>
    </row>
    <row r="1131" spans="1:12" ht="24" customHeight="1">
      <c r="A1131" s="225"/>
      <c r="B1131" s="224" t="s">
        <v>895</v>
      </c>
      <c r="C1131" s="220">
        <v>1</v>
      </c>
      <c r="D1131" s="221">
        <f>1+1+0.75</f>
        <v>2.75</v>
      </c>
      <c r="E1131" s="220">
        <v>10</v>
      </c>
      <c r="F1131" s="217"/>
      <c r="G1131" s="217"/>
      <c r="H1131" s="212">
        <f t="shared" si="57"/>
        <v>27.5</v>
      </c>
      <c r="I1131" s="219"/>
      <c r="J1131" s="222"/>
      <c r="K1131" s="199"/>
      <c r="L1131" s="330"/>
    </row>
    <row r="1132" spans="1:12" ht="24" customHeight="1">
      <c r="A1132" s="225"/>
      <c r="B1132" s="224" t="s">
        <v>896</v>
      </c>
      <c r="C1132" s="220">
        <v>1</v>
      </c>
      <c r="D1132" s="221">
        <f>1+1+0.75</f>
        <v>2.75</v>
      </c>
      <c r="E1132" s="220">
        <v>10</v>
      </c>
      <c r="F1132" s="217"/>
      <c r="G1132" s="217"/>
      <c r="H1132" s="212">
        <f t="shared" si="57"/>
        <v>27.5</v>
      </c>
      <c r="I1132" s="219"/>
      <c r="J1132" s="222"/>
      <c r="K1132" s="199"/>
      <c r="L1132" s="330"/>
    </row>
    <row r="1133" spans="1:12" ht="24" customHeight="1">
      <c r="A1133" s="225"/>
      <c r="B1133" s="224" t="s">
        <v>897</v>
      </c>
      <c r="C1133" s="220">
        <v>1</v>
      </c>
      <c r="D1133" s="221">
        <f>0.75</f>
        <v>0.75</v>
      </c>
      <c r="E1133" s="220">
        <v>10</v>
      </c>
      <c r="F1133" s="217"/>
      <c r="G1133" s="217"/>
      <c r="H1133" s="212">
        <f t="shared" si="57"/>
        <v>7.5</v>
      </c>
      <c r="I1133" s="219"/>
      <c r="J1133" s="222"/>
      <c r="K1133" s="199"/>
      <c r="L1133" s="330"/>
    </row>
    <row r="1134" spans="1:12" ht="24" customHeight="1">
      <c r="A1134" s="225"/>
      <c r="B1134" s="224" t="s">
        <v>898</v>
      </c>
      <c r="C1134" s="220">
        <v>1</v>
      </c>
      <c r="D1134" s="221">
        <f>0.75</f>
        <v>0.75</v>
      </c>
      <c r="E1134" s="220">
        <v>10</v>
      </c>
      <c r="F1134" s="217"/>
      <c r="G1134" s="217"/>
      <c r="H1134" s="212">
        <f t="shared" si="57"/>
        <v>7.5</v>
      </c>
      <c r="I1134" s="219"/>
      <c r="J1134" s="222"/>
      <c r="K1134" s="199"/>
      <c r="L1134" s="330"/>
    </row>
    <row r="1135" spans="1:12" ht="24" customHeight="1">
      <c r="A1135" s="225"/>
      <c r="B1135" s="223" t="s">
        <v>640</v>
      </c>
      <c r="C1135" s="220"/>
      <c r="D1135" s="221"/>
      <c r="E1135" s="220"/>
      <c r="F1135" s="217"/>
      <c r="G1135" s="217"/>
      <c r="H1135" s="212"/>
      <c r="I1135" s="219"/>
      <c r="J1135" s="222"/>
      <c r="K1135" s="199"/>
      <c r="L1135" s="330"/>
    </row>
    <row r="1136" spans="1:12" ht="24" customHeight="1">
      <c r="A1136" s="225"/>
      <c r="B1136" s="224" t="s">
        <v>645</v>
      </c>
      <c r="C1136" s="220">
        <v>1</v>
      </c>
      <c r="D1136" s="221">
        <f>2.75+2.5</f>
        <v>5.25</v>
      </c>
      <c r="E1136" s="220">
        <v>10</v>
      </c>
      <c r="F1136" s="217"/>
      <c r="G1136" s="217"/>
      <c r="H1136" s="212">
        <f t="shared" ref="H1136:H1145" si="58">C1136*D1136*E1136</f>
        <v>52.5</v>
      </c>
      <c r="I1136" s="219"/>
      <c r="J1136" s="222"/>
      <c r="K1136" s="199"/>
      <c r="L1136" s="330"/>
    </row>
    <row r="1137" spans="1:12" ht="24" customHeight="1">
      <c r="A1137" s="225"/>
      <c r="B1137" s="224" t="s">
        <v>641</v>
      </c>
      <c r="C1137" s="220">
        <v>1</v>
      </c>
      <c r="D1137" s="221">
        <f>24.75+4.5+1.25+1.5+1</f>
        <v>33</v>
      </c>
      <c r="E1137" s="220">
        <v>9.75</v>
      </c>
      <c r="F1137" s="217"/>
      <c r="G1137" s="217"/>
      <c r="H1137" s="212">
        <f t="shared" si="58"/>
        <v>321.75</v>
      </c>
      <c r="I1137" s="219"/>
      <c r="J1137" s="222"/>
      <c r="K1137" s="199"/>
      <c r="L1137" s="330"/>
    </row>
    <row r="1138" spans="1:12" ht="24" customHeight="1">
      <c r="A1138" s="225"/>
      <c r="B1138" s="224" t="s">
        <v>646</v>
      </c>
      <c r="C1138" s="220">
        <v>1</v>
      </c>
      <c r="D1138" s="221">
        <f>13</f>
        <v>13</v>
      </c>
      <c r="E1138" s="220">
        <v>10.25</v>
      </c>
      <c r="F1138" s="217"/>
      <c r="G1138" s="217"/>
      <c r="H1138" s="212">
        <f t="shared" si="58"/>
        <v>133.25</v>
      </c>
      <c r="I1138" s="219"/>
      <c r="J1138" s="222"/>
      <c r="K1138" s="199"/>
      <c r="L1138" s="330"/>
    </row>
    <row r="1139" spans="1:12" ht="24" customHeight="1">
      <c r="A1139" s="225"/>
      <c r="B1139" s="224" t="s">
        <v>650</v>
      </c>
      <c r="C1139" s="220">
        <v>1</v>
      </c>
      <c r="D1139" s="221">
        <f>12.5+14.25</f>
        <v>26.75</v>
      </c>
      <c r="E1139" s="220">
        <v>10.25</v>
      </c>
      <c r="F1139" s="217"/>
      <c r="G1139" s="217"/>
      <c r="H1139" s="212">
        <f t="shared" si="58"/>
        <v>274.1875</v>
      </c>
      <c r="I1139" s="219"/>
      <c r="J1139" s="222"/>
      <c r="K1139" s="199"/>
      <c r="L1139" s="330"/>
    </row>
    <row r="1140" spans="1:12" ht="24" customHeight="1">
      <c r="A1140" s="225"/>
      <c r="B1140" s="224" t="s">
        <v>890</v>
      </c>
      <c r="C1140" s="220">
        <v>-1</v>
      </c>
      <c r="D1140" s="221">
        <v>3.25</v>
      </c>
      <c r="E1140" s="220">
        <v>8</v>
      </c>
      <c r="F1140" s="217"/>
      <c r="G1140" s="217"/>
      <c r="H1140" s="212">
        <f t="shared" si="58"/>
        <v>-26</v>
      </c>
      <c r="I1140" s="219"/>
      <c r="J1140" s="222"/>
      <c r="K1140" s="199"/>
      <c r="L1140" s="330"/>
    </row>
    <row r="1141" spans="1:12" ht="24" customHeight="1">
      <c r="A1141" s="225"/>
      <c r="B1141" s="224" t="s">
        <v>899</v>
      </c>
      <c r="C1141" s="220">
        <v>1</v>
      </c>
      <c r="D1141" s="221">
        <v>14.25</v>
      </c>
      <c r="E1141" s="220">
        <v>2</v>
      </c>
      <c r="F1141" s="217"/>
      <c r="G1141" s="217"/>
      <c r="H1141" s="212">
        <f t="shared" si="58"/>
        <v>28.5</v>
      </c>
      <c r="I1141" s="219"/>
      <c r="J1141" s="222"/>
      <c r="K1141" s="199"/>
      <c r="L1141" s="330"/>
    </row>
    <row r="1142" spans="1:12" ht="24" customHeight="1">
      <c r="A1142" s="225"/>
      <c r="B1142" s="224" t="s">
        <v>900</v>
      </c>
      <c r="C1142" s="220">
        <v>1</v>
      </c>
      <c r="D1142" s="221">
        <v>14.25</v>
      </c>
      <c r="E1142" s="220">
        <v>10.25</v>
      </c>
      <c r="F1142" s="217"/>
      <c r="G1142" s="217"/>
      <c r="H1142" s="212">
        <f t="shared" si="58"/>
        <v>146.0625</v>
      </c>
      <c r="I1142" s="219"/>
      <c r="J1142" s="222"/>
      <c r="K1142" s="199"/>
      <c r="L1142" s="330"/>
    </row>
    <row r="1143" spans="1:12" ht="24" customHeight="1">
      <c r="A1143" s="225"/>
      <c r="B1143" s="224" t="s">
        <v>901</v>
      </c>
      <c r="C1143" s="220">
        <v>1</v>
      </c>
      <c r="D1143" s="221">
        <f>7.75</f>
        <v>7.75</v>
      </c>
      <c r="E1143" s="220">
        <v>4.5</v>
      </c>
      <c r="F1143" s="217"/>
      <c r="G1143" s="217"/>
      <c r="H1143" s="212">
        <f t="shared" si="58"/>
        <v>34.875</v>
      </c>
      <c r="I1143" s="219"/>
      <c r="J1143" s="222"/>
      <c r="K1143" s="199"/>
      <c r="L1143" s="330"/>
    </row>
    <row r="1144" spans="1:12" ht="24" customHeight="1">
      <c r="A1144" s="225"/>
      <c r="B1144" s="224" t="s">
        <v>901</v>
      </c>
      <c r="C1144" s="220">
        <v>1</v>
      </c>
      <c r="D1144" s="221">
        <v>16.75</v>
      </c>
      <c r="E1144" s="220">
        <v>1.75</v>
      </c>
      <c r="F1144" s="217"/>
      <c r="G1144" s="217"/>
      <c r="H1144" s="212">
        <f t="shared" si="58"/>
        <v>29.3125</v>
      </c>
      <c r="I1144" s="219"/>
      <c r="J1144" s="222"/>
      <c r="K1144" s="199"/>
      <c r="L1144" s="330"/>
    </row>
    <row r="1145" spans="1:12" ht="24" customHeight="1">
      <c r="A1145" s="225"/>
      <c r="B1145" s="224" t="s">
        <v>902</v>
      </c>
      <c r="C1145" s="220">
        <v>1</v>
      </c>
      <c r="D1145" s="221">
        <v>19.25</v>
      </c>
      <c r="E1145" s="220">
        <v>10</v>
      </c>
      <c r="F1145" s="217"/>
      <c r="G1145" s="217"/>
      <c r="H1145" s="212">
        <f t="shared" si="58"/>
        <v>192.5</v>
      </c>
      <c r="I1145" s="219"/>
      <c r="J1145" s="222"/>
      <c r="K1145" s="199"/>
      <c r="L1145" s="330"/>
    </row>
    <row r="1146" spans="1:12" ht="21">
      <c r="A1146" s="225"/>
      <c r="C1146" s="220"/>
      <c r="D1146" s="221"/>
      <c r="E1146" s="220"/>
      <c r="F1146" s="217"/>
      <c r="G1146" s="217"/>
      <c r="H1146" s="212"/>
      <c r="I1146" s="219"/>
      <c r="J1146" s="222"/>
      <c r="K1146" s="199"/>
      <c r="L1146" s="330"/>
    </row>
    <row r="1147" spans="1:12" ht="409.5">
      <c r="A1147" s="499" t="s">
        <v>959</v>
      </c>
      <c r="B1147" s="356" t="s">
        <v>1013</v>
      </c>
      <c r="C1147" s="354"/>
      <c r="D1147" s="354"/>
      <c r="E1147" s="354"/>
      <c r="F1147" s="348" t="s">
        <v>620</v>
      </c>
      <c r="G1147" s="348"/>
      <c r="H1147" s="349">
        <f>H1148</f>
        <v>12</v>
      </c>
      <c r="I1147" s="355" t="s">
        <v>754</v>
      </c>
      <c r="J1147" s="222"/>
      <c r="K1147" s="199"/>
      <c r="L1147" s="330"/>
    </row>
    <row r="1148" spans="1:12" ht="30" customHeight="1">
      <c r="A1148" s="225"/>
      <c r="B1148" s="194"/>
      <c r="C1148" s="220"/>
      <c r="D1148" s="221"/>
      <c r="E1148" s="220"/>
      <c r="F1148" s="217" t="s">
        <v>620</v>
      </c>
      <c r="G1148" s="217"/>
      <c r="H1148" s="218">
        <f>H1167</f>
        <v>12</v>
      </c>
      <c r="I1148" s="219" t="s">
        <v>754</v>
      </c>
      <c r="J1148" s="222"/>
      <c r="K1148" s="199"/>
      <c r="L1148" s="199"/>
    </row>
    <row r="1149" spans="1:12" ht="24" customHeight="1">
      <c r="A1149" s="225"/>
      <c r="B1149" s="223" t="s">
        <v>622</v>
      </c>
      <c r="C1149" s="220"/>
      <c r="D1149" s="221"/>
      <c r="E1149" s="220"/>
      <c r="F1149" s="217"/>
      <c r="G1149" s="217"/>
      <c r="H1149" s="212"/>
      <c r="I1149" s="219"/>
      <c r="J1149" s="222"/>
      <c r="K1149" s="199"/>
      <c r="L1149" s="199"/>
    </row>
    <row r="1150" spans="1:12" s="373" customFormat="1" ht="24" customHeight="1">
      <c r="A1150" s="225"/>
      <c r="B1150" s="224" t="s">
        <v>1009</v>
      </c>
      <c r="C1150" s="220">
        <v>1</v>
      </c>
      <c r="D1150" s="220">
        <v>3</v>
      </c>
      <c r="E1150" s="221">
        <v>8</v>
      </c>
      <c r="F1150" s="221"/>
      <c r="G1150" s="221"/>
      <c r="H1150" s="212">
        <f>C1150</f>
        <v>1</v>
      </c>
      <c r="I1150" s="219"/>
      <c r="J1150" s="371"/>
      <c r="K1150" s="372"/>
      <c r="L1150" s="372"/>
    </row>
    <row r="1151" spans="1:12" s="373" customFormat="1" ht="24" customHeight="1">
      <c r="A1151" s="417"/>
      <c r="B1151" s="245" t="s">
        <v>1010</v>
      </c>
      <c r="C1151" s="220">
        <v>1</v>
      </c>
      <c r="D1151" s="220">
        <v>3</v>
      </c>
      <c r="E1151" s="221">
        <v>8</v>
      </c>
      <c r="F1151" s="221"/>
      <c r="G1151" s="221"/>
      <c r="H1151" s="212">
        <f t="shared" ref="H1151:H1165" si="59">C1151</f>
        <v>1</v>
      </c>
      <c r="I1151" s="219"/>
      <c r="J1151" s="371"/>
      <c r="K1151" s="372"/>
      <c r="L1151" s="372"/>
    </row>
    <row r="1152" spans="1:12" s="373" customFormat="1" ht="24" customHeight="1">
      <c r="A1152" s="417"/>
      <c r="B1152" s="245" t="s">
        <v>915</v>
      </c>
      <c r="C1152" s="364">
        <v>1</v>
      </c>
      <c r="D1152" s="220">
        <v>3</v>
      </c>
      <c r="E1152" s="221">
        <v>8</v>
      </c>
      <c r="F1152" s="200"/>
      <c r="G1152" s="200"/>
      <c r="H1152" s="212">
        <f t="shared" si="59"/>
        <v>1</v>
      </c>
      <c r="I1152" s="219"/>
      <c r="J1152" s="371"/>
      <c r="K1152" s="372"/>
      <c r="L1152" s="372"/>
    </row>
    <row r="1153" spans="1:12" s="373" customFormat="1" ht="24" customHeight="1">
      <c r="A1153" s="433"/>
      <c r="B1153" s="315" t="s">
        <v>631</v>
      </c>
      <c r="C1153" s="226">
        <v>1</v>
      </c>
      <c r="D1153" s="226">
        <v>3</v>
      </c>
      <c r="E1153" s="227">
        <v>8</v>
      </c>
      <c r="F1153" s="227"/>
      <c r="G1153" s="227"/>
      <c r="H1153" s="212">
        <f t="shared" si="59"/>
        <v>1</v>
      </c>
      <c r="I1153" s="226"/>
      <c r="J1153" s="372"/>
      <c r="K1153" s="372"/>
      <c r="L1153" s="372"/>
    </row>
    <row r="1154" spans="1:12" s="373" customFormat="1" ht="24" customHeight="1">
      <c r="A1154" s="439"/>
      <c r="B1154" s="246" t="s">
        <v>639</v>
      </c>
      <c r="C1154" s="409">
        <v>1</v>
      </c>
      <c r="D1154" s="254">
        <v>3</v>
      </c>
      <c r="E1154" s="256">
        <v>8</v>
      </c>
      <c r="F1154" s="200"/>
      <c r="G1154" s="200"/>
      <c r="H1154" s="212">
        <f t="shared" si="59"/>
        <v>1</v>
      </c>
      <c r="I1154" s="226"/>
      <c r="J1154" s="372"/>
      <c r="K1154" s="372"/>
      <c r="L1154" s="372"/>
    </row>
    <row r="1155" spans="1:12" s="373" customFormat="1" ht="24" customHeight="1">
      <c r="A1155" s="433"/>
      <c r="B1155" s="258" t="s">
        <v>629</v>
      </c>
      <c r="C1155" s="226">
        <v>1</v>
      </c>
      <c r="D1155" s="226">
        <v>3</v>
      </c>
      <c r="E1155" s="227">
        <v>8</v>
      </c>
      <c r="F1155" s="227"/>
      <c r="G1155" s="227"/>
      <c r="H1155" s="212">
        <f t="shared" si="59"/>
        <v>1</v>
      </c>
      <c r="I1155" s="226"/>
      <c r="J1155" s="372"/>
      <c r="K1155" s="372"/>
      <c r="L1155" s="372"/>
    </row>
    <row r="1156" spans="1:12" s="373" customFormat="1" ht="24" customHeight="1">
      <c r="A1156" s="433"/>
      <c r="B1156" s="226"/>
      <c r="C1156" s="226"/>
      <c r="D1156" s="226"/>
      <c r="E1156" s="227"/>
      <c r="F1156" s="227"/>
      <c r="G1156" s="227"/>
      <c r="H1156" s="212"/>
      <c r="I1156" s="226"/>
      <c r="J1156" s="372"/>
      <c r="K1156" s="372"/>
      <c r="L1156" s="372"/>
    </row>
    <row r="1157" spans="1:12" s="373" customFormat="1" ht="24" customHeight="1">
      <c r="A1157" s="433"/>
      <c r="B1157" s="223" t="s">
        <v>637</v>
      </c>
      <c r="C1157" s="226"/>
      <c r="D1157" s="226"/>
      <c r="E1157" s="227"/>
      <c r="F1157" s="227"/>
      <c r="G1157" s="227"/>
      <c r="H1157" s="212"/>
      <c r="I1157" s="226"/>
      <c r="J1157" s="372"/>
      <c r="K1157" s="372"/>
      <c r="L1157" s="372"/>
    </row>
    <row r="1158" spans="1:12" s="373" customFormat="1" ht="24" customHeight="1">
      <c r="A1158" s="433"/>
      <c r="B1158" s="226" t="s">
        <v>639</v>
      </c>
      <c r="C1158" s="226">
        <v>1</v>
      </c>
      <c r="D1158" s="226">
        <v>3</v>
      </c>
      <c r="E1158" s="227">
        <v>8</v>
      </c>
      <c r="F1158" s="227"/>
      <c r="G1158" s="227"/>
      <c r="H1158" s="212">
        <f t="shared" si="59"/>
        <v>1</v>
      </c>
      <c r="I1158" s="226"/>
      <c r="J1158" s="372"/>
      <c r="K1158" s="372"/>
      <c r="L1158" s="372"/>
    </row>
    <row r="1159" spans="1:12" s="373" customFormat="1" ht="24" customHeight="1">
      <c r="A1159" s="433"/>
      <c r="B1159" s="226" t="s">
        <v>1014</v>
      </c>
      <c r="C1159" s="226">
        <v>1</v>
      </c>
      <c r="D1159" s="226">
        <v>3</v>
      </c>
      <c r="E1159" s="227">
        <v>8</v>
      </c>
      <c r="F1159" s="227"/>
      <c r="G1159" s="227"/>
      <c r="H1159" s="212">
        <f t="shared" si="59"/>
        <v>1</v>
      </c>
      <c r="I1159" s="226"/>
      <c r="J1159" s="372"/>
      <c r="K1159" s="372"/>
      <c r="L1159" s="372"/>
    </row>
    <row r="1160" spans="1:12" s="373" customFormat="1" ht="24" customHeight="1">
      <c r="A1160" s="433"/>
      <c r="B1160" s="226"/>
      <c r="C1160" s="226"/>
      <c r="D1160" s="226"/>
      <c r="E1160" s="227"/>
      <c r="F1160" s="227"/>
      <c r="G1160" s="227"/>
      <c r="H1160" s="212"/>
      <c r="I1160" s="226"/>
      <c r="J1160" s="371"/>
      <c r="K1160" s="372"/>
      <c r="L1160" s="372"/>
    </row>
    <row r="1161" spans="1:12" s="373" customFormat="1" ht="24" customHeight="1">
      <c r="A1161" s="433"/>
      <c r="B1161" s="223" t="s">
        <v>640</v>
      </c>
      <c r="C1161" s="226"/>
      <c r="D1161" s="226"/>
      <c r="E1161" s="227"/>
      <c r="F1161" s="227"/>
      <c r="G1161" s="227"/>
      <c r="H1161" s="212"/>
      <c r="I1161" s="226"/>
      <c r="J1161" s="371"/>
      <c r="K1161" s="372"/>
      <c r="L1161" s="372"/>
    </row>
    <row r="1162" spans="1:12" s="373" customFormat="1" ht="24" customHeight="1">
      <c r="A1162" s="433"/>
      <c r="B1162" s="224" t="s">
        <v>681</v>
      </c>
      <c r="C1162" s="226">
        <v>1</v>
      </c>
      <c r="D1162" s="226">
        <v>3</v>
      </c>
      <c r="E1162" s="227">
        <v>8</v>
      </c>
      <c r="F1162" s="227"/>
      <c r="G1162" s="227"/>
      <c r="H1162" s="212">
        <f t="shared" si="59"/>
        <v>1</v>
      </c>
      <c r="I1162" s="226"/>
      <c r="J1162" s="371"/>
      <c r="K1162" s="372"/>
      <c r="L1162" s="372"/>
    </row>
    <row r="1163" spans="1:12" ht="21" customHeight="1">
      <c r="A1163" s="433"/>
      <c r="B1163" s="226" t="s">
        <v>641</v>
      </c>
      <c r="C1163" s="226">
        <v>1</v>
      </c>
      <c r="D1163" s="226">
        <v>3</v>
      </c>
      <c r="E1163" s="227">
        <v>8</v>
      </c>
      <c r="F1163" s="227"/>
      <c r="G1163" s="227"/>
      <c r="H1163" s="212">
        <f t="shared" si="59"/>
        <v>1</v>
      </c>
      <c r="I1163" s="226"/>
      <c r="J1163" s="222"/>
      <c r="K1163" s="199"/>
      <c r="L1163" s="199"/>
    </row>
    <row r="1164" spans="1:12" ht="24" customHeight="1">
      <c r="A1164" s="433"/>
      <c r="B1164" s="226" t="s">
        <v>653</v>
      </c>
      <c r="C1164" s="226">
        <v>1</v>
      </c>
      <c r="D1164" s="226">
        <v>3</v>
      </c>
      <c r="E1164" s="227">
        <v>8</v>
      </c>
      <c r="F1164" s="227"/>
      <c r="G1164" s="227"/>
      <c r="H1164" s="212">
        <f t="shared" si="59"/>
        <v>1</v>
      </c>
      <c r="I1164" s="226"/>
      <c r="J1164" s="222"/>
      <c r="K1164" s="199"/>
      <c r="L1164" s="199"/>
    </row>
    <row r="1165" spans="1:12" ht="24" customHeight="1">
      <c r="A1165" s="433"/>
      <c r="B1165" s="226" t="s">
        <v>1015</v>
      </c>
      <c r="C1165" s="226">
        <v>1</v>
      </c>
      <c r="D1165" s="226">
        <v>3</v>
      </c>
      <c r="E1165" s="227">
        <v>8</v>
      </c>
      <c r="F1165" s="227"/>
      <c r="G1165" s="227"/>
      <c r="H1165" s="212">
        <f t="shared" si="59"/>
        <v>1</v>
      </c>
      <c r="I1165" s="226"/>
      <c r="J1165" s="222"/>
      <c r="K1165" s="199"/>
      <c r="L1165" s="199"/>
    </row>
    <row r="1166" spans="1:12" ht="24" customHeight="1">
      <c r="A1166" s="225"/>
      <c r="B1166" s="197"/>
      <c r="C1166" s="220"/>
      <c r="D1166" s="221"/>
      <c r="E1166" s="220"/>
      <c r="F1166" s="217"/>
      <c r="G1166" s="217"/>
      <c r="H1166" s="212"/>
      <c r="I1166" s="219"/>
      <c r="J1166" s="222"/>
      <c r="K1166" s="199"/>
      <c r="L1166" s="199"/>
    </row>
    <row r="1167" spans="1:12" ht="21">
      <c r="A1167" s="424"/>
      <c r="B1167" s="237"/>
      <c r="C1167" s="220"/>
      <c r="D1167" s="239"/>
      <c r="E1167" s="238"/>
      <c r="F1167" s="240"/>
      <c r="G1167" s="334"/>
      <c r="H1167" s="218">
        <f>SUM(H1150:H1166)</f>
        <v>12</v>
      </c>
      <c r="I1167" s="289"/>
      <c r="J1167" s="222"/>
      <c r="K1167" s="199"/>
      <c r="L1167" s="199"/>
    </row>
    <row r="1168" spans="1:12" ht="21">
      <c r="A1168" s="429"/>
      <c r="B1168" s="331"/>
      <c r="C1168" s="220"/>
      <c r="D1168" s="333"/>
      <c r="E1168" s="332"/>
      <c r="F1168" s="334"/>
      <c r="G1168" s="334"/>
      <c r="H1168" s="212"/>
      <c r="I1168" s="289"/>
      <c r="J1168" s="222"/>
      <c r="K1168" s="199"/>
      <c r="L1168" s="199"/>
    </row>
    <row r="1169" spans="1:12" ht="24" customHeight="1">
      <c r="A1169" s="214" t="s">
        <v>91</v>
      </c>
      <c r="B1169" s="215" t="s">
        <v>435</v>
      </c>
      <c r="C1169" s="216"/>
      <c r="D1169" s="216"/>
      <c r="E1169" s="216"/>
      <c r="F1169" s="217" t="s">
        <v>620</v>
      </c>
      <c r="G1169" s="217"/>
      <c r="H1169" s="218">
        <f>H1170/10.764</f>
        <v>7.0608324043106654</v>
      </c>
      <c r="I1169" s="219" t="s">
        <v>328</v>
      </c>
      <c r="J1169" s="222"/>
      <c r="K1169" s="199"/>
      <c r="L1169" s="199"/>
    </row>
    <row r="1170" spans="1:12" ht="24" customHeight="1">
      <c r="A1170" s="225"/>
      <c r="B1170" s="194"/>
      <c r="C1170" s="220"/>
      <c r="D1170" s="221"/>
      <c r="E1170" s="220"/>
      <c r="F1170" s="217" t="s">
        <v>620</v>
      </c>
      <c r="G1170" s="217"/>
      <c r="H1170" s="218">
        <f>SUM(H1173:H1186)</f>
        <v>76.002799999999993</v>
      </c>
      <c r="I1170" s="219" t="s">
        <v>621</v>
      </c>
      <c r="J1170" s="222"/>
      <c r="K1170" s="199"/>
      <c r="L1170" s="199"/>
    </row>
    <row r="1171" spans="1:12" ht="24" customHeight="1">
      <c r="A1171" s="225"/>
      <c r="B1171" s="194"/>
      <c r="C1171" s="220"/>
      <c r="D1171" s="221"/>
      <c r="E1171" s="220"/>
      <c r="F1171" s="217"/>
      <c r="G1171" s="217"/>
      <c r="H1171" s="218"/>
      <c r="I1171" s="219"/>
      <c r="J1171" s="222"/>
      <c r="K1171" s="199"/>
      <c r="L1171" s="199"/>
    </row>
    <row r="1172" spans="1:12" ht="24" customHeight="1">
      <c r="A1172" s="225"/>
      <c r="B1172" s="223" t="s">
        <v>622</v>
      </c>
      <c r="C1172" s="220"/>
      <c r="D1172" s="221"/>
      <c r="E1172" s="220"/>
      <c r="F1172" s="217"/>
      <c r="G1172" s="217"/>
      <c r="H1172" s="212"/>
      <c r="I1172" s="219"/>
      <c r="J1172" s="222"/>
      <c r="K1172" s="199"/>
      <c r="L1172" s="199"/>
    </row>
    <row r="1173" spans="1:12" ht="21">
      <c r="A1173" s="225"/>
      <c r="B1173" s="224" t="s">
        <v>626</v>
      </c>
      <c r="C1173" s="220">
        <v>1</v>
      </c>
      <c r="D1173" s="221">
        <v>2.16</v>
      </c>
      <c r="E1173" s="220">
        <v>2.33</v>
      </c>
      <c r="F1173" s="217"/>
      <c r="G1173" s="217"/>
      <c r="H1173" s="212">
        <f>C1173*D1173*E1173</f>
        <v>5.0328000000000008</v>
      </c>
      <c r="I1173" s="219"/>
      <c r="J1173" s="222"/>
      <c r="K1173" s="199"/>
      <c r="L1173" s="199"/>
    </row>
    <row r="1174" spans="1:12" ht="21">
      <c r="A1174" s="225"/>
      <c r="B1174" s="224" t="s">
        <v>628</v>
      </c>
      <c r="C1174" s="220">
        <v>1</v>
      </c>
      <c r="D1174" s="221">
        <v>3</v>
      </c>
      <c r="E1174" s="220">
        <v>2.33</v>
      </c>
      <c r="F1174" s="225"/>
      <c r="G1174" s="225"/>
      <c r="H1174" s="212">
        <f>C1174*D1174*E1174</f>
        <v>6.99</v>
      </c>
      <c r="I1174" s="219"/>
      <c r="J1174" s="222"/>
      <c r="K1174" s="199"/>
      <c r="L1174" s="199"/>
    </row>
    <row r="1175" spans="1:12" ht="24" customHeight="1">
      <c r="A1175" s="433"/>
      <c r="B1175" s="226" t="s">
        <v>632</v>
      </c>
      <c r="C1175" s="226">
        <v>1</v>
      </c>
      <c r="D1175" s="227">
        <v>2.5</v>
      </c>
      <c r="E1175" s="226">
        <v>2.5</v>
      </c>
      <c r="F1175" s="226"/>
      <c r="G1175" s="226"/>
      <c r="H1175" s="228">
        <f>C1175*D1175*E1175</f>
        <v>6.25</v>
      </c>
      <c r="I1175" s="226"/>
      <c r="J1175" s="222"/>
      <c r="K1175" s="199"/>
      <c r="L1175" s="199"/>
    </row>
    <row r="1176" spans="1:12" ht="24" customHeight="1">
      <c r="A1176" s="433"/>
      <c r="B1176" s="226" t="s">
        <v>634</v>
      </c>
      <c r="C1176" s="226">
        <v>1</v>
      </c>
      <c r="D1176" s="227">
        <v>2.5</v>
      </c>
      <c r="E1176" s="226">
        <v>2.5</v>
      </c>
      <c r="F1176" s="226"/>
      <c r="G1176" s="226"/>
      <c r="H1176" s="228">
        <f>C1176*D1176*E1176</f>
        <v>6.25</v>
      </c>
      <c r="I1176" s="226"/>
      <c r="J1176" s="222"/>
      <c r="K1176" s="199"/>
      <c r="L1176" s="199"/>
    </row>
    <row r="1177" spans="1:12" ht="24" customHeight="1">
      <c r="A1177" s="433"/>
      <c r="B1177" s="223" t="s">
        <v>637</v>
      </c>
      <c r="C1177" s="226"/>
      <c r="D1177" s="227"/>
      <c r="E1177" s="226"/>
      <c r="F1177" s="226"/>
      <c r="G1177" s="226"/>
      <c r="H1177" s="228"/>
      <c r="I1177" s="226"/>
      <c r="J1177" s="222"/>
      <c r="K1177" s="199"/>
      <c r="L1177" s="199"/>
    </row>
    <row r="1178" spans="1:12" ht="24" customHeight="1">
      <c r="A1178" s="433"/>
      <c r="B1178" s="226" t="s">
        <v>638</v>
      </c>
      <c r="C1178" s="226">
        <v>1</v>
      </c>
      <c r="D1178" s="221">
        <v>3</v>
      </c>
      <c r="E1178" s="220">
        <v>2.33</v>
      </c>
      <c r="F1178" s="226"/>
      <c r="G1178" s="226"/>
      <c r="H1178" s="228">
        <f>C1178*D1178*E1178</f>
        <v>6.99</v>
      </c>
      <c r="I1178" s="226"/>
      <c r="J1178" s="199"/>
      <c r="K1178" s="199"/>
      <c r="L1178" s="199"/>
    </row>
    <row r="1179" spans="1:12" ht="24" customHeight="1">
      <c r="A1179" s="433"/>
      <c r="B1179" s="226" t="s">
        <v>632</v>
      </c>
      <c r="C1179" s="226">
        <v>1</v>
      </c>
      <c r="D1179" s="227">
        <v>2.5</v>
      </c>
      <c r="E1179" s="226">
        <v>2.5</v>
      </c>
      <c r="F1179" s="226"/>
      <c r="G1179" s="226"/>
      <c r="H1179" s="228">
        <f>C1179*D1179*E1179</f>
        <v>6.25</v>
      </c>
      <c r="I1179" s="226"/>
      <c r="J1179" s="199"/>
      <c r="K1179" s="199"/>
      <c r="L1179" s="199"/>
    </row>
    <row r="1180" spans="1:12" ht="24" customHeight="1">
      <c r="A1180" s="433"/>
      <c r="B1180" s="226" t="s">
        <v>634</v>
      </c>
      <c r="C1180" s="226">
        <v>1</v>
      </c>
      <c r="D1180" s="227">
        <v>2.5</v>
      </c>
      <c r="E1180" s="226">
        <v>2.5</v>
      </c>
      <c r="F1180" s="226"/>
      <c r="G1180" s="226"/>
      <c r="H1180" s="228">
        <f>C1180*D1180*E1180</f>
        <v>6.25</v>
      </c>
      <c r="I1180" s="226"/>
      <c r="J1180" s="199"/>
      <c r="K1180" s="199"/>
      <c r="L1180" s="199"/>
    </row>
    <row r="1181" spans="1:12" ht="24" customHeight="1">
      <c r="A1181" s="433"/>
      <c r="B1181" s="223" t="s">
        <v>640</v>
      </c>
      <c r="C1181" s="226"/>
      <c r="D1181" s="227"/>
      <c r="E1181" s="226"/>
      <c r="F1181" s="226"/>
      <c r="G1181" s="226"/>
      <c r="H1181" s="228"/>
      <c r="I1181" s="226"/>
      <c r="J1181" s="199"/>
      <c r="K1181" s="199"/>
      <c r="L1181" s="199"/>
    </row>
    <row r="1182" spans="1:12" ht="24" customHeight="1">
      <c r="A1182" s="433"/>
      <c r="B1182" s="226" t="s">
        <v>654</v>
      </c>
      <c r="C1182" s="226">
        <v>1</v>
      </c>
      <c r="D1182" s="227">
        <v>2.5</v>
      </c>
      <c r="E1182" s="226">
        <v>2.5</v>
      </c>
      <c r="F1182" s="226"/>
      <c r="G1182" s="226"/>
      <c r="H1182" s="228">
        <f>C1182*D1182*E1182</f>
        <v>6.25</v>
      </c>
      <c r="I1182" s="226"/>
      <c r="J1182" s="199"/>
      <c r="K1182" s="199"/>
      <c r="L1182" s="199"/>
    </row>
    <row r="1183" spans="1:12" ht="24" customHeight="1">
      <c r="A1183" s="433"/>
      <c r="B1183" s="226" t="s">
        <v>652</v>
      </c>
      <c r="C1183" s="226">
        <v>1</v>
      </c>
      <c r="D1183" s="227">
        <v>2.5</v>
      </c>
      <c r="E1183" s="226">
        <v>2.5</v>
      </c>
      <c r="F1183" s="226"/>
      <c r="G1183" s="226"/>
      <c r="H1183" s="228">
        <f>C1183*D1183*E1183</f>
        <v>6.25</v>
      </c>
      <c r="I1183" s="226"/>
      <c r="J1183" s="199"/>
      <c r="K1183" s="199"/>
      <c r="L1183" s="199"/>
    </row>
    <row r="1184" spans="1:12" ht="24" customHeight="1">
      <c r="A1184" s="433"/>
      <c r="B1184" s="226" t="s">
        <v>654</v>
      </c>
      <c r="C1184" s="226">
        <v>1</v>
      </c>
      <c r="D1184" s="227">
        <v>2.5</v>
      </c>
      <c r="E1184" s="226">
        <v>2.5</v>
      </c>
      <c r="F1184" s="226"/>
      <c r="G1184" s="226"/>
      <c r="H1184" s="228">
        <f>C1184*D1184*E1184</f>
        <v>6.25</v>
      </c>
      <c r="I1184" s="226"/>
      <c r="J1184" s="222"/>
      <c r="K1184" s="199"/>
      <c r="L1184" s="199"/>
    </row>
    <row r="1185" spans="1:12" ht="24" customHeight="1">
      <c r="A1185" s="433"/>
      <c r="B1185" s="226" t="s">
        <v>655</v>
      </c>
      <c r="C1185" s="226">
        <v>1</v>
      </c>
      <c r="D1185" s="227">
        <v>2.5</v>
      </c>
      <c r="E1185" s="226">
        <v>2.5</v>
      </c>
      <c r="F1185" s="226"/>
      <c r="G1185" s="226"/>
      <c r="H1185" s="228">
        <f>C1185*D1185*E1185</f>
        <v>6.25</v>
      </c>
      <c r="I1185" s="226"/>
      <c r="J1185" s="222"/>
      <c r="K1185" s="199"/>
      <c r="L1185" s="199"/>
    </row>
    <row r="1186" spans="1:12" ht="24" customHeight="1">
      <c r="A1186" s="225"/>
      <c r="B1186" s="226" t="s">
        <v>656</v>
      </c>
      <c r="C1186" s="226">
        <v>1</v>
      </c>
      <c r="D1186" s="221">
        <v>3</v>
      </c>
      <c r="E1186" s="220">
        <v>2.33</v>
      </c>
      <c r="F1186" s="226"/>
      <c r="G1186" s="226"/>
      <c r="H1186" s="228">
        <f>C1186*D1186*E1186</f>
        <v>6.99</v>
      </c>
      <c r="I1186" s="219"/>
      <c r="J1186" s="222"/>
      <c r="K1186" s="199"/>
      <c r="L1186" s="199"/>
    </row>
    <row r="1187" spans="1:12" ht="24" customHeight="1">
      <c r="A1187" s="429"/>
      <c r="B1187" s="456"/>
      <c r="C1187" s="456"/>
      <c r="D1187" s="333"/>
      <c r="E1187" s="332"/>
      <c r="F1187" s="226"/>
      <c r="G1187" s="226"/>
      <c r="H1187" s="228"/>
      <c r="I1187" s="219"/>
      <c r="J1187" s="222"/>
      <c r="K1187" s="199"/>
      <c r="L1187" s="199"/>
    </row>
    <row r="1188" spans="1:12" ht="237" customHeight="1">
      <c r="A1188" s="509">
        <v>11.55</v>
      </c>
      <c r="B1188" s="510" t="s">
        <v>1077</v>
      </c>
      <c r="C1188" s="511"/>
      <c r="D1188" s="512"/>
      <c r="E1188" s="511"/>
      <c r="F1188" s="513" t="s">
        <v>620</v>
      </c>
      <c r="G1188" s="513"/>
      <c r="H1188" s="514">
        <f>H1196/10.764</f>
        <v>147.15719063545151</v>
      </c>
      <c r="I1188" s="515" t="s">
        <v>1080</v>
      </c>
      <c r="J1188" s="222"/>
      <c r="K1188" s="199"/>
      <c r="L1188" s="199"/>
    </row>
    <row r="1189" spans="1:12" ht="21">
      <c r="A1189" s="509" t="s">
        <v>990</v>
      </c>
      <c r="B1189" s="516" t="s">
        <v>991</v>
      </c>
      <c r="C1189" s="511"/>
      <c r="D1189" s="512"/>
      <c r="E1189" s="511"/>
      <c r="F1189" s="513"/>
      <c r="G1189" s="513"/>
      <c r="H1189" s="514"/>
      <c r="I1189" s="515"/>
      <c r="J1189" s="222"/>
      <c r="K1189" s="199"/>
      <c r="L1189" s="199"/>
    </row>
    <row r="1190" spans="1:12" ht="21">
      <c r="A1190" s="413"/>
      <c r="B1190" s="393" t="s">
        <v>992</v>
      </c>
      <c r="C1190" s="388">
        <v>1</v>
      </c>
      <c r="D1190" s="391">
        <v>4</v>
      </c>
      <c r="E1190" s="388">
        <v>156</v>
      </c>
      <c r="F1190" s="389"/>
      <c r="G1190" s="389"/>
      <c r="H1190" s="394">
        <f>C1190*D1190*E1190</f>
        <v>624</v>
      </c>
      <c r="I1190" s="390"/>
      <c r="J1190" s="222"/>
      <c r="K1190" s="199"/>
      <c r="L1190" s="199"/>
    </row>
    <row r="1191" spans="1:12" ht="24" customHeight="1">
      <c r="A1191" s="413"/>
      <c r="B1191" s="393"/>
      <c r="C1191" s="388">
        <v>1</v>
      </c>
      <c r="D1191" s="391">
        <v>4</v>
      </c>
      <c r="E1191" s="388">
        <v>44</v>
      </c>
      <c r="F1191" s="389"/>
      <c r="G1191" s="389"/>
      <c r="H1191" s="394">
        <f>C1191*D1191*E1191</f>
        <v>176</v>
      </c>
      <c r="I1191" s="390"/>
      <c r="J1191" s="222"/>
      <c r="K1191" s="199"/>
      <c r="L1191" s="199"/>
    </row>
    <row r="1192" spans="1:12" ht="24" customHeight="1">
      <c r="A1192" s="413"/>
      <c r="B1192" s="393"/>
      <c r="C1192" s="388">
        <v>1</v>
      </c>
      <c r="D1192" s="391">
        <v>4</v>
      </c>
      <c r="E1192" s="388">
        <v>44</v>
      </c>
      <c r="F1192" s="389"/>
      <c r="G1192" s="389"/>
      <c r="H1192" s="394">
        <f>C1192*D1192*E1192</f>
        <v>176</v>
      </c>
      <c r="I1192" s="390"/>
      <c r="J1192" s="222"/>
      <c r="K1192" s="199"/>
      <c r="L1192" s="199"/>
    </row>
    <row r="1193" spans="1:12" ht="24" customHeight="1">
      <c r="A1193" s="413"/>
      <c r="B1193" s="393" t="s">
        <v>1079</v>
      </c>
      <c r="C1193" s="388">
        <v>2</v>
      </c>
      <c r="D1193" s="391">
        <v>2</v>
      </c>
      <c r="E1193" s="388">
        <v>112</v>
      </c>
      <c r="F1193" s="389"/>
      <c r="G1193" s="389"/>
      <c r="H1193" s="394">
        <f>C1193*D1193*E1193</f>
        <v>448</v>
      </c>
      <c r="I1193" s="390"/>
      <c r="J1193" s="222"/>
      <c r="K1193" s="199"/>
      <c r="L1193" s="199"/>
    </row>
    <row r="1194" spans="1:12" ht="24" customHeight="1">
      <c r="A1194" s="430"/>
      <c r="B1194" s="393"/>
      <c r="C1194" s="388">
        <v>2</v>
      </c>
      <c r="D1194" s="391">
        <v>2</v>
      </c>
      <c r="E1194" s="388">
        <v>40</v>
      </c>
      <c r="F1194" s="389"/>
      <c r="G1194" s="389"/>
      <c r="H1194" s="394">
        <f>C1194*D1194*E1194</f>
        <v>160</v>
      </c>
      <c r="I1194" s="390"/>
      <c r="J1194" s="222"/>
      <c r="K1194" s="199"/>
      <c r="L1194" s="199"/>
    </row>
    <row r="1195" spans="1:12" ht="24" customHeight="1">
      <c r="A1195" s="430"/>
      <c r="B1195" s="393"/>
      <c r="C1195" s="388"/>
      <c r="D1195" s="391"/>
      <c r="E1195" s="388"/>
      <c r="F1195" s="389"/>
      <c r="G1195" s="389"/>
      <c r="H1195" s="394"/>
      <c r="I1195" s="390"/>
      <c r="J1195" s="222"/>
      <c r="K1195" s="199"/>
      <c r="L1195" s="199"/>
    </row>
    <row r="1196" spans="1:12" ht="24" customHeight="1">
      <c r="A1196" s="430"/>
      <c r="B1196" s="393"/>
      <c r="C1196" s="388"/>
      <c r="D1196" s="391"/>
      <c r="E1196" s="388"/>
      <c r="F1196" s="395" t="s">
        <v>620</v>
      </c>
      <c r="G1196" s="395"/>
      <c r="H1196" s="396">
        <f>SUM(H1190:H1195)</f>
        <v>1584</v>
      </c>
      <c r="I1196" s="397" t="s">
        <v>621</v>
      </c>
      <c r="J1196" s="222"/>
      <c r="K1196" s="199"/>
      <c r="L1196" s="199"/>
    </row>
    <row r="1197" spans="1:12" ht="24" customHeight="1">
      <c r="A1197" s="457"/>
      <c r="B1197" s="470"/>
      <c r="C1197" s="388"/>
      <c r="D1197" s="391"/>
      <c r="E1197" s="388"/>
      <c r="F1197" s="395"/>
      <c r="G1197" s="395"/>
      <c r="H1197" s="396"/>
      <c r="I1197" s="397"/>
      <c r="J1197" s="222"/>
      <c r="K1197" s="199"/>
      <c r="L1197" s="199"/>
    </row>
    <row r="1198" spans="1:12" ht="147">
      <c r="A1198" s="517">
        <v>16.920000000000002</v>
      </c>
      <c r="B1198" s="518" t="s">
        <v>1076</v>
      </c>
      <c r="C1198" s="511"/>
      <c r="D1198" s="512"/>
      <c r="E1198" s="511"/>
      <c r="F1198" s="513"/>
      <c r="G1198" s="513"/>
      <c r="H1198" s="519"/>
      <c r="I1198" s="390"/>
      <c r="J1198" s="222"/>
      <c r="K1198" s="199"/>
      <c r="L1198" s="199"/>
    </row>
    <row r="1199" spans="1:12" ht="21">
      <c r="A1199" s="431"/>
      <c r="B1199" s="393" t="s">
        <v>993</v>
      </c>
      <c r="C1199" s="388">
        <v>1</v>
      </c>
      <c r="D1199" s="391"/>
      <c r="E1199" s="388"/>
      <c r="F1199" s="389"/>
      <c r="G1199" s="389"/>
      <c r="H1199" s="394">
        <v>515</v>
      </c>
      <c r="I1199" s="390"/>
      <c r="J1199" s="222"/>
      <c r="K1199" s="199"/>
      <c r="L1199" s="199"/>
    </row>
    <row r="1200" spans="1:12" ht="24" customHeight="1">
      <c r="A1200" s="431"/>
      <c r="B1200" s="398"/>
      <c r="C1200" s="399"/>
      <c r="D1200" s="391"/>
      <c r="E1200" s="388"/>
      <c r="F1200" s="389"/>
      <c r="G1200" s="389"/>
      <c r="H1200" s="394"/>
      <c r="I1200" s="390"/>
      <c r="J1200" s="222"/>
      <c r="K1200" s="199"/>
      <c r="L1200" s="199"/>
    </row>
    <row r="1201" spans="1:12" s="244" customFormat="1" ht="24" customHeight="1">
      <c r="A1201" s="431"/>
      <c r="B1201" s="465"/>
      <c r="C1201" s="460"/>
      <c r="D1201" s="466"/>
      <c r="E1201" s="460"/>
      <c r="F1201" s="461"/>
      <c r="G1201" s="461"/>
      <c r="H1201" s="466"/>
      <c r="I1201" s="462"/>
      <c r="J1201" s="469"/>
      <c r="K1201" s="410"/>
      <c r="L1201" s="410"/>
    </row>
    <row r="1202" spans="1:12" s="249" customFormat="1" ht="273">
      <c r="A1202" s="520">
        <v>16.91</v>
      </c>
      <c r="B1202" s="521" t="s">
        <v>994</v>
      </c>
      <c r="C1202" s="522"/>
      <c r="D1202" s="523"/>
      <c r="E1202" s="522"/>
      <c r="F1202" s="524" t="s">
        <v>620</v>
      </c>
      <c r="G1202" s="524"/>
      <c r="H1202" s="525">
        <f>H1204/10.726</f>
        <v>853.99962707439863</v>
      </c>
      <c r="I1202" s="526" t="s">
        <v>1080</v>
      </c>
      <c r="J1202" s="359"/>
      <c r="K1202" s="360"/>
      <c r="L1202" s="360"/>
    </row>
    <row r="1203" spans="1:12" ht="21">
      <c r="A1203" s="431"/>
      <c r="B1203" s="465"/>
      <c r="C1203" s="460"/>
      <c r="D1203" s="466"/>
      <c r="E1203" s="460"/>
      <c r="F1203" s="461"/>
      <c r="G1203" s="461"/>
      <c r="H1203" s="467"/>
      <c r="I1203" s="462"/>
      <c r="J1203" s="222"/>
      <c r="K1203" s="199"/>
      <c r="L1203" s="199"/>
    </row>
    <row r="1204" spans="1:12" ht="42">
      <c r="A1204" s="517" t="s">
        <v>995</v>
      </c>
      <c r="B1204" s="527" t="s">
        <v>996</v>
      </c>
      <c r="C1204" s="528"/>
      <c r="D1204" s="529"/>
      <c r="E1204" s="528"/>
      <c r="F1204" s="530"/>
      <c r="G1204" s="530"/>
      <c r="H1204" s="531">
        <f>H1205+H1206+H1207</f>
        <v>9160</v>
      </c>
      <c r="I1204" s="530"/>
      <c r="J1204" s="222"/>
      <c r="K1204" s="199"/>
      <c r="L1204" s="199"/>
    </row>
    <row r="1205" spans="1:12" ht="21">
      <c r="A1205" s="431"/>
      <c r="B1205" s="468" t="s">
        <v>1073</v>
      </c>
      <c r="C1205" s="460">
        <v>1</v>
      </c>
      <c r="D1205" s="466">
        <v>160</v>
      </c>
      <c r="E1205" s="460">
        <v>30</v>
      </c>
      <c r="F1205" s="400"/>
      <c r="G1205" s="400"/>
      <c r="H1205" s="400">
        <f>C1205*D1205*E1205</f>
        <v>4800</v>
      </c>
      <c r="I1205" s="400"/>
      <c r="J1205" s="222"/>
      <c r="K1205" s="199"/>
      <c r="L1205" s="199"/>
    </row>
    <row r="1206" spans="1:12" ht="24" customHeight="1">
      <c r="A1206" s="431"/>
      <c r="B1206" s="468" t="s">
        <v>1074</v>
      </c>
      <c r="C1206" s="460">
        <v>1</v>
      </c>
      <c r="D1206" s="466">
        <v>80</v>
      </c>
      <c r="E1206" s="460">
        <v>38</v>
      </c>
      <c r="F1206" s="461"/>
      <c r="G1206" s="461"/>
      <c r="H1206" s="400">
        <f>C1206*D1206*E1206</f>
        <v>3040</v>
      </c>
      <c r="I1206" s="462"/>
      <c r="J1206" s="222"/>
      <c r="K1206" s="199"/>
      <c r="L1206" s="199"/>
    </row>
    <row r="1207" spans="1:12" ht="24" customHeight="1">
      <c r="A1207" s="432"/>
      <c r="B1207" s="463" t="s">
        <v>1075</v>
      </c>
      <c r="C1207" s="459">
        <v>1</v>
      </c>
      <c r="D1207" s="464">
        <v>120</v>
      </c>
      <c r="E1207" s="459">
        <v>11</v>
      </c>
      <c r="F1207" s="401"/>
      <c r="G1207" s="598"/>
      <c r="H1207" s="400">
        <f>C1207*D1207*E1207</f>
        <v>1320</v>
      </c>
      <c r="I1207" s="402"/>
      <c r="J1207" s="222"/>
      <c r="K1207" s="199"/>
      <c r="L1207" s="199"/>
    </row>
    <row r="1208" spans="1:12" ht="24" customHeight="1">
      <c r="A1208" s="432"/>
      <c r="B1208" s="463"/>
      <c r="C1208" s="459"/>
      <c r="D1208" s="464"/>
      <c r="E1208" s="459"/>
      <c r="F1208" s="401"/>
      <c r="G1208" s="598"/>
      <c r="H1208" s="458"/>
      <c r="I1208" s="402"/>
      <c r="J1208" s="222"/>
      <c r="K1208" s="199"/>
      <c r="L1208" s="199"/>
    </row>
    <row r="1209" spans="1:12" ht="24" customHeight="1">
      <c r="A1209" s="509" t="s">
        <v>997</v>
      </c>
      <c r="B1209" s="532" t="s">
        <v>998</v>
      </c>
      <c r="C1209" s="511"/>
      <c r="D1209" s="512"/>
      <c r="E1209" s="511"/>
      <c r="F1209" s="513"/>
      <c r="G1209" s="513"/>
      <c r="H1209" s="519"/>
      <c r="I1209" s="515"/>
      <c r="J1209" s="222"/>
      <c r="K1209" s="199"/>
      <c r="L1209" s="199"/>
    </row>
    <row r="1210" spans="1:12" ht="24" customHeight="1">
      <c r="A1210" s="413"/>
      <c r="B1210" s="393" t="s">
        <v>999</v>
      </c>
      <c r="C1210" s="388">
        <v>1</v>
      </c>
      <c r="D1210" s="391"/>
      <c r="E1210" s="388"/>
      <c r="F1210" s="389"/>
      <c r="G1210" s="389"/>
      <c r="H1210" s="406">
        <v>1200</v>
      </c>
      <c r="I1210" s="390"/>
      <c r="J1210" s="222"/>
      <c r="K1210" s="199"/>
      <c r="L1210" s="199"/>
    </row>
    <row r="1211" spans="1:12" ht="24" customHeight="1">
      <c r="A1211" s="413"/>
      <c r="B1211" s="393"/>
      <c r="C1211" s="388"/>
      <c r="D1211" s="391"/>
      <c r="E1211" s="388" t="s">
        <v>736</v>
      </c>
      <c r="F1211" s="389"/>
      <c r="G1211" s="389"/>
      <c r="H1211" s="394"/>
      <c r="I1211" s="390"/>
      <c r="J1211" s="222"/>
      <c r="K1211" s="199"/>
      <c r="L1211" s="199"/>
    </row>
    <row r="1212" spans="1:12" ht="24" customHeight="1">
      <c r="A1212" s="413"/>
      <c r="B1212" s="403" t="s">
        <v>1000</v>
      </c>
      <c r="C1212" s="388"/>
      <c r="D1212" s="471" t="s">
        <v>1081</v>
      </c>
      <c r="E1212" s="388"/>
      <c r="F1212" s="389"/>
      <c r="G1212" s="389"/>
      <c r="H1212" s="394"/>
      <c r="I1212" s="390"/>
      <c r="J1212" s="222"/>
      <c r="K1212" s="199"/>
      <c r="L1212" s="199"/>
    </row>
    <row r="1213" spans="1:12" ht="24" customHeight="1">
      <c r="A1213" s="413"/>
      <c r="B1213" s="393" t="s">
        <v>1001</v>
      </c>
      <c r="C1213" s="388">
        <v>1</v>
      </c>
      <c r="D1213" s="391">
        <v>1000</v>
      </c>
      <c r="E1213" s="388"/>
      <c r="F1213" s="389"/>
      <c r="G1213" s="389"/>
      <c r="H1213" s="394">
        <f>D1213</f>
        <v>1000</v>
      </c>
      <c r="I1213" s="390"/>
      <c r="J1213" s="222"/>
      <c r="K1213" s="199"/>
      <c r="L1213" s="199"/>
    </row>
    <row r="1214" spans="1:12" ht="24" customHeight="1">
      <c r="A1214" s="413"/>
      <c r="B1214" s="404"/>
      <c r="C1214" s="388"/>
      <c r="D1214" s="405"/>
      <c r="E1214" s="388"/>
      <c r="F1214" s="389"/>
      <c r="G1214" s="389"/>
      <c r="H1214" s="394"/>
      <c r="I1214" s="390"/>
      <c r="J1214" s="222"/>
      <c r="K1214" s="199"/>
      <c r="L1214" s="199"/>
    </row>
    <row r="1215" spans="1:12" ht="24" customHeight="1">
      <c r="A1215" s="509" t="s">
        <v>997</v>
      </c>
      <c r="B1215" s="532" t="s">
        <v>1002</v>
      </c>
      <c r="C1215" s="533">
        <v>1</v>
      </c>
      <c r="D1215" s="512">
        <v>144</v>
      </c>
      <c r="E1215" s="511"/>
      <c r="F1215" s="513"/>
      <c r="G1215" s="513"/>
      <c r="H1215" s="519">
        <f>D1215</f>
        <v>144</v>
      </c>
      <c r="I1215" s="515"/>
      <c r="J1215" s="222"/>
      <c r="K1215" s="199"/>
      <c r="L1215" s="199"/>
    </row>
    <row r="1216" spans="1:12" ht="24" customHeight="1">
      <c r="A1216" s="225"/>
      <c r="B1216" s="224"/>
      <c r="C1216" s="220"/>
      <c r="D1216" s="221"/>
      <c r="E1216" s="220"/>
      <c r="F1216" s="217"/>
      <c r="G1216" s="217"/>
      <c r="H1216" s="212"/>
      <c r="I1216" s="219"/>
      <c r="J1216" s="222"/>
      <c r="K1216" s="199"/>
      <c r="L1216" s="199"/>
    </row>
    <row r="1217" spans="1:12" ht="205.9" customHeight="1">
      <c r="A1217" s="509" t="s">
        <v>1037</v>
      </c>
      <c r="B1217" s="510" t="s">
        <v>1038</v>
      </c>
      <c r="C1217" s="511"/>
      <c r="D1217" s="512"/>
      <c r="E1217" s="511"/>
      <c r="F1217" s="513" t="s">
        <v>620</v>
      </c>
      <c r="G1217" s="513"/>
      <c r="H1217" s="514">
        <f>H1220+H1221+H1222</f>
        <v>2768.4</v>
      </c>
      <c r="I1217" s="515" t="s">
        <v>1039</v>
      </c>
      <c r="J1217" s="222"/>
      <c r="K1217" s="199"/>
      <c r="L1217" s="199"/>
    </row>
    <row r="1218" spans="1:12" ht="24" customHeight="1">
      <c r="A1218" s="225"/>
      <c r="B1218" s="224"/>
      <c r="C1218" s="220"/>
      <c r="D1218" s="221"/>
      <c r="E1218" s="220"/>
      <c r="F1218" s="217"/>
      <c r="G1218" s="217"/>
      <c r="H1218" s="212"/>
      <c r="I1218" s="219"/>
      <c r="J1218" s="222"/>
      <c r="K1218" s="199"/>
      <c r="L1218" s="199"/>
    </row>
    <row r="1219" spans="1:12" ht="24" customHeight="1">
      <c r="A1219" s="225"/>
      <c r="B1219" s="224" t="s">
        <v>1033</v>
      </c>
      <c r="C1219" s="220"/>
      <c r="D1219" s="221"/>
      <c r="E1219" s="220"/>
      <c r="F1219" s="217"/>
      <c r="G1219" s="217"/>
      <c r="H1219" s="212"/>
      <c r="I1219" s="219"/>
      <c r="J1219" s="222"/>
      <c r="K1219" s="199"/>
      <c r="L1219" s="199"/>
    </row>
    <row r="1220" spans="1:12" ht="24" customHeight="1">
      <c r="A1220" s="225"/>
      <c r="B1220" s="224" t="s">
        <v>1036</v>
      </c>
      <c r="C1220" s="220">
        <v>12</v>
      </c>
      <c r="D1220" s="221">
        <v>4.5</v>
      </c>
      <c r="E1220" s="220">
        <v>12</v>
      </c>
      <c r="F1220" s="217"/>
      <c r="G1220" s="217"/>
      <c r="H1220" s="212">
        <f>C1220*E1220*D1220</f>
        <v>648</v>
      </c>
      <c r="I1220" s="219"/>
      <c r="J1220" s="222"/>
      <c r="K1220" s="199"/>
      <c r="L1220" s="199"/>
    </row>
    <row r="1221" spans="1:12" ht="24" customHeight="1">
      <c r="A1221" s="225"/>
      <c r="B1221" s="231" t="s">
        <v>1034</v>
      </c>
      <c r="C1221" s="220">
        <v>32</v>
      </c>
      <c r="D1221" s="221">
        <v>2</v>
      </c>
      <c r="E1221" s="220">
        <v>9</v>
      </c>
      <c r="F1221" s="217"/>
      <c r="G1221" s="217"/>
      <c r="H1221" s="212">
        <f>C1221*E1221*D1221</f>
        <v>576</v>
      </c>
      <c r="I1221" s="219"/>
      <c r="J1221" s="222"/>
      <c r="K1221" s="199"/>
      <c r="L1221" s="199"/>
    </row>
    <row r="1222" spans="1:12" ht="24" customHeight="1">
      <c r="A1222" s="417"/>
      <c r="B1222" s="245" t="s">
        <v>1035</v>
      </c>
      <c r="C1222" s="220">
        <v>360</v>
      </c>
      <c r="D1222" s="221">
        <v>1.3</v>
      </c>
      <c r="E1222" s="220">
        <v>3.3</v>
      </c>
      <c r="F1222" s="217"/>
      <c r="G1222" s="217"/>
      <c r="H1222" s="212">
        <f>C1222*E1222*D1222</f>
        <v>1544.4</v>
      </c>
      <c r="I1222" s="219"/>
      <c r="J1222" s="222"/>
      <c r="K1222" s="199"/>
      <c r="L1222" s="199"/>
    </row>
    <row r="1223" spans="1:12" ht="24" customHeight="1">
      <c r="A1223" s="225"/>
      <c r="B1223" s="302"/>
      <c r="C1223" s="260"/>
      <c r="D1223" s="297"/>
      <c r="E1223" s="260"/>
      <c r="F1223" s="217"/>
      <c r="G1223" s="217"/>
      <c r="H1223" s="212"/>
      <c r="I1223" s="219"/>
      <c r="J1223" s="222"/>
      <c r="K1223" s="199"/>
      <c r="L1223" s="199"/>
    </row>
    <row r="1224" spans="1:12" ht="409.5">
      <c r="A1224" s="500" t="s">
        <v>1047</v>
      </c>
      <c r="B1224" s="534" t="s">
        <v>1048</v>
      </c>
      <c r="C1224" s="535"/>
      <c r="D1224" s="536"/>
      <c r="E1224" s="535"/>
      <c r="F1224" s="513" t="s">
        <v>620</v>
      </c>
      <c r="G1224" s="513"/>
      <c r="H1224" s="514">
        <f>H1233/10.746</f>
        <v>310.60487623301697</v>
      </c>
      <c r="I1224" s="515" t="s">
        <v>1006</v>
      </c>
      <c r="J1224" s="222"/>
      <c r="K1224" s="199"/>
      <c r="L1224" s="199"/>
    </row>
    <row r="1225" spans="1:12" ht="24" customHeight="1">
      <c r="A1225" s="225"/>
      <c r="B1225" s="237"/>
      <c r="C1225" s="303"/>
      <c r="D1225" s="297"/>
      <c r="E1225" s="260"/>
      <c r="F1225" s="217"/>
      <c r="G1225" s="217"/>
      <c r="H1225" s="212"/>
      <c r="I1225" s="219"/>
      <c r="J1225" s="222"/>
      <c r="K1225" s="199"/>
      <c r="L1225" s="199"/>
    </row>
    <row r="1226" spans="1:12" ht="24" customHeight="1">
      <c r="A1226" s="225"/>
      <c r="B1226" s="302" t="s">
        <v>1049</v>
      </c>
      <c r="C1226" s="260" t="s">
        <v>755</v>
      </c>
      <c r="D1226" s="297">
        <v>52.5</v>
      </c>
      <c r="E1226" s="260">
        <v>10.1</v>
      </c>
      <c r="F1226" s="217"/>
      <c r="G1226" s="217"/>
      <c r="H1226" s="212">
        <f t="shared" ref="H1226:H1231" si="60">D1226*E1226</f>
        <v>530.25</v>
      </c>
      <c r="I1226" s="219"/>
      <c r="J1226" s="199"/>
      <c r="K1226" s="199"/>
      <c r="L1226" s="199"/>
    </row>
    <row r="1227" spans="1:12" ht="24" customHeight="1">
      <c r="A1227" s="225"/>
      <c r="B1227" s="302" t="s">
        <v>1050</v>
      </c>
      <c r="C1227" s="260" t="s">
        <v>755</v>
      </c>
      <c r="D1227" s="297">
        <v>52.5</v>
      </c>
      <c r="E1227" s="260">
        <v>12.4</v>
      </c>
      <c r="F1227" s="217"/>
      <c r="G1227" s="217"/>
      <c r="H1227" s="212">
        <f t="shared" si="60"/>
        <v>651</v>
      </c>
      <c r="I1227" s="219"/>
      <c r="J1227" s="199"/>
      <c r="K1227" s="199"/>
      <c r="L1227" s="199"/>
    </row>
    <row r="1228" spans="1:12" ht="24" customHeight="1">
      <c r="A1228" s="225"/>
      <c r="B1228" s="302" t="s">
        <v>1051</v>
      </c>
      <c r="C1228" s="260" t="s">
        <v>755</v>
      </c>
      <c r="D1228" s="297">
        <v>43.4</v>
      </c>
      <c r="E1228" s="260">
        <v>10.1</v>
      </c>
      <c r="F1228" s="217"/>
      <c r="G1228" s="217"/>
      <c r="H1228" s="212">
        <f t="shared" si="60"/>
        <v>438.34</v>
      </c>
      <c r="I1228" s="219"/>
      <c r="J1228" s="222"/>
      <c r="K1228" s="199"/>
      <c r="L1228" s="199"/>
    </row>
    <row r="1229" spans="1:12" ht="24" customHeight="1">
      <c r="A1229" s="225"/>
      <c r="B1229" s="302" t="s">
        <v>1052</v>
      </c>
      <c r="C1229" s="260" t="s">
        <v>755</v>
      </c>
      <c r="D1229" s="297">
        <v>43.4</v>
      </c>
      <c r="E1229" s="260">
        <v>12.4</v>
      </c>
      <c r="F1229" s="217"/>
      <c r="G1229" s="217"/>
      <c r="H1229" s="212">
        <f t="shared" si="60"/>
        <v>538.16</v>
      </c>
      <c r="I1229" s="219"/>
      <c r="J1229" s="222"/>
      <c r="K1229" s="199"/>
      <c r="L1229" s="199"/>
    </row>
    <row r="1230" spans="1:12" ht="24" customHeight="1">
      <c r="A1230" s="225"/>
      <c r="B1230" s="302" t="s">
        <v>1053</v>
      </c>
      <c r="C1230" s="260" t="s">
        <v>755</v>
      </c>
      <c r="D1230" s="297">
        <v>52.5</v>
      </c>
      <c r="E1230" s="260">
        <v>10.1</v>
      </c>
      <c r="F1230" s="217"/>
      <c r="G1230" s="217"/>
      <c r="H1230" s="212">
        <f t="shared" si="60"/>
        <v>530.25</v>
      </c>
      <c r="I1230" s="219"/>
      <c r="J1230" s="222"/>
      <c r="K1230" s="199"/>
      <c r="L1230" s="199"/>
    </row>
    <row r="1231" spans="1:12" ht="24" customHeight="1">
      <c r="A1231" s="225"/>
      <c r="B1231" s="302" t="s">
        <v>1054</v>
      </c>
      <c r="C1231" s="260" t="s">
        <v>755</v>
      </c>
      <c r="D1231" s="297">
        <v>52.4</v>
      </c>
      <c r="E1231" s="260">
        <v>12.4</v>
      </c>
      <c r="F1231" s="217"/>
      <c r="G1231" s="217"/>
      <c r="H1231" s="212">
        <f t="shared" si="60"/>
        <v>649.76</v>
      </c>
      <c r="I1231" s="219"/>
      <c r="J1231" s="222"/>
      <c r="K1231" s="199"/>
      <c r="L1231" s="199"/>
    </row>
    <row r="1232" spans="1:12" ht="24" customHeight="1">
      <c r="A1232" s="225"/>
      <c r="B1232" s="302"/>
      <c r="C1232" s="260"/>
      <c r="D1232" s="297"/>
      <c r="E1232" s="260"/>
      <c r="F1232" s="217"/>
      <c r="G1232" s="217"/>
      <c r="H1232" s="212"/>
      <c r="I1232" s="219"/>
      <c r="J1232" s="222"/>
      <c r="K1232" s="199"/>
      <c r="L1232" s="199"/>
    </row>
    <row r="1233" spans="1:12" ht="24" customHeight="1">
      <c r="A1233" s="225"/>
      <c r="B1233" s="302"/>
      <c r="C1233" s="260"/>
      <c r="D1233" s="297"/>
      <c r="E1233" s="260"/>
      <c r="F1233" s="389" t="s">
        <v>620</v>
      </c>
      <c r="G1233" s="389"/>
      <c r="H1233" s="218">
        <f>SUM(H1226:H1232)</f>
        <v>3337.76</v>
      </c>
      <c r="I1233" s="219" t="s">
        <v>755</v>
      </c>
      <c r="J1233" s="199"/>
      <c r="K1233" s="199"/>
      <c r="L1233" s="199"/>
    </row>
    <row r="1234" spans="1:12" ht="24" customHeight="1">
      <c r="A1234" s="225"/>
      <c r="B1234" s="302"/>
      <c r="C1234" s="260"/>
      <c r="D1234" s="297"/>
      <c r="E1234" s="260"/>
      <c r="F1234" s="217"/>
      <c r="G1234" s="217"/>
      <c r="H1234" s="212"/>
      <c r="I1234" s="219"/>
      <c r="J1234" s="199"/>
      <c r="K1234" s="199"/>
      <c r="L1234" s="199"/>
    </row>
    <row r="1235" spans="1:12" ht="24" customHeight="1">
      <c r="A1235" s="225"/>
      <c r="B1235" s="412" t="s">
        <v>1055</v>
      </c>
      <c r="C1235" s="260"/>
      <c r="D1235" s="297"/>
      <c r="E1235" s="260"/>
      <c r="F1235" s="389" t="s">
        <v>620</v>
      </c>
      <c r="G1235" s="389"/>
      <c r="H1235" s="392">
        <f>H1241/10.746</f>
        <v>145.1256281407035</v>
      </c>
      <c r="I1235" s="390" t="s">
        <v>1006</v>
      </c>
      <c r="J1235" s="199"/>
      <c r="K1235" s="199"/>
      <c r="L1235" s="199"/>
    </row>
    <row r="1236" spans="1:12" ht="24" customHeight="1">
      <c r="A1236" s="225"/>
      <c r="B1236" s="302"/>
      <c r="C1236" s="297"/>
      <c r="D1236" s="297"/>
      <c r="E1236" s="260"/>
      <c r="F1236" s="217"/>
      <c r="G1236" s="217"/>
      <c r="H1236" s="212"/>
      <c r="I1236" s="219"/>
      <c r="J1236" s="199"/>
      <c r="K1236" s="199"/>
      <c r="L1236" s="199"/>
    </row>
    <row r="1237" spans="1:12" ht="24" customHeight="1">
      <c r="A1237" s="225"/>
      <c r="B1237" s="224" t="s">
        <v>1056</v>
      </c>
      <c r="C1237" s="260" t="s">
        <v>755</v>
      </c>
      <c r="D1237" s="221">
        <v>49.6</v>
      </c>
      <c r="E1237" s="220">
        <v>11.4</v>
      </c>
      <c r="F1237" s="217"/>
      <c r="G1237" s="217"/>
      <c r="H1237" s="212">
        <f>D1237*E1237</f>
        <v>565.44000000000005</v>
      </c>
      <c r="I1237" s="219"/>
      <c r="J1237" s="199"/>
      <c r="K1237" s="199"/>
      <c r="L1237" s="199"/>
    </row>
    <row r="1238" spans="1:12" ht="23.45" customHeight="1">
      <c r="A1238" s="225"/>
      <c r="B1238" s="224" t="s">
        <v>1057</v>
      </c>
      <c r="C1238" s="260" t="s">
        <v>755</v>
      </c>
      <c r="D1238" s="221">
        <v>38.6</v>
      </c>
      <c r="E1238" s="220">
        <v>11.4</v>
      </c>
      <c r="F1238" s="217"/>
      <c r="G1238" s="217"/>
      <c r="H1238" s="212">
        <f>D1238*E1238</f>
        <v>440.04</v>
      </c>
      <c r="I1238" s="219"/>
      <c r="J1238" s="199"/>
      <c r="K1238" s="199"/>
      <c r="L1238" s="199"/>
    </row>
    <row r="1239" spans="1:12" ht="23.45" customHeight="1">
      <c r="A1239" s="225"/>
      <c r="B1239" s="224" t="s">
        <v>1058</v>
      </c>
      <c r="C1239" s="260" t="s">
        <v>755</v>
      </c>
      <c r="D1239" s="221">
        <v>48.6</v>
      </c>
      <c r="E1239" s="220">
        <v>11.4</v>
      </c>
      <c r="F1239" s="217"/>
      <c r="G1239" s="217"/>
      <c r="H1239" s="212">
        <f>D1239*E1239</f>
        <v>554.04000000000008</v>
      </c>
      <c r="I1239" s="219"/>
      <c r="J1239" s="199"/>
      <c r="K1239" s="199"/>
      <c r="L1239" s="199"/>
    </row>
    <row r="1240" spans="1:12" ht="23.45" customHeight="1">
      <c r="A1240" s="225"/>
      <c r="B1240" s="224"/>
      <c r="C1240" s="220"/>
      <c r="D1240" s="221"/>
      <c r="E1240" s="220"/>
      <c r="F1240" s="217"/>
      <c r="G1240" s="217"/>
      <c r="H1240" s="212"/>
      <c r="I1240" s="219"/>
      <c r="J1240" s="199"/>
      <c r="K1240" s="199"/>
      <c r="L1240" s="199"/>
    </row>
    <row r="1241" spans="1:12" ht="23.45" customHeight="1">
      <c r="A1241" s="225"/>
      <c r="B1241" s="224"/>
      <c r="C1241" s="220"/>
      <c r="D1241" s="221"/>
      <c r="E1241" s="220"/>
      <c r="F1241" s="389" t="s">
        <v>620</v>
      </c>
      <c r="G1241" s="389"/>
      <c r="H1241" s="218">
        <f>SUM(H1237:H1240)</f>
        <v>1559.52</v>
      </c>
      <c r="I1241" s="219" t="s">
        <v>755</v>
      </c>
      <c r="J1241" s="199"/>
      <c r="K1241" s="199"/>
      <c r="L1241" s="199"/>
    </row>
    <row r="1242" spans="1:12" ht="23.45" customHeight="1">
      <c r="A1242" s="225"/>
      <c r="B1242" s="412"/>
      <c r="C1242" s="220"/>
      <c r="D1242" s="221"/>
      <c r="E1242" s="220"/>
      <c r="F1242" s="389"/>
      <c r="G1242" s="389"/>
      <c r="H1242" s="218"/>
      <c r="I1242" s="219"/>
      <c r="J1242" s="199"/>
      <c r="K1242" s="199"/>
      <c r="L1242" s="199"/>
    </row>
    <row r="1243" spans="1:12" ht="23.45" customHeight="1">
      <c r="A1243" s="225"/>
      <c r="B1243" s="412" t="s">
        <v>1061</v>
      </c>
      <c r="C1243" s="220"/>
      <c r="D1243" s="221"/>
      <c r="E1243" s="220"/>
      <c r="F1243" s="389" t="s">
        <v>620</v>
      </c>
      <c r="G1243" s="389"/>
      <c r="H1243" s="218">
        <f>H1249*15</f>
        <v>3990</v>
      </c>
      <c r="I1243" s="219" t="s">
        <v>351</v>
      </c>
      <c r="J1243" s="199"/>
      <c r="K1243" s="199"/>
      <c r="L1243" s="199"/>
    </row>
    <row r="1244" spans="1:12" ht="23.45" customHeight="1">
      <c r="A1244" s="225"/>
      <c r="B1244" s="412"/>
      <c r="C1244" s="220"/>
      <c r="D1244" s="221"/>
      <c r="E1244" s="220"/>
      <c r="F1244" s="389"/>
      <c r="G1244" s="389"/>
      <c r="H1244" s="218"/>
      <c r="I1244" s="219"/>
      <c r="J1244" s="199"/>
      <c r="K1244" s="199"/>
      <c r="L1244" s="199"/>
    </row>
    <row r="1245" spans="1:12" ht="23.45" customHeight="1">
      <c r="A1245" s="225"/>
      <c r="B1245" s="224" t="s">
        <v>1063</v>
      </c>
      <c r="C1245" s="220"/>
      <c r="D1245" s="221">
        <v>40</v>
      </c>
      <c r="E1245" s="220">
        <v>3.5</v>
      </c>
      <c r="F1245" s="217"/>
      <c r="G1245" s="217"/>
      <c r="H1245" s="212">
        <f>D1245*E1245</f>
        <v>140</v>
      </c>
      <c r="I1245" s="219"/>
      <c r="J1245" s="199"/>
      <c r="K1245" s="199"/>
      <c r="L1245" s="199"/>
    </row>
    <row r="1246" spans="1:12" ht="23.45" customHeight="1">
      <c r="A1246" s="225"/>
      <c r="B1246" s="224" t="s">
        <v>1064</v>
      </c>
      <c r="C1246" s="220"/>
      <c r="D1246" s="221">
        <v>15</v>
      </c>
      <c r="E1246" s="220">
        <v>6</v>
      </c>
      <c r="F1246" s="217"/>
      <c r="G1246" s="217"/>
      <c r="H1246" s="212">
        <f>D1246*E1246</f>
        <v>90</v>
      </c>
      <c r="I1246" s="219"/>
      <c r="J1246" s="199"/>
      <c r="K1246" s="199"/>
      <c r="L1246" s="199"/>
    </row>
    <row r="1247" spans="1:12" ht="23.45" customHeight="1">
      <c r="A1247" s="225"/>
      <c r="B1247" s="224" t="s">
        <v>1065</v>
      </c>
      <c r="C1247" s="220"/>
      <c r="D1247" s="221">
        <v>12</v>
      </c>
      <c r="E1247" s="220">
        <v>3</v>
      </c>
      <c r="F1247" s="217"/>
      <c r="G1247" s="217"/>
      <c r="H1247" s="212">
        <f>D1247*E1247</f>
        <v>36</v>
      </c>
      <c r="I1247" s="219"/>
      <c r="J1247" s="199"/>
      <c r="K1247" s="199"/>
      <c r="L1247" s="199"/>
    </row>
    <row r="1248" spans="1:12" ht="23.45" customHeight="1">
      <c r="A1248" s="225"/>
      <c r="B1248" s="224"/>
      <c r="C1248" s="220"/>
      <c r="D1248" s="221"/>
      <c r="E1248" s="220"/>
      <c r="F1248" s="217"/>
      <c r="G1248" s="217"/>
      <c r="H1248" s="212"/>
      <c r="I1248" s="219"/>
      <c r="J1248" s="199"/>
      <c r="K1248" s="199"/>
      <c r="L1248" s="199"/>
    </row>
    <row r="1249" spans="1:12" ht="23.45" customHeight="1">
      <c r="A1249" s="225"/>
      <c r="B1249" s="224"/>
      <c r="C1249" s="220"/>
      <c r="D1249" s="221"/>
      <c r="E1249" s="220"/>
      <c r="F1249" s="389" t="s">
        <v>620</v>
      </c>
      <c r="G1249" s="389"/>
      <c r="H1249" s="218">
        <f>SUM(H1245:H1248)</f>
        <v>266</v>
      </c>
      <c r="I1249" s="219" t="s">
        <v>1062</v>
      </c>
      <c r="J1249" s="199"/>
      <c r="K1249" s="199"/>
      <c r="L1249" s="199"/>
    </row>
    <row r="1250" spans="1:12" ht="23.45" customHeight="1">
      <c r="A1250" s="225"/>
      <c r="B1250" s="224"/>
      <c r="C1250" s="220"/>
      <c r="D1250" s="221"/>
      <c r="E1250" s="220"/>
      <c r="F1250" s="217"/>
      <c r="G1250" s="217"/>
      <c r="H1250" s="212"/>
      <c r="I1250" s="219"/>
      <c r="J1250" s="199"/>
      <c r="K1250" s="199"/>
      <c r="L1250" s="199"/>
    </row>
    <row r="1251" spans="1:12" ht="23.45" customHeight="1">
      <c r="A1251" s="225"/>
      <c r="B1251" s="223" t="s">
        <v>1059</v>
      </c>
      <c r="C1251" s="220"/>
      <c r="D1251" s="221"/>
      <c r="E1251" s="220"/>
      <c r="F1251" s="389" t="s">
        <v>620</v>
      </c>
      <c r="G1251" s="389"/>
      <c r="H1251" s="392">
        <f>H1252/10.746</f>
        <v>37.223152801042247</v>
      </c>
      <c r="I1251" s="390" t="s">
        <v>1006</v>
      </c>
      <c r="J1251" s="199"/>
      <c r="K1251" s="199"/>
      <c r="L1251" s="199"/>
    </row>
    <row r="1252" spans="1:12" ht="24" customHeight="1">
      <c r="A1252" s="225"/>
      <c r="B1252" s="224" t="s">
        <v>1060</v>
      </c>
      <c r="C1252" s="220" t="s">
        <v>755</v>
      </c>
      <c r="D1252" s="221">
        <v>20</v>
      </c>
      <c r="E1252" s="220">
        <v>20</v>
      </c>
      <c r="F1252" s="217"/>
      <c r="G1252" s="217"/>
      <c r="H1252" s="212">
        <f>D1252*E1252</f>
        <v>400</v>
      </c>
      <c r="I1252" s="219"/>
      <c r="J1252" s="222"/>
      <c r="K1252" s="199"/>
      <c r="L1252" s="199"/>
    </row>
    <row r="1253" spans="1:12" ht="24" customHeight="1">
      <c r="A1253" s="225"/>
      <c r="B1253" s="224"/>
      <c r="C1253" s="220"/>
      <c r="D1253" s="221"/>
      <c r="E1253" s="220"/>
      <c r="F1253" s="217"/>
      <c r="G1253" s="217"/>
      <c r="H1253" s="212"/>
      <c r="I1253" s="219"/>
      <c r="J1253" s="222"/>
      <c r="K1253" s="199"/>
      <c r="L1253" s="199"/>
    </row>
    <row r="1254" spans="1:12" ht="24" customHeight="1">
      <c r="A1254" s="556">
        <v>13.47</v>
      </c>
      <c r="B1254" s="557" t="s">
        <v>1043</v>
      </c>
      <c r="C1254" s="502"/>
      <c r="D1254" s="503"/>
      <c r="E1254" s="502"/>
      <c r="F1254" s="513" t="s">
        <v>620</v>
      </c>
      <c r="G1254" s="513"/>
      <c r="H1254" s="505">
        <f>H1297/10.764</f>
        <v>942.07543664065406</v>
      </c>
      <c r="I1254" s="506" t="s">
        <v>1006</v>
      </c>
      <c r="J1254" s="222"/>
      <c r="K1254" s="199"/>
      <c r="L1254" s="199"/>
    </row>
    <row r="1255" spans="1:12" ht="63">
      <c r="A1255" s="556" t="s">
        <v>1040</v>
      </c>
      <c r="B1255" s="558" t="s">
        <v>1042</v>
      </c>
      <c r="C1255" s="502"/>
      <c r="D1255" s="503"/>
      <c r="E1255" s="502"/>
      <c r="F1255" s="504"/>
      <c r="G1255" s="504"/>
      <c r="H1255" s="559"/>
      <c r="I1255" s="506"/>
      <c r="J1255" s="222"/>
      <c r="K1255" s="199"/>
      <c r="L1255" s="199"/>
    </row>
    <row r="1256" spans="1:12" ht="24" customHeight="1">
      <c r="A1256" s="570"/>
      <c r="B1256" s="571"/>
      <c r="C1256" s="572"/>
      <c r="D1256" s="573"/>
      <c r="E1256" s="572"/>
      <c r="F1256" s="574"/>
      <c r="G1256" s="574"/>
      <c r="H1256" s="575"/>
      <c r="I1256" s="576"/>
      <c r="J1256" s="222"/>
      <c r="K1256" s="199"/>
      <c r="L1256" s="199"/>
    </row>
    <row r="1257" spans="1:12" ht="46.5">
      <c r="A1257" s="568"/>
      <c r="B1257" s="588" t="s">
        <v>1041</v>
      </c>
      <c r="C1257" s="589" t="s">
        <v>755</v>
      </c>
      <c r="D1257" s="584"/>
      <c r="E1257" s="583"/>
      <c r="F1257" s="585"/>
      <c r="G1257" s="585"/>
      <c r="H1257" s="586">
        <f>D1257*E1257</f>
        <v>0</v>
      </c>
      <c r="I1257" s="553"/>
      <c r="J1257" s="222"/>
      <c r="K1257" s="199"/>
      <c r="L1257" s="199"/>
    </row>
    <row r="1258" spans="1:12" ht="21">
      <c r="A1258" s="587"/>
      <c r="B1258" s="582"/>
      <c r="C1258" s="583"/>
      <c r="D1258" s="584"/>
      <c r="E1258" s="583"/>
      <c r="F1258" s="585"/>
      <c r="G1258" s="585"/>
      <c r="H1258" s="586"/>
      <c r="I1258" s="553"/>
      <c r="J1258" s="222"/>
      <c r="K1258" s="199"/>
      <c r="L1258" s="199"/>
    </row>
    <row r="1259" spans="1:12" ht="21">
      <c r="A1259" s="537"/>
      <c r="B1259" s="544" t="s">
        <v>1086</v>
      </c>
      <c r="C1259" s="577"/>
      <c r="D1259" s="578">
        <v>1</v>
      </c>
      <c r="E1259" s="577">
        <v>109</v>
      </c>
      <c r="F1259" s="579" t="s">
        <v>1082</v>
      </c>
      <c r="G1259" s="579"/>
      <c r="H1259" s="580">
        <f t="shared" ref="H1259:H1268" si="61">D1259*E1259*F1259</f>
        <v>3924</v>
      </c>
      <c r="I1259" s="581"/>
      <c r="J1259" s="222"/>
      <c r="K1259" s="199"/>
      <c r="L1259" s="199"/>
    </row>
    <row r="1260" spans="1:12" ht="21">
      <c r="A1260" s="545"/>
      <c r="B1260" s="546" t="s">
        <v>1083</v>
      </c>
      <c r="C1260" s="547"/>
      <c r="D1260" s="539">
        <v>-6</v>
      </c>
      <c r="E1260" s="538">
        <v>12</v>
      </c>
      <c r="F1260" s="541" t="s">
        <v>1084</v>
      </c>
      <c r="G1260" s="541"/>
      <c r="H1260" s="542">
        <f t="shared" si="61"/>
        <v>-576</v>
      </c>
      <c r="I1260" s="540"/>
      <c r="J1260" s="222"/>
      <c r="K1260" s="199"/>
      <c r="L1260" s="199"/>
    </row>
    <row r="1261" spans="1:12" ht="21">
      <c r="A1261" s="545"/>
      <c r="B1261" s="550"/>
      <c r="C1261" s="547"/>
      <c r="D1261" s="539">
        <v>-6</v>
      </c>
      <c r="E1261" s="538">
        <v>10</v>
      </c>
      <c r="F1261" s="541" t="s">
        <v>1084</v>
      </c>
      <c r="G1261" s="541"/>
      <c r="H1261" s="542">
        <f t="shared" si="61"/>
        <v>-480</v>
      </c>
      <c r="I1261" s="540"/>
      <c r="J1261" s="222"/>
      <c r="K1261" s="199"/>
      <c r="L1261" s="199"/>
    </row>
    <row r="1262" spans="1:12" ht="21">
      <c r="A1262" s="545"/>
      <c r="B1262" s="550"/>
      <c r="C1262" s="547"/>
      <c r="D1262" s="539">
        <v>-3</v>
      </c>
      <c r="E1262" s="538">
        <v>7.75</v>
      </c>
      <c r="F1262" s="541" t="s">
        <v>1084</v>
      </c>
      <c r="G1262" s="541"/>
      <c r="H1262" s="542">
        <f t="shared" si="61"/>
        <v>-186</v>
      </c>
      <c r="I1262" s="540"/>
      <c r="J1262" s="222"/>
      <c r="K1262" s="199"/>
      <c r="L1262" s="199"/>
    </row>
    <row r="1263" spans="1:12" ht="21">
      <c r="A1263" s="545"/>
      <c r="B1263" s="550"/>
      <c r="C1263" s="547"/>
      <c r="D1263" s="539">
        <v>-3</v>
      </c>
      <c r="E1263" s="538">
        <v>15.5</v>
      </c>
      <c r="F1263" s="541" t="s">
        <v>1084</v>
      </c>
      <c r="G1263" s="541"/>
      <c r="H1263" s="542">
        <f t="shared" si="61"/>
        <v>-372</v>
      </c>
      <c r="I1263" s="540"/>
      <c r="J1263" s="222"/>
      <c r="K1263" s="199"/>
      <c r="L1263" s="199"/>
    </row>
    <row r="1264" spans="1:12" ht="21">
      <c r="A1264" s="545"/>
      <c r="B1264" s="550"/>
      <c r="C1264" s="547"/>
      <c r="D1264" s="539">
        <v>-3</v>
      </c>
      <c r="E1264" s="538">
        <v>13.25</v>
      </c>
      <c r="F1264" s="541" t="s">
        <v>1084</v>
      </c>
      <c r="G1264" s="541"/>
      <c r="H1264" s="542">
        <f t="shared" si="61"/>
        <v>-318</v>
      </c>
      <c r="I1264" s="540"/>
      <c r="J1264" s="222"/>
      <c r="K1264" s="199"/>
      <c r="L1264" s="199"/>
    </row>
    <row r="1265" spans="1:12" ht="31.9" customHeight="1">
      <c r="A1265" s="545"/>
      <c r="B1265" s="550"/>
      <c r="C1265" s="547"/>
      <c r="D1265" s="539">
        <v>-2</v>
      </c>
      <c r="E1265" s="538">
        <v>10.5</v>
      </c>
      <c r="F1265" s="541" t="s">
        <v>1084</v>
      </c>
      <c r="G1265" s="541"/>
      <c r="H1265" s="542">
        <f t="shared" si="61"/>
        <v>-168</v>
      </c>
      <c r="I1265" s="540"/>
      <c r="J1265" s="222"/>
      <c r="K1265" s="199"/>
      <c r="L1265" s="199"/>
    </row>
    <row r="1266" spans="1:12" ht="24.6" customHeight="1">
      <c r="A1266" s="537"/>
      <c r="B1266" s="549" t="s">
        <v>1078</v>
      </c>
      <c r="C1266" s="538"/>
      <c r="D1266" s="539">
        <v>3</v>
      </c>
      <c r="E1266" s="538">
        <v>112</v>
      </c>
      <c r="F1266" s="541" t="s">
        <v>691</v>
      </c>
      <c r="G1266" s="541"/>
      <c r="H1266" s="542">
        <f t="shared" si="61"/>
        <v>672</v>
      </c>
      <c r="I1266" s="540"/>
      <c r="J1266" s="222"/>
      <c r="K1266" s="199"/>
      <c r="L1266" s="199"/>
    </row>
    <row r="1267" spans="1:12" ht="24.6" customHeight="1">
      <c r="A1267" s="537"/>
      <c r="B1267" s="543"/>
      <c r="C1267" s="538"/>
      <c r="D1267" s="539">
        <v>3</v>
      </c>
      <c r="E1267" s="538">
        <v>112</v>
      </c>
      <c r="F1267" s="541" t="s">
        <v>691</v>
      </c>
      <c r="G1267" s="541"/>
      <c r="H1267" s="542">
        <f t="shared" si="61"/>
        <v>672</v>
      </c>
      <c r="I1267" s="540"/>
      <c r="J1267" s="222"/>
      <c r="K1267" s="199"/>
      <c r="L1267" s="199"/>
    </row>
    <row r="1268" spans="1:12" ht="34.9" customHeight="1">
      <c r="A1268" s="537"/>
      <c r="B1268" s="543"/>
      <c r="C1268" s="538"/>
      <c r="D1268" s="539">
        <v>3</v>
      </c>
      <c r="E1268" s="538">
        <v>112</v>
      </c>
      <c r="F1268" s="541" t="s">
        <v>1085</v>
      </c>
      <c r="G1268" s="541"/>
      <c r="H1268" s="542">
        <f t="shared" si="61"/>
        <v>168</v>
      </c>
      <c r="I1268" s="540"/>
      <c r="J1268" s="222"/>
      <c r="K1268" s="199"/>
      <c r="L1268" s="199"/>
    </row>
    <row r="1269" spans="1:12" ht="34.9" customHeight="1">
      <c r="A1269" s="537"/>
      <c r="B1269" s="543"/>
      <c r="C1269" s="538"/>
      <c r="D1269" s="539"/>
      <c r="E1269" s="538"/>
      <c r="F1269" s="541"/>
      <c r="G1269" s="541"/>
      <c r="H1269" s="542"/>
      <c r="I1269" s="540"/>
      <c r="J1269" s="222"/>
      <c r="K1269" s="199"/>
      <c r="L1269" s="199"/>
    </row>
    <row r="1270" spans="1:12" ht="34.9" customHeight="1">
      <c r="A1270" s="537"/>
      <c r="B1270" s="544" t="s">
        <v>1087</v>
      </c>
      <c r="C1270" s="538"/>
      <c r="D1270" s="539">
        <v>1</v>
      </c>
      <c r="E1270" s="538">
        <v>40</v>
      </c>
      <c r="F1270" s="541" t="s">
        <v>1082</v>
      </c>
      <c r="G1270" s="541"/>
      <c r="H1270" s="542">
        <f t="shared" ref="H1270:H1276" si="62">D1270*E1270*F1270</f>
        <v>1440</v>
      </c>
      <c r="I1270" s="540"/>
      <c r="J1270" s="222"/>
      <c r="K1270" s="199"/>
      <c r="L1270" s="199"/>
    </row>
    <row r="1271" spans="1:12" ht="34.9" customHeight="1">
      <c r="A1271" s="537"/>
      <c r="B1271" s="546" t="s">
        <v>1083</v>
      </c>
      <c r="C1271" s="547"/>
      <c r="D1271" s="539">
        <v>-2</v>
      </c>
      <c r="E1271" s="538">
        <v>11.75</v>
      </c>
      <c r="F1271" s="541" t="s">
        <v>1084</v>
      </c>
      <c r="G1271" s="541"/>
      <c r="H1271" s="542">
        <f t="shared" si="62"/>
        <v>-188</v>
      </c>
      <c r="I1271" s="540"/>
      <c r="J1271" s="222"/>
      <c r="K1271" s="199"/>
      <c r="L1271" s="199"/>
    </row>
    <row r="1272" spans="1:12" ht="34.9" customHeight="1">
      <c r="A1272" s="537"/>
      <c r="B1272" s="548"/>
      <c r="C1272" s="547"/>
      <c r="D1272" s="539">
        <v>-1</v>
      </c>
      <c r="E1272" s="538">
        <v>8</v>
      </c>
      <c r="F1272" s="541" t="s">
        <v>1084</v>
      </c>
      <c r="G1272" s="541"/>
      <c r="H1272" s="542">
        <f t="shared" si="62"/>
        <v>-64</v>
      </c>
      <c r="I1272" s="540"/>
      <c r="J1272" s="222"/>
      <c r="K1272" s="199"/>
      <c r="L1272" s="199"/>
    </row>
    <row r="1273" spans="1:12" ht="34.9" customHeight="1">
      <c r="A1273" s="537"/>
      <c r="B1273" s="548"/>
      <c r="C1273" s="547"/>
      <c r="D1273" s="539">
        <v>-1</v>
      </c>
      <c r="E1273" s="538">
        <v>15</v>
      </c>
      <c r="F1273" s="541" t="s">
        <v>1084</v>
      </c>
      <c r="G1273" s="541"/>
      <c r="H1273" s="542">
        <f t="shared" si="62"/>
        <v>-120</v>
      </c>
      <c r="I1273" s="540"/>
      <c r="J1273" s="222"/>
      <c r="K1273" s="199"/>
      <c r="L1273" s="199"/>
    </row>
    <row r="1274" spans="1:12" ht="34.9" customHeight="1">
      <c r="A1274" s="545"/>
      <c r="B1274" s="550" t="s">
        <v>1078</v>
      </c>
      <c r="C1274" s="547"/>
      <c r="D1274" s="539">
        <v>3</v>
      </c>
      <c r="E1274" s="538">
        <v>43.5</v>
      </c>
      <c r="F1274" s="541" t="s">
        <v>691</v>
      </c>
      <c r="G1274" s="541"/>
      <c r="H1274" s="542">
        <f t="shared" si="62"/>
        <v>261</v>
      </c>
      <c r="I1274" s="540"/>
      <c r="J1274" s="222"/>
      <c r="K1274" s="199"/>
      <c r="L1274" s="199"/>
    </row>
    <row r="1275" spans="1:12" ht="34.9" customHeight="1">
      <c r="A1275" s="537"/>
      <c r="B1275" s="543"/>
      <c r="C1275" s="538"/>
      <c r="D1275" s="539">
        <v>3</v>
      </c>
      <c r="E1275" s="538">
        <v>43.5</v>
      </c>
      <c r="F1275" s="541" t="s">
        <v>691</v>
      </c>
      <c r="G1275" s="541"/>
      <c r="H1275" s="542">
        <f t="shared" si="62"/>
        <v>261</v>
      </c>
      <c r="I1275" s="540"/>
      <c r="J1275" s="222"/>
      <c r="K1275" s="199"/>
      <c r="L1275" s="199"/>
    </row>
    <row r="1276" spans="1:12" ht="34.9" customHeight="1">
      <c r="A1276" s="537"/>
      <c r="B1276" s="543"/>
      <c r="C1276" s="538"/>
      <c r="D1276" s="539">
        <v>3</v>
      </c>
      <c r="E1276" s="538">
        <v>43.5</v>
      </c>
      <c r="F1276" s="541" t="s">
        <v>1085</v>
      </c>
      <c r="G1276" s="541"/>
      <c r="H1276" s="542">
        <f t="shared" si="62"/>
        <v>65.25</v>
      </c>
      <c r="I1276" s="540"/>
      <c r="J1276" s="222"/>
      <c r="K1276" s="199"/>
      <c r="L1276" s="199"/>
    </row>
    <row r="1277" spans="1:12" ht="34.9" customHeight="1">
      <c r="A1277" s="537"/>
      <c r="B1277" s="543"/>
      <c r="C1277" s="538"/>
      <c r="D1277" s="539"/>
      <c r="E1277" s="538"/>
      <c r="F1277" s="541"/>
      <c r="G1277" s="541"/>
      <c r="H1277" s="542"/>
      <c r="I1277" s="540"/>
      <c r="J1277" s="222"/>
      <c r="K1277" s="199"/>
      <c r="L1277" s="199"/>
    </row>
    <row r="1278" spans="1:12" ht="34.9" customHeight="1">
      <c r="A1278" s="537"/>
      <c r="B1278" s="544" t="s">
        <v>1088</v>
      </c>
      <c r="C1278" s="538"/>
      <c r="D1278" s="539">
        <v>1</v>
      </c>
      <c r="E1278" s="538">
        <v>109</v>
      </c>
      <c r="F1278" s="541" t="s">
        <v>1082</v>
      </c>
      <c r="G1278" s="541"/>
      <c r="H1278" s="542">
        <f t="shared" ref="H1278:H1286" si="63">D1278*E1278*F1278</f>
        <v>3924</v>
      </c>
      <c r="I1278" s="540"/>
      <c r="J1278" s="222"/>
      <c r="K1278" s="199"/>
      <c r="L1278" s="199"/>
    </row>
    <row r="1279" spans="1:12" ht="34.9" customHeight="1">
      <c r="A1279" s="537"/>
      <c r="B1279" s="546" t="s">
        <v>1083</v>
      </c>
      <c r="C1279" s="547"/>
      <c r="D1279" s="539">
        <v>-6</v>
      </c>
      <c r="E1279" s="538">
        <v>12</v>
      </c>
      <c r="F1279" s="541" t="s">
        <v>1084</v>
      </c>
      <c r="G1279" s="541"/>
      <c r="H1279" s="542">
        <f t="shared" si="63"/>
        <v>-576</v>
      </c>
      <c r="I1279" s="540"/>
      <c r="J1279" s="222"/>
      <c r="K1279" s="199"/>
      <c r="L1279" s="199"/>
    </row>
    <row r="1280" spans="1:12" ht="34.9" customHeight="1">
      <c r="A1280" s="545"/>
      <c r="B1280" s="550"/>
      <c r="C1280" s="547"/>
      <c r="D1280" s="539">
        <v>-6</v>
      </c>
      <c r="E1280" s="538">
        <v>10</v>
      </c>
      <c r="F1280" s="541" t="s">
        <v>1084</v>
      </c>
      <c r="G1280" s="541"/>
      <c r="H1280" s="542">
        <f t="shared" si="63"/>
        <v>-480</v>
      </c>
      <c r="I1280" s="540"/>
      <c r="J1280" s="222"/>
      <c r="K1280" s="199"/>
      <c r="L1280" s="199"/>
    </row>
    <row r="1281" spans="1:12" ht="34.9" customHeight="1">
      <c r="A1281" s="545"/>
      <c r="B1281" s="550"/>
      <c r="C1281" s="547"/>
      <c r="D1281" s="539">
        <v>-6</v>
      </c>
      <c r="E1281" s="538">
        <v>5</v>
      </c>
      <c r="F1281" s="541" t="s">
        <v>1089</v>
      </c>
      <c r="G1281" s="541"/>
      <c r="H1281" s="542">
        <f t="shared" si="63"/>
        <v>-210</v>
      </c>
      <c r="I1281" s="540"/>
      <c r="J1281" s="222"/>
      <c r="K1281" s="199"/>
      <c r="L1281" s="199"/>
    </row>
    <row r="1282" spans="1:12" ht="34.9" customHeight="1">
      <c r="A1282" s="545"/>
      <c r="B1282" s="550"/>
      <c r="C1282" s="547"/>
      <c r="D1282" s="539">
        <v>-1</v>
      </c>
      <c r="E1282" s="538">
        <v>10</v>
      </c>
      <c r="F1282" s="541" t="s">
        <v>1090</v>
      </c>
      <c r="G1282" s="541"/>
      <c r="H1282" s="542">
        <f t="shared" si="63"/>
        <v>-120</v>
      </c>
      <c r="I1282" s="540"/>
      <c r="J1282" s="222"/>
      <c r="K1282" s="199"/>
      <c r="L1282" s="199"/>
    </row>
    <row r="1283" spans="1:12" ht="34.9" customHeight="1">
      <c r="A1283" s="545"/>
      <c r="B1283" s="550"/>
      <c r="C1283" s="547"/>
      <c r="D1283" s="539">
        <v>-2</v>
      </c>
      <c r="E1283" s="538">
        <v>10</v>
      </c>
      <c r="F1283" s="541" t="s">
        <v>1091</v>
      </c>
      <c r="G1283" s="541"/>
      <c r="H1283" s="542">
        <f t="shared" si="63"/>
        <v>-200</v>
      </c>
      <c r="I1283" s="540"/>
      <c r="J1283" s="222"/>
      <c r="K1283" s="199"/>
      <c r="L1283" s="199"/>
    </row>
    <row r="1284" spans="1:12" ht="34.9" customHeight="1">
      <c r="A1284" s="545"/>
      <c r="B1284" s="550" t="s">
        <v>1078</v>
      </c>
      <c r="C1284" s="547"/>
      <c r="D1284" s="539">
        <v>3</v>
      </c>
      <c r="E1284" s="538">
        <v>112</v>
      </c>
      <c r="F1284" s="541" t="s">
        <v>691</v>
      </c>
      <c r="G1284" s="541"/>
      <c r="H1284" s="542">
        <f t="shared" si="63"/>
        <v>672</v>
      </c>
      <c r="I1284" s="540"/>
      <c r="J1284" s="222"/>
      <c r="K1284" s="199"/>
      <c r="L1284" s="199"/>
    </row>
    <row r="1285" spans="1:12" ht="34.9" customHeight="1">
      <c r="A1285" s="537"/>
      <c r="B1285" s="543"/>
      <c r="C1285" s="538"/>
      <c r="D1285" s="539">
        <v>3</v>
      </c>
      <c r="E1285" s="538">
        <v>112</v>
      </c>
      <c r="F1285" s="541" t="s">
        <v>691</v>
      </c>
      <c r="G1285" s="541"/>
      <c r="H1285" s="542">
        <f t="shared" si="63"/>
        <v>672</v>
      </c>
      <c r="I1285" s="540"/>
      <c r="J1285" s="222"/>
      <c r="K1285" s="199"/>
      <c r="L1285" s="199"/>
    </row>
    <row r="1286" spans="1:12" ht="34.9" customHeight="1">
      <c r="A1286" s="537"/>
      <c r="B1286" s="543"/>
      <c r="C1286" s="538"/>
      <c r="D1286" s="539">
        <v>3</v>
      </c>
      <c r="E1286" s="538">
        <v>112</v>
      </c>
      <c r="F1286" s="541" t="s">
        <v>1085</v>
      </c>
      <c r="G1286" s="541"/>
      <c r="H1286" s="542">
        <f t="shared" si="63"/>
        <v>168</v>
      </c>
      <c r="I1286" s="540"/>
      <c r="J1286" s="222"/>
      <c r="K1286" s="199"/>
      <c r="L1286" s="199"/>
    </row>
    <row r="1287" spans="1:12" ht="34.9" customHeight="1">
      <c r="A1287" s="537"/>
      <c r="B1287" s="543"/>
      <c r="C1287" s="538"/>
      <c r="D1287" s="539"/>
      <c r="E1287" s="538"/>
      <c r="F1287" s="541"/>
      <c r="G1287" s="541"/>
      <c r="H1287" s="542"/>
      <c r="I1287" s="540"/>
      <c r="J1287" s="222"/>
      <c r="K1287" s="199"/>
      <c r="L1287" s="199"/>
    </row>
    <row r="1288" spans="1:12" ht="34.9" customHeight="1">
      <c r="A1288" s="537"/>
      <c r="B1288" s="544" t="s">
        <v>1092</v>
      </c>
      <c r="C1288" s="538"/>
      <c r="D1288" s="539">
        <v>1</v>
      </c>
      <c r="E1288" s="538">
        <v>40</v>
      </c>
      <c r="F1288" s="541" t="s">
        <v>1082</v>
      </c>
      <c r="G1288" s="541"/>
      <c r="H1288" s="542">
        <f t="shared" ref="H1288:H1295" si="64">D1288*E1288*F1288</f>
        <v>1440</v>
      </c>
      <c r="I1288" s="540"/>
      <c r="J1288" s="222"/>
      <c r="K1288" s="199"/>
      <c r="L1288" s="199"/>
    </row>
    <row r="1289" spans="1:12" ht="34.9" customHeight="1">
      <c r="A1289" s="537"/>
      <c r="B1289" s="546" t="s">
        <v>1083</v>
      </c>
      <c r="C1289" s="547"/>
      <c r="D1289" s="539">
        <v>-4</v>
      </c>
      <c r="E1289" s="538">
        <v>10.75</v>
      </c>
      <c r="F1289" s="541" t="s">
        <v>1084</v>
      </c>
      <c r="G1289" s="541"/>
      <c r="H1289" s="542">
        <f t="shared" si="64"/>
        <v>-344</v>
      </c>
      <c r="I1289" s="540"/>
      <c r="J1289" s="222"/>
      <c r="K1289" s="199"/>
      <c r="L1289" s="199"/>
    </row>
    <row r="1290" spans="1:12" ht="34.9" customHeight="1">
      <c r="A1290" s="545"/>
      <c r="B1290" s="550"/>
      <c r="C1290" s="547"/>
      <c r="D1290" s="539">
        <v>-1</v>
      </c>
      <c r="E1290" s="538">
        <v>8</v>
      </c>
      <c r="F1290" s="541" t="s">
        <v>1084</v>
      </c>
      <c r="G1290" s="541"/>
      <c r="H1290" s="542">
        <f t="shared" si="64"/>
        <v>-64</v>
      </c>
      <c r="I1290" s="540"/>
      <c r="J1290" s="222"/>
      <c r="K1290" s="199"/>
      <c r="L1290" s="199"/>
    </row>
    <row r="1291" spans="1:12" ht="34.9" customHeight="1">
      <c r="A1291" s="545"/>
      <c r="B1291" s="550"/>
      <c r="C1291" s="547"/>
      <c r="D1291" s="539">
        <v>-1</v>
      </c>
      <c r="E1291" s="538">
        <v>10</v>
      </c>
      <c r="F1291" s="541" t="s">
        <v>1084</v>
      </c>
      <c r="G1291" s="541"/>
      <c r="H1291" s="542">
        <f t="shared" si="64"/>
        <v>-80</v>
      </c>
      <c r="I1291" s="540"/>
      <c r="J1291" s="222"/>
      <c r="K1291" s="199"/>
      <c r="L1291" s="199"/>
    </row>
    <row r="1292" spans="1:12" ht="34.9" customHeight="1">
      <c r="A1292" s="545"/>
      <c r="B1292" s="550"/>
      <c r="C1292" s="547"/>
      <c r="D1292" s="539">
        <v>-2</v>
      </c>
      <c r="E1292" s="538">
        <v>15</v>
      </c>
      <c r="F1292" s="541" t="s">
        <v>1084</v>
      </c>
      <c r="G1292" s="541"/>
      <c r="H1292" s="542">
        <f t="shared" si="64"/>
        <v>-240</v>
      </c>
      <c r="I1292" s="540"/>
      <c r="J1292" s="222"/>
      <c r="K1292" s="199"/>
      <c r="L1292" s="199"/>
    </row>
    <row r="1293" spans="1:12" ht="34.9" customHeight="1">
      <c r="A1293" s="537"/>
      <c r="B1293" s="550" t="s">
        <v>1078</v>
      </c>
      <c r="C1293" s="547"/>
      <c r="D1293" s="539">
        <v>3</v>
      </c>
      <c r="E1293" s="538">
        <v>43.5</v>
      </c>
      <c r="F1293" s="541" t="s">
        <v>691</v>
      </c>
      <c r="G1293" s="541"/>
      <c r="H1293" s="542">
        <f t="shared" si="64"/>
        <v>261</v>
      </c>
      <c r="I1293" s="540"/>
      <c r="J1293" s="222"/>
      <c r="K1293" s="199"/>
      <c r="L1293" s="199"/>
    </row>
    <row r="1294" spans="1:12" ht="34.9" customHeight="1">
      <c r="A1294" s="537"/>
      <c r="B1294" s="543"/>
      <c r="C1294" s="538"/>
      <c r="D1294" s="539">
        <v>3</v>
      </c>
      <c r="E1294" s="538">
        <v>43.5</v>
      </c>
      <c r="F1294" s="541" t="s">
        <v>691</v>
      </c>
      <c r="G1294" s="541"/>
      <c r="H1294" s="542">
        <f t="shared" si="64"/>
        <v>261</v>
      </c>
      <c r="I1294" s="540"/>
      <c r="J1294" s="222"/>
      <c r="K1294" s="199"/>
      <c r="L1294" s="199"/>
    </row>
    <row r="1295" spans="1:12" ht="34.9" customHeight="1">
      <c r="A1295" s="537"/>
      <c r="B1295" s="543"/>
      <c r="C1295" s="538"/>
      <c r="D1295" s="539">
        <v>3</v>
      </c>
      <c r="E1295" s="538">
        <v>43.5</v>
      </c>
      <c r="F1295" s="541" t="s">
        <v>1085</v>
      </c>
      <c r="G1295" s="541"/>
      <c r="H1295" s="542">
        <f t="shared" si="64"/>
        <v>65.25</v>
      </c>
      <c r="I1295" s="540"/>
      <c r="J1295" s="222"/>
      <c r="K1295" s="199"/>
      <c r="L1295" s="199"/>
    </row>
    <row r="1296" spans="1:12" ht="34.9" customHeight="1">
      <c r="A1296" s="537"/>
      <c r="B1296" s="543"/>
      <c r="C1296" s="538"/>
      <c r="D1296" s="539"/>
      <c r="E1296" s="538"/>
      <c r="F1296" s="541"/>
      <c r="G1296" s="541"/>
      <c r="H1296" s="542"/>
      <c r="I1296" s="540"/>
      <c r="J1296" s="222"/>
      <c r="K1296" s="199"/>
      <c r="L1296" s="199"/>
    </row>
    <row r="1297" spans="1:12" ht="34.9" customHeight="1">
      <c r="A1297" s="537"/>
      <c r="B1297" s="543"/>
      <c r="C1297" s="538"/>
      <c r="D1297" s="539"/>
      <c r="E1297" s="538"/>
      <c r="F1297" s="551" t="s">
        <v>1007</v>
      </c>
      <c r="G1297" s="551"/>
      <c r="H1297" s="552">
        <f>SUM(H1257:H1295)</f>
        <v>10140.5</v>
      </c>
      <c r="I1297" s="553" t="s">
        <v>755</v>
      </c>
      <c r="J1297" s="222"/>
      <c r="K1297" s="199"/>
      <c r="L1297" s="199"/>
    </row>
    <row r="1298" spans="1:12" ht="36" customHeight="1">
      <c r="A1298" s="537"/>
      <c r="B1298" s="543"/>
      <c r="C1298" s="538"/>
      <c r="D1298" s="539"/>
      <c r="E1298" s="538"/>
      <c r="F1298" s="541"/>
      <c r="G1298" s="541"/>
      <c r="H1298" s="542"/>
      <c r="I1298" s="540"/>
      <c r="J1298" s="222"/>
      <c r="K1298" s="199"/>
      <c r="L1298" s="199"/>
    </row>
    <row r="1299" spans="1:12" ht="54" customHeight="1">
      <c r="A1299" s="563">
        <v>13.48</v>
      </c>
      <c r="B1299" s="564" t="s">
        <v>1044</v>
      </c>
      <c r="C1299" s="565"/>
      <c r="D1299" s="590"/>
      <c r="E1299" s="565"/>
      <c r="F1299" s="599"/>
      <c r="G1299" s="599"/>
      <c r="H1299" s="566"/>
      <c r="I1299" s="591"/>
      <c r="J1299" s="222"/>
      <c r="K1299" s="199"/>
      <c r="L1299" s="199"/>
    </row>
    <row r="1300" spans="1:12" ht="84">
      <c r="A1300" s="600" t="s">
        <v>1045</v>
      </c>
      <c r="B1300" s="601" t="s">
        <v>1046</v>
      </c>
      <c r="C1300" s="602" t="s">
        <v>755</v>
      </c>
      <c r="D1300" s="560"/>
      <c r="E1300" s="561"/>
      <c r="F1300" s="561"/>
      <c r="G1300" s="561"/>
      <c r="H1300" s="603">
        <f>H1303+H1304+H1305+H1306+H1307+H1308+H1309</f>
        <v>3010</v>
      </c>
      <c r="I1300" s="562"/>
      <c r="J1300" s="222"/>
      <c r="K1300" s="199"/>
      <c r="L1300" s="199"/>
    </row>
    <row r="1301" spans="1:12" ht="21">
      <c r="A1301" s="600"/>
      <c r="B1301" s="601"/>
      <c r="C1301" s="602" t="s">
        <v>1114</v>
      </c>
      <c r="D1301" s="560"/>
      <c r="E1301" s="561"/>
      <c r="F1301" s="561"/>
      <c r="G1301" s="561"/>
      <c r="H1301" s="603">
        <f>H1300/10.764</f>
        <v>279.63582311408402</v>
      </c>
      <c r="I1301" s="562"/>
      <c r="J1301" s="222"/>
      <c r="K1301" s="199"/>
      <c r="L1301" s="199"/>
    </row>
    <row r="1302" spans="1:12" ht="21">
      <c r="A1302" s="604"/>
      <c r="B1302" s="605"/>
      <c r="C1302" s="238"/>
      <c r="D1302" s="247"/>
      <c r="E1302" s="246"/>
      <c r="F1302" s="246"/>
      <c r="G1302" s="246"/>
      <c r="H1302" s="241"/>
      <c r="I1302" s="242"/>
      <c r="J1302" s="222"/>
      <c r="K1302" s="199"/>
      <c r="L1302" s="199"/>
    </row>
    <row r="1303" spans="1:12" ht="24" customHeight="1">
      <c r="A1303" s="568"/>
      <c r="B1303" s="246" t="s">
        <v>1107</v>
      </c>
      <c r="C1303" s="238" t="s">
        <v>755</v>
      </c>
      <c r="D1303" s="239">
        <v>2</v>
      </c>
      <c r="E1303" s="239"/>
      <c r="F1303" s="239">
        <v>12</v>
      </c>
      <c r="G1303" s="239">
        <v>36</v>
      </c>
      <c r="H1303" s="606">
        <f>D1303*F1303*G1303</f>
        <v>864</v>
      </c>
      <c r="I1303" s="240"/>
      <c r="J1303" s="222"/>
      <c r="K1303" s="199"/>
      <c r="L1303" s="199"/>
    </row>
    <row r="1304" spans="1:12" ht="24" customHeight="1">
      <c r="A1304" s="568"/>
      <c r="B1304" s="555" t="s">
        <v>1108</v>
      </c>
      <c r="C1304" s="238" t="s">
        <v>755</v>
      </c>
      <c r="D1304" s="554">
        <v>5</v>
      </c>
      <c r="E1304" s="555"/>
      <c r="F1304" s="239">
        <v>1</v>
      </c>
      <c r="G1304" s="239">
        <v>360</v>
      </c>
      <c r="H1304" s="606">
        <f t="shared" ref="H1304:H1308" si="65">D1304*F1304*G1304</f>
        <v>1800</v>
      </c>
      <c r="I1304" s="569"/>
      <c r="J1304" s="222"/>
      <c r="K1304" s="199"/>
      <c r="L1304" s="199"/>
    </row>
    <row r="1305" spans="1:12" ht="24" customHeight="1">
      <c r="A1305" s="243"/>
      <c r="B1305" s="555" t="s">
        <v>1110</v>
      </c>
      <c r="C1305" s="238" t="s">
        <v>755</v>
      </c>
      <c r="D1305" s="239">
        <v>3.5</v>
      </c>
      <c r="E1305" s="238"/>
      <c r="F1305" s="240" t="s">
        <v>690</v>
      </c>
      <c r="G1305" s="239">
        <v>8</v>
      </c>
      <c r="H1305" s="606">
        <f t="shared" si="65"/>
        <v>28</v>
      </c>
      <c r="I1305" s="242"/>
      <c r="J1305" s="222"/>
      <c r="K1305" s="199"/>
      <c r="L1305" s="199"/>
    </row>
    <row r="1306" spans="1:12" ht="24" customHeight="1">
      <c r="A1306" s="243"/>
      <c r="B1306" s="555" t="s">
        <v>1109</v>
      </c>
      <c r="C1306" s="238" t="s">
        <v>755</v>
      </c>
      <c r="D1306" s="239">
        <v>90</v>
      </c>
      <c r="E1306" s="238"/>
      <c r="F1306" s="240" t="s">
        <v>690</v>
      </c>
      <c r="G1306" s="239">
        <v>2</v>
      </c>
      <c r="H1306" s="606">
        <f t="shared" si="65"/>
        <v>180</v>
      </c>
      <c r="I1306" s="242"/>
      <c r="J1306" s="222"/>
      <c r="K1306" s="199"/>
      <c r="L1306" s="199"/>
    </row>
    <row r="1307" spans="1:12" ht="24" customHeight="1">
      <c r="A1307" s="416"/>
      <c r="B1307" s="567" t="s">
        <v>1111</v>
      </c>
      <c r="C1307" s="238" t="s">
        <v>755</v>
      </c>
      <c r="D1307" s="239">
        <v>6</v>
      </c>
      <c r="E1307" s="238"/>
      <c r="F1307" s="240" t="s">
        <v>690</v>
      </c>
      <c r="G1307" s="239">
        <v>13</v>
      </c>
      <c r="H1307" s="606">
        <f t="shared" si="65"/>
        <v>78</v>
      </c>
      <c r="I1307" s="250"/>
      <c r="J1307" s="222"/>
      <c r="K1307" s="199"/>
      <c r="L1307" s="199"/>
    </row>
    <row r="1308" spans="1:12" ht="24" customHeight="1">
      <c r="A1308" s="439"/>
      <c r="B1308" s="246" t="s">
        <v>1112</v>
      </c>
      <c r="C1308" s="238" t="s">
        <v>755</v>
      </c>
      <c r="D1308" s="239">
        <v>12</v>
      </c>
      <c r="E1308" s="238"/>
      <c r="F1308" s="240" t="s">
        <v>690</v>
      </c>
      <c r="G1308" s="239">
        <v>1</v>
      </c>
      <c r="H1308" s="606">
        <f t="shared" si="65"/>
        <v>12</v>
      </c>
      <c r="I1308" s="246"/>
      <c r="J1308" s="222"/>
      <c r="K1308" s="199"/>
      <c r="L1308" s="199"/>
    </row>
    <row r="1309" spans="1:12" ht="24" customHeight="1">
      <c r="A1309" s="417"/>
      <c r="B1309" s="246" t="s">
        <v>1113</v>
      </c>
      <c r="C1309" s="238" t="s">
        <v>755</v>
      </c>
      <c r="D1309" s="239">
        <v>8</v>
      </c>
      <c r="E1309" s="238">
        <v>1</v>
      </c>
      <c r="F1309" s="240" t="s">
        <v>690</v>
      </c>
      <c r="G1309" s="239">
        <v>6</v>
      </c>
      <c r="H1309" s="606">
        <f t="shared" ref="H1309" si="66">D1309*F1309*G1309</f>
        <v>48</v>
      </c>
      <c r="I1309" s="242"/>
      <c r="J1309" s="222"/>
      <c r="K1309" s="199"/>
      <c r="L1309" s="199"/>
    </row>
    <row r="1310" spans="1:12" ht="24" customHeight="1">
      <c r="A1310" s="417"/>
      <c r="B1310" s="246"/>
      <c r="C1310" s="238"/>
      <c r="D1310" s="245"/>
      <c r="E1310" s="245"/>
      <c r="F1310" s="245"/>
      <c r="G1310" s="245"/>
      <c r="H1310" s="245"/>
      <c r="I1310" s="242"/>
      <c r="J1310" s="222"/>
      <c r="K1310" s="199"/>
      <c r="L1310" s="199"/>
    </row>
    <row r="1311" spans="1:12" ht="24" customHeight="1">
      <c r="A1311" s="417"/>
      <c r="B1311" s="237"/>
      <c r="C1311" s="238"/>
      <c r="D1311" s="239"/>
      <c r="E1311" s="238"/>
      <c r="F1311" s="240"/>
      <c r="G1311" s="240"/>
      <c r="H1311" s="241"/>
      <c r="I1311" s="242"/>
      <c r="J1311" s="222"/>
      <c r="K1311" s="199"/>
      <c r="L1311" s="199"/>
    </row>
    <row r="1312" spans="1:12" ht="24" customHeight="1">
      <c r="A1312" s="417"/>
      <c r="B1312" s="246"/>
      <c r="C1312" s="238"/>
      <c r="D1312" s="239"/>
      <c r="E1312" s="238"/>
      <c r="F1312" s="240"/>
      <c r="G1312" s="240"/>
      <c r="H1312" s="241"/>
      <c r="I1312" s="242"/>
      <c r="J1312" s="222"/>
      <c r="K1312" s="199"/>
      <c r="L1312" s="199"/>
    </row>
    <row r="1313" spans="1:12" ht="24" customHeight="1">
      <c r="A1313" s="440"/>
      <c r="B1313" s="252"/>
      <c r="C1313" s="252"/>
      <c r="D1313" s="252"/>
      <c r="E1313" s="252"/>
      <c r="F1313" s="252"/>
      <c r="G1313" s="252"/>
      <c r="H1313" s="241"/>
      <c r="I1313" s="253"/>
      <c r="J1313" s="222"/>
      <c r="K1313" s="199"/>
      <c r="L1313" s="199"/>
    </row>
    <row r="1314" spans="1:12" ht="24" customHeight="1">
      <c r="A1314" s="435"/>
      <c r="B1314" s="246"/>
      <c r="C1314" s="245"/>
      <c r="D1314" s="245"/>
      <c r="E1314" s="245"/>
      <c r="F1314" s="245"/>
      <c r="G1314" s="245"/>
      <c r="H1314" s="245"/>
      <c r="I1314" s="246"/>
      <c r="J1314" s="222"/>
      <c r="K1314" s="199"/>
      <c r="L1314" s="199"/>
    </row>
    <row r="1315" spans="1:12" ht="15" customHeight="1">
      <c r="A1315" s="435"/>
      <c r="B1315" s="246"/>
      <c r="C1315" s="245"/>
      <c r="D1315" s="245"/>
      <c r="E1315" s="245"/>
      <c r="F1315" s="245"/>
      <c r="G1315" s="245"/>
      <c r="H1315" s="245"/>
      <c r="I1315" s="246"/>
    </row>
    <row r="1316" spans="1:12" ht="15" customHeight="1">
      <c r="A1316" s="435"/>
      <c r="B1316" s="245"/>
      <c r="C1316" s="245"/>
      <c r="D1316" s="245"/>
      <c r="E1316" s="245"/>
      <c r="F1316" s="245"/>
      <c r="G1316" s="245"/>
      <c r="H1316" s="245"/>
      <c r="I1316" s="246"/>
    </row>
    <row r="1317" spans="1:12" ht="15" customHeight="1">
      <c r="A1317" s="435"/>
      <c r="B1317" s="245"/>
      <c r="C1317" s="245"/>
      <c r="D1317" s="245"/>
      <c r="E1317" s="245"/>
      <c r="F1317" s="245"/>
      <c r="G1317" s="245"/>
      <c r="H1317" s="245"/>
      <c r="I1317" s="246"/>
    </row>
    <row r="1318" spans="1:12" ht="15" customHeight="1">
      <c r="A1318" s="435"/>
      <c r="B1318" s="246"/>
      <c r="C1318" s="246"/>
      <c r="D1318" s="247"/>
      <c r="E1318" s="246"/>
      <c r="F1318" s="246"/>
      <c r="G1318" s="246"/>
      <c r="H1318" s="248"/>
      <c r="I1318" s="246"/>
    </row>
    <row r="1319" spans="1:12" ht="15" customHeight="1">
      <c r="A1319" s="435"/>
      <c r="B1319" s="246"/>
      <c r="C1319" s="246"/>
      <c r="D1319" s="247"/>
      <c r="E1319" s="246"/>
      <c r="F1319" s="246"/>
      <c r="G1319" s="246"/>
      <c r="H1319" s="248"/>
      <c r="I1319" s="246"/>
    </row>
    <row r="1320" spans="1:12" ht="15" customHeight="1">
      <c r="A1320" s="435"/>
      <c r="B1320" s="246"/>
      <c r="C1320" s="246"/>
      <c r="D1320" s="247"/>
      <c r="E1320" s="246"/>
      <c r="F1320" s="246"/>
      <c r="G1320" s="246"/>
      <c r="H1320" s="248"/>
      <c r="I1320" s="246"/>
    </row>
    <row r="1321" spans="1:12" ht="15" customHeight="1">
      <c r="A1321" s="435"/>
      <c r="B1321" s="246"/>
      <c r="C1321" s="246"/>
      <c r="D1321" s="247"/>
      <c r="E1321" s="246"/>
      <c r="F1321" s="246"/>
      <c r="G1321" s="246"/>
      <c r="H1321" s="248"/>
      <c r="I1321" s="246"/>
    </row>
    <row r="1322" spans="1:12" ht="15" customHeight="1">
      <c r="A1322" s="435"/>
      <c r="B1322" s="245"/>
      <c r="C1322" s="245"/>
      <c r="D1322" s="245"/>
      <c r="E1322" s="245"/>
      <c r="F1322" s="245"/>
      <c r="G1322" s="245"/>
      <c r="H1322" s="241"/>
      <c r="I1322" s="246"/>
    </row>
    <row r="1323" spans="1:12" ht="15" customHeight="1">
      <c r="A1323" s="435"/>
      <c r="B1323" s="245"/>
      <c r="C1323" s="245"/>
      <c r="D1323" s="245"/>
      <c r="E1323" s="245"/>
      <c r="F1323" s="245"/>
      <c r="G1323" s="245"/>
      <c r="H1323" s="241"/>
      <c r="I1323" s="246"/>
    </row>
    <row r="1324" spans="1:12" ht="15" customHeight="1">
      <c r="A1324" s="225"/>
      <c r="B1324" s="224"/>
      <c r="C1324" s="220"/>
      <c r="D1324" s="221"/>
      <c r="E1324" s="220"/>
      <c r="F1324" s="217"/>
      <c r="G1324" s="217"/>
      <c r="H1324" s="212"/>
      <c r="I1324" s="219"/>
    </row>
    <row r="1325" spans="1:12" ht="15" customHeight="1">
      <c r="A1325" s="225"/>
      <c r="B1325" s="224"/>
      <c r="C1325" s="220"/>
      <c r="D1325" s="221"/>
      <c r="E1325" s="220"/>
      <c r="F1325" s="217"/>
      <c r="G1325" s="217"/>
      <c r="H1325" s="212"/>
      <c r="I1325" s="219"/>
    </row>
    <row r="1326" spans="1:12" ht="15" customHeight="1">
      <c r="A1326" s="225"/>
      <c r="B1326" s="224"/>
      <c r="C1326" s="220"/>
      <c r="D1326" s="221"/>
      <c r="E1326" s="220"/>
      <c r="F1326" s="217"/>
      <c r="G1326" s="217"/>
      <c r="H1326" s="212"/>
      <c r="I1326" s="219"/>
    </row>
    <row r="1327" spans="1:12" ht="15" customHeight="1">
      <c r="A1327" s="225"/>
      <c r="B1327" s="224"/>
      <c r="C1327" s="220"/>
      <c r="D1327" s="221"/>
      <c r="E1327" s="220"/>
      <c r="F1327" s="217"/>
      <c r="G1327" s="217"/>
      <c r="H1327" s="212"/>
      <c r="I1327" s="219"/>
    </row>
    <row r="1328" spans="1:12" ht="15" customHeight="1">
      <c r="A1328" s="225"/>
      <c r="B1328" s="224"/>
      <c r="C1328" s="220"/>
      <c r="D1328" s="221"/>
      <c r="E1328" s="220"/>
      <c r="F1328" s="217"/>
      <c r="G1328" s="217"/>
      <c r="H1328" s="212"/>
      <c r="I1328" s="219"/>
    </row>
    <row r="1329" spans="1:9" ht="15" customHeight="1">
      <c r="A1329" s="225"/>
      <c r="B1329" s="224"/>
      <c r="C1329" s="220"/>
      <c r="D1329" s="221"/>
      <c r="E1329" s="220"/>
      <c r="F1329" s="217"/>
      <c r="G1329" s="217"/>
      <c r="H1329" s="212"/>
      <c r="I1329" s="219"/>
    </row>
    <row r="1330" spans="1:9" ht="15" customHeight="1">
      <c r="A1330" s="225"/>
      <c r="B1330" s="224"/>
      <c r="C1330" s="220"/>
      <c r="D1330" s="221"/>
      <c r="E1330" s="220"/>
      <c r="F1330" s="217"/>
      <c r="G1330" s="217"/>
      <c r="H1330" s="212"/>
      <c r="I1330" s="219"/>
    </row>
    <row r="1331" spans="1:9" ht="15" customHeight="1">
      <c r="A1331" s="225"/>
      <c r="B1331" s="224"/>
      <c r="C1331" s="220"/>
      <c r="D1331" s="221"/>
      <c r="E1331" s="220"/>
      <c r="F1331" s="217"/>
      <c r="G1331" s="217"/>
      <c r="H1331" s="212"/>
      <c r="I1331" s="219"/>
    </row>
    <row r="1332" spans="1:9" ht="15" customHeight="1">
      <c r="A1332" s="225"/>
      <c r="B1332" s="224"/>
      <c r="C1332" s="220"/>
      <c r="D1332" s="221"/>
      <c r="E1332" s="220"/>
      <c r="F1332" s="217"/>
      <c r="G1332" s="217"/>
      <c r="H1332" s="212"/>
      <c r="I1332" s="219"/>
    </row>
    <row r="1333" spans="1:9" ht="15" customHeight="1">
      <c r="A1333" s="225"/>
      <c r="B1333" s="224"/>
      <c r="C1333" s="220"/>
      <c r="D1333" s="221"/>
      <c r="E1333" s="220"/>
      <c r="F1333" s="217"/>
      <c r="G1333" s="217"/>
      <c r="H1333" s="212"/>
      <c r="I1333" s="219"/>
    </row>
    <row r="1334" spans="1:9" ht="15" customHeight="1">
      <c r="A1334" s="225"/>
      <c r="B1334" s="224"/>
      <c r="C1334" s="220"/>
      <c r="D1334" s="221"/>
      <c r="E1334" s="220"/>
      <c r="F1334" s="217"/>
      <c r="G1334" s="217"/>
      <c r="H1334" s="212"/>
      <c r="I1334" s="219"/>
    </row>
    <row r="1335" spans="1:9" ht="15" customHeight="1">
      <c r="A1335" s="225"/>
      <c r="B1335" s="223"/>
      <c r="C1335" s="220"/>
      <c r="D1335" s="221"/>
      <c r="E1335" s="220"/>
      <c r="F1335" s="217"/>
      <c r="G1335" s="217"/>
      <c r="H1335" s="212"/>
      <c r="I1335" s="219"/>
    </row>
    <row r="1336" spans="1:9" ht="15" customHeight="1">
      <c r="A1336" s="225"/>
      <c r="B1336" s="224"/>
      <c r="C1336" s="220"/>
      <c r="D1336" s="221"/>
      <c r="E1336" s="220"/>
      <c r="F1336" s="217"/>
      <c r="G1336" s="217"/>
      <c r="H1336" s="212"/>
      <c r="I1336" s="219"/>
    </row>
    <row r="1337" spans="1:9" ht="15" customHeight="1">
      <c r="A1337" s="225"/>
      <c r="B1337" s="224"/>
      <c r="C1337" s="220"/>
      <c r="D1337" s="221"/>
      <c r="E1337" s="220"/>
      <c r="F1337" s="217"/>
      <c r="G1337" s="217"/>
      <c r="H1337" s="212"/>
      <c r="I1337" s="219"/>
    </row>
    <row r="1338" spans="1:9" ht="15" customHeight="1">
      <c r="A1338" s="225"/>
      <c r="B1338" s="224"/>
      <c r="C1338" s="220"/>
      <c r="D1338" s="221"/>
      <c r="E1338" s="220"/>
      <c r="F1338" s="217"/>
      <c r="G1338" s="217"/>
      <c r="H1338" s="212"/>
      <c r="I1338" s="219"/>
    </row>
    <row r="1339" spans="1:9" ht="15" customHeight="1">
      <c r="A1339" s="225"/>
      <c r="B1339" s="224"/>
      <c r="C1339" s="220"/>
      <c r="D1339" s="221"/>
      <c r="E1339" s="220"/>
      <c r="F1339" s="217"/>
      <c r="G1339" s="217"/>
      <c r="H1339" s="212"/>
      <c r="I1339" s="219"/>
    </row>
    <row r="1340" spans="1:9" ht="15" customHeight="1">
      <c r="A1340" s="225"/>
      <c r="B1340" s="224"/>
      <c r="C1340" s="220"/>
      <c r="D1340" s="221"/>
      <c r="E1340" s="220"/>
      <c r="F1340" s="217"/>
      <c r="G1340" s="217"/>
      <c r="H1340" s="212"/>
      <c r="I1340" s="219"/>
    </row>
    <row r="1341" spans="1:9" ht="15" customHeight="1">
      <c r="A1341" s="225"/>
      <c r="B1341" s="224"/>
      <c r="C1341" s="220"/>
      <c r="D1341" s="221"/>
      <c r="E1341" s="220"/>
      <c r="F1341" s="217"/>
      <c r="G1341" s="217"/>
      <c r="H1341" s="212"/>
      <c r="I1341" s="219"/>
    </row>
    <row r="1342" spans="1:9" ht="15" customHeight="1">
      <c r="A1342" s="225"/>
      <c r="B1342" s="224"/>
      <c r="C1342" s="220"/>
      <c r="D1342" s="221"/>
      <c r="E1342" s="220"/>
      <c r="F1342" s="217"/>
      <c r="G1342" s="217"/>
      <c r="H1342" s="212"/>
      <c r="I1342" s="219"/>
    </row>
    <row r="1343" spans="1:9" ht="15" customHeight="1">
      <c r="A1343" s="225"/>
      <c r="B1343" s="224"/>
      <c r="C1343" s="220"/>
      <c r="D1343" s="221"/>
      <c r="E1343" s="220"/>
      <c r="F1343" s="217"/>
      <c r="G1343" s="217"/>
      <c r="H1343" s="212"/>
      <c r="I1343" s="219"/>
    </row>
    <row r="1344" spans="1:9" ht="15" customHeight="1">
      <c r="A1344" s="225"/>
      <c r="B1344" s="224"/>
      <c r="C1344" s="220"/>
      <c r="D1344" s="221"/>
      <c r="E1344" s="220"/>
      <c r="F1344" s="217"/>
      <c r="G1344" s="217"/>
      <c r="H1344" s="212"/>
      <c r="I1344" s="219"/>
    </row>
    <row r="1345" spans="1:9" ht="15" customHeight="1">
      <c r="A1345" s="225"/>
      <c r="B1345" s="224"/>
      <c r="C1345" s="220"/>
      <c r="D1345" s="221"/>
      <c r="E1345" s="220"/>
      <c r="F1345" s="217"/>
      <c r="G1345" s="217"/>
      <c r="H1345" s="212"/>
      <c r="I1345" s="219"/>
    </row>
    <row r="1346" spans="1:9" ht="15" customHeight="1">
      <c r="A1346" s="434"/>
      <c r="B1346" s="244"/>
      <c r="C1346" s="244"/>
      <c r="D1346" s="244"/>
      <c r="E1346" s="244"/>
      <c r="F1346" s="244"/>
      <c r="G1346" s="244"/>
      <c r="H1346" s="244"/>
      <c r="I1346" s="244"/>
    </row>
    <row r="1347" spans="1:9" ht="15" customHeight="1">
      <c r="A1347" s="434"/>
      <c r="B1347" s="244"/>
      <c r="C1347" s="244"/>
      <c r="D1347" s="244"/>
      <c r="E1347" s="244"/>
      <c r="F1347" s="244"/>
      <c r="G1347" s="244"/>
      <c r="H1347" s="244"/>
      <c r="I1347" s="244"/>
    </row>
    <row r="1348" spans="1:9" ht="15" customHeight="1">
      <c r="A1348" s="434"/>
      <c r="B1348" s="244"/>
      <c r="C1348" s="244"/>
      <c r="D1348" s="244"/>
      <c r="E1348" s="244"/>
      <c r="F1348" s="244"/>
      <c r="G1348" s="244"/>
      <c r="H1348" s="244"/>
      <c r="I1348" s="244"/>
    </row>
    <row r="1349" spans="1:9" ht="15" customHeight="1">
      <c r="A1349" s="434"/>
      <c r="B1349" s="244"/>
      <c r="C1349" s="244"/>
      <c r="D1349" s="244"/>
      <c r="E1349" s="244"/>
      <c r="F1349" s="244"/>
      <c r="G1349" s="244"/>
      <c r="H1349" s="244"/>
      <c r="I1349" s="244"/>
    </row>
    <row r="1350" spans="1:9" ht="15" customHeight="1">
      <c r="A1350" s="434"/>
      <c r="B1350" s="244"/>
      <c r="C1350" s="244"/>
      <c r="D1350" s="244"/>
      <c r="E1350" s="244"/>
      <c r="F1350" s="244"/>
      <c r="G1350" s="244"/>
      <c r="H1350" s="244"/>
      <c r="I1350" s="244"/>
    </row>
    <row r="1351" spans="1:9" ht="15" customHeight="1">
      <c r="A1351" s="434"/>
      <c r="B1351" s="244"/>
      <c r="C1351" s="244"/>
      <c r="D1351" s="244"/>
      <c r="E1351" s="244"/>
      <c r="F1351" s="244"/>
      <c r="G1351" s="244"/>
      <c r="H1351" s="244"/>
      <c r="I1351" s="244"/>
    </row>
    <row r="1352" spans="1:9" ht="15" customHeight="1">
      <c r="A1352" s="434"/>
      <c r="B1352" s="244"/>
      <c r="C1352" s="244"/>
      <c r="D1352" s="244"/>
      <c r="E1352" s="244"/>
      <c r="F1352" s="244"/>
      <c r="G1352" s="244"/>
      <c r="H1352" s="244"/>
      <c r="I1352" s="244"/>
    </row>
    <row r="1353" spans="1:9" ht="15" customHeight="1">
      <c r="A1353" s="434"/>
      <c r="B1353" s="244"/>
      <c r="C1353" s="244"/>
      <c r="D1353" s="244"/>
      <c r="E1353" s="244"/>
      <c r="F1353" s="244"/>
      <c r="G1353" s="244"/>
      <c r="H1353" s="244"/>
      <c r="I1353" s="244"/>
    </row>
    <row r="1354" spans="1:9" ht="15" customHeight="1">
      <c r="A1354" s="434"/>
      <c r="B1354" s="244"/>
      <c r="C1354" s="244"/>
      <c r="D1354" s="244"/>
      <c r="E1354" s="244"/>
      <c r="F1354" s="244"/>
      <c r="G1354" s="244"/>
      <c r="H1354" s="244"/>
      <c r="I1354" s="244"/>
    </row>
    <row r="1355" spans="1:9" ht="15" customHeight="1">
      <c r="A1355" s="434"/>
      <c r="B1355" s="244"/>
      <c r="C1355" s="244"/>
      <c r="D1355" s="244"/>
      <c r="E1355" s="244"/>
      <c r="F1355" s="244"/>
      <c r="G1355" s="244"/>
      <c r="H1355" s="244"/>
      <c r="I1355" s="244"/>
    </row>
    <row r="1356" spans="1:9" ht="15" customHeight="1">
      <c r="A1356" s="434"/>
      <c r="B1356" s="244"/>
      <c r="C1356" s="244"/>
      <c r="D1356" s="244"/>
      <c r="E1356" s="244"/>
      <c r="F1356" s="244"/>
      <c r="G1356" s="244"/>
      <c r="H1356" s="244"/>
      <c r="I1356" s="244"/>
    </row>
    <row r="1357" spans="1:9" ht="15" customHeight="1">
      <c r="A1357" s="434"/>
      <c r="B1357" s="244"/>
      <c r="C1357" s="244"/>
      <c r="D1357" s="244"/>
      <c r="E1357" s="244"/>
      <c r="F1357" s="244"/>
      <c r="G1357" s="244"/>
      <c r="H1357" s="244"/>
      <c r="I1357" s="244"/>
    </row>
    <row r="1358" spans="1:9" ht="15" customHeight="1">
      <c r="A1358" s="434"/>
      <c r="B1358" s="244"/>
      <c r="C1358" s="244"/>
      <c r="D1358" s="244"/>
      <c r="E1358" s="244"/>
      <c r="F1358" s="244"/>
      <c r="G1358" s="244"/>
      <c r="H1358" s="244"/>
      <c r="I1358" s="244"/>
    </row>
    <row r="1359" spans="1:9" ht="15" customHeight="1">
      <c r="A1359" s="434"/>
      <c r="B1359" s="244"/>
      <c r="C1359" s="244"/>
      <c r="D1359" s="244"/>
      <c r="E1359" s="244"/>
      <c r="F1359" s="244"/>
      <c r="G1359" s="244"/>
      <c r="H1359" s="244"/>
      <c r="I1359" s="244"/>
    </row>
    <row r="1360" spans="1:9" ht="15" customHeight="1">
      <c r="A1360" s="434"/>
      <c r="B1360" s="244"/>
      <c r="C1360" s="244"/>
      <c r="D1360" s="244"/>
      <c r="E1360" s="244"/>
      <c r="F1360" s="244"/>
      <c r="G1360" s="244"/>
      <c r="H1360" s="244"/>
      <c r="I1360" s="244"/>
    </row>
    <row r="1361" spans="1:9" ht="15" customHeight="1">
      <c r="A1361" s="434"/>
      <c r="B1361" s="244"/>
      <c r="C1361" s="244"/>
      <c r="D1361" s="244"/>
      <c r="E1361" s="244"/>
      <c r="F1361" s="244"/>
      <c r="G1361" s="244"/>
      <c r="H1361" s="244"/>
      <c r="I1361" s="244"/>
    </row>
    <row r="1362" spans="1:9" ht="15" customHeight="1">
      <c r="A1362" s="434"/>
      <c r="B1362" s="244"/>
      <c r="C1362" s="244"/>
      <c r="D1362" s="244"/>
      <c r="E1362" s="244"/>
      <c r="F1362" s="244"/>
      <c r="G1362" s="244"/>
      <c r="H1362" s="244"/>
      <c r="I1362" s="244"/>
    </row>
    <row r="1363" spans="1:9" ht="15" customHeight="1">
      <c r="A1363" s="434"/>
      <c r="B1363" s="244"/>
      <c r="C1363" s="244"/>
      <c r="D1363" s="244"/>
      <c r="E1363" s="244"/>
      <c r="F1363" s="244"/>
      <c r="G1363" s="244"/>
      <c r="H1363" s="244"/>
      <c r="I1363" s="244"/>
    </row>
    <row r="1364" spans="1:9" ht="15" customHeight="1">
      <c r="A1364" s="434"/>
      <c r="B1364" s="244"/>
      <c r="C1364" s="244"/>
      <c r="D1364" s="244"/>
      <c r="E1364" s="244"/>
      <c r="F1364" s="244"/>
      <c r="G1364" s="244"/>
      <c r="H1364" s="244"/>
      <c r="I1364" s="244"/>
    </row>
    <row r="1365" spans="1:9" ht="15" customHeight="1">
      <c r="A1365" s="434"/>
      <c r="B1365" s="244"/>
      <c r="C1365" s="244"/>
      <c r="D1365" s="244"/>
      <c r="E1365" s="244"/>
      <c r="F1365" s="244"/>
      <c r="G1365" s="244"/>
      <c r="H1365" s="244"/>
      <c r="I1365" s="244"/>
    </row>
    <row r="1366" spans="1:9" ht="15" customHeight="1">
      <c r="A1366" s="434"/>
      <c r="B1366" s="244"/>
      <c r="C1366" s="244"/>
      <c r="D1366" s="244"/>
      <c r="E1366" s="244"/>
      <c r="F1366" s="244"/>
      <c r="G1366" s="244"/>
      <c r="H1366" s="244"/>
      <c r="I1366" s="244"/>
    </row>
    <row r="1367" spans="1:9" ht="15" customHeight="1">
      <c r="A1367" s="434"/>
      <c r="B1367" s="244"/>
      <c r="C1367" s="244"/>
      <c r="D1367" s="244"/>
      <c r="E1367" s="244"/>
      <c r="F1367" s="244"/>
      <c r="G1367" s="244"/>
      <c r="H1367" s="244"/>
      <c r="I1367" s="244"/>
    </row>
    <row r="1368" spans="1:9" ht="15" customHeight="1">
      <c r="A1368" s="434"/>
      <c r="B1368" s="244"/>
      <c r="C1368" s="244"/>
      <c r="D1368" s="244"/>
      <c r="E1368" s="244"/>
      <c r="F1368" s="244"/>
      <c r="G1368" s="244"/>
      <c r="H1368" s="244"/>
      <c r="I1368" s="244"/>
    </row>
    <row r="1369" spans="1:9" ht="15" customHeight="1">
      <c r="A1369" s="434"/>
      <c r="B1369" s="244"/>
      <c r="C1369" s="244"/>
      <c r="D1369" s="244"/>
      <c r="E1369" s="244"/>
      <c r="F1369" s="244"/>
      <c r="G1369" s="244"/>
      <c r="H1369" s="244"/>
      <c r="I1369" s="244"/>
    </row>
    <row r="1370" spans="1:9" ht="15" customHeight="1">
      <c r="A1370" s="434"/>
      <c r="B1370" s="244"/>
      <c r="C1370" s="244"/>
      <c r="D1370" s="244"/>
      <c r="E1370" s="244"/>
      <c r="F1370" s="244"/>
      <c r="G1370" s="244"/>
      <c r="H1370" s="244"/>
      <c r="I1370" s="244"/>
    </row>
    <row r="1371" spans="1:9" ht="15" customHeight="1">
      <c r="A1371" s="434"/>
      <c r="B1371" s="244"/>
      <c r="C1371" s="244"/>
      <c r="D1371" s="244"/>
      <c r="E1371" s="244"/>
      <c r="F1371" s="244"/>
      <c r="G1371" s="244"/>
      <c r="H1371" s="244"/>
      <c r="I1371" s="244"/>
    </row>
    <row r="1372" spans="1:9" ht="15" customHeight="1">
      <c r="A1372" s="434"/>
      <c r="B1372" s="244"/>
      <c r="C1372" s="244"/>
      <c r="D1372" s="244"/>
      <c r="E1372" s="244"/>
      <c r="F1372" s="244"/>
      <c r="G1372" s="244"/>
      <c r="H1372" s="244"/>
      <c r="I1372" s="244"/>
    </row>
    <row r="1373" spans="1:9" ht="15" customHeight="1">
      <c r="A1373" s="434"/>
      <c r="B1373" s="244"/>
      <c r="C1373" s="244"/>
      <c r="D1373" s="244"/>
      <c r="E1373" s="244"/>
      <c r="F1373" s="244"/>
      <c r="G1373" s="244"/>
      <c r="H1373" s="244"/>
      <c r="I1373" s="244"/>
    </row>
    <row r="1374" spans="1:9" ht="15" customHeight="1">
      <c r="A1374" s="434"/>
      <c r="B1374" s="244"/>
      <c r="C1374" s="244"/>
      <c r="D1374" s="244"/>
      <c r="E1374" s="244"/>
      <c r="F1374" s="244"/>
      <c r="G1374" s="244"/>
      <c r="H1374" s="244"/>
      <c r="I1374" s="244"/>
    </row>
    <row r="1375" spans="1:9" ht="15" customHeight="1">
      <c r="A1375" s="434"/>
      <c r="B1375" s="244"/>
      <c r="C1375" s="244"/>
      <c r="D1375" s="244"/>
      <c r="E1375" s="244"/>
      <c r="F1375" s="244"/>
      <c r="G1375" s="244"/>
      <c r="H1375" s="244"/>
      <c r="I1375" s="244"/>
    </row>
    <row r="1376" spans="1:9" ht="15" customHeight="1">
      <c r="A1376" s="434"/>
      <c r="B1376" s="244"/>
      <c r="C1376" s="244"/>
      <c r="D1376" s="244"/>
      <c r="E1376" s="244"/>
      <c r="F1376" s="244"/>
      <c r="G1376" s="244"/>
      <c r="H1376" s="244"/>
      <c r="I1376" s="244"/>
    </row>
    <row r="1377" spans="1:9" ht="15" customHeight="1">
      <c r="A1377" s="434"/>
      <c r="B1377" s="244"/>
      <c r="C1377" s="244"/>
      <c r="D1377" s="244"/>
      <c r="E1377" s="244"/>
      <c r="F1377" s="244"/>
      <c r="G1377" s="244"/>
      <c r="H1377" s="244"/>
      <c r="I1377" s="244"/>
    </row>
    <row r="1378" spans="1:9" ht="15" customHeight="1">
      <c r="A1378" s="434"/>
      <c r="B1378" s="244"/>
      <c r="C1378" s="244"/>
      <c r="D1378" s="244"/>
      <c r="E1378" s="244"/>
      <c r="F1378" s="244"/>
      <c r="G1378" s="244"/>
      <c r="H1378" s="244"/>
      <c r="I1378" s="244"/>
    </row>
    <row r="1379" spans="1:9" ht="15" customHeight="1">
      <c r="A1379" s="434"/>
      <c r="B1379" s="244"/>
      <c r="C1379" s="244"/>
      <c r="D1379" s="244"/>
      <c r="E1379" s="244"/>
      <c r="F1379" s="244"/>
      <c r="G1379" s="244"/>
      <c r="H1379" s="244"/>
      <c r="I1379" s="244"/>
    </row>
    <row r="1380" spans="1:9" ht="15" customHeight="1">
      <c r="A1380" s="434"/>
      <c r="B1380" s="244"/>
      <c r="C1380" s="244"/>
      <c r="D1380" s="244"/>
      <c r="E1380" s="244"/>
      <c r="F1380" s="244"/>
      <c r="G1380" s="244"/>
      <c r="H1380" s="244"/>
      <c r="I1380" s="244"/>
    </row>
    <row r="1381" spans="1:9" ht="15" customHeight="1">
      <c r="A1381" s="434"/>
      <c r="B1381" s="244"/>
      <c r="C1381" s="244"/>
      <c r="D1381" s="244"/>
      <c r="E1381" s="244"/>
      <c r="F1381" s="244"/>
      <c r="G1381" s="244"/>
      <c r="H1381" s="244"/>
      <c r="I1381" s="244"/>
    </row>
    <row r="1382" spans="1:9" ht="15" customHeight="1">
      <c r="A1382" s="434"/>
      <c r="B1382" s="244"/>
      <c r="C1382" s="244"/>
      <c r="D1382" s="244"/>
      <c r="E1382" s="244"/>
      <c r="F1382" s="244"/>
      <c r="G1382" s="244"/>
      <c r="H1382" s="244"/>
      <c r="I1382" s="244"/>
    </row>
    <row r="1383" spans="1:9" ht="15" customHeight="1">
      <c r="A1383" s="434"/>
      <c r="B1383" s="244"/>
      <c r="C1383" s="244"/>
      <c r="D1383" s="244"/>
      <c r="E1383" s="244"/>
      <c r="F1383" s="244"/>
      <c r="G1383" s="244"/>
      <c r="H1383" s="244"/>
      <c r="I1383" s="244"/>
    </row>
    <row r="1384" spans="1:9" ht="15" customHeight="1">
      <c r="A1384" s="434"/>
      <c r="B1384" s="244"/>
      <c r="C1384" s="244"/>
      <c r="D1384" s="244"/>
      <c r="E1384" s="244"/>
      <c r="F1384" s="244"/>
      <c r="G1384" s="244"/>
      <c r="H1384" s="244"/>
      <c r="I1384" s="244"/>
    </row>
    <row r="1385" spans="1:9" ht="15" customHeight="1">
      <c r="A1385" s="434"/>
      <c r="B1385" s="244"/>
      <c r="C1385" s="244"/>
      <c r="D1385" s="244"/>
      <c r="E1385" s="244"/>
      <c r="F1385" s="244"/>
      <c r="G1385" s="244"/>
      <c r="H1385" s="244"/>
      <c r="I1385" s="244"/>
    </row>
    <row r="1386" spans="1:9" ht="15" customHeight="1">
      <c r="A1386" s="434"/>
      <c r="B1386" s="244"/>
      <c r="C1386" s="244"/>
      <c r="D1386" s="244"/>
      <c r="E1386" s="244"/>
      <c r="F1386" s="244"/>
      <c r="G1386" s="244"/>
      <c r="H1386" s="244"/>
      <c r="I1386" s="244"/>
    </row>
    <row r="1387" spans="1:9" ht="15" customHeight="1">
      <c r="A1387" s="434"/>
      <c r="B1387" s="244"/>
      <c r="C1387" s="244"/>
      <c r="D1387" s="244"/>
      <c r="E1387" s="244"/>
      <c r="F1387" s="244"/>
      <c r="G1387" s="244"/>
      <c r="H1387" s="244"/>
      <c r="I1387" s="244"/>
    </row>
    <row r="1388" spans="1:9" ht="15" customHeight="1">
      <c r="A1388" s="434"/>
      <c r="B1388" s="244"/>
      <c r="C1388" s="244"/>
      <c r="D1388" s="244"/>
      <c r="E1388" s="244"/>
      <c r="F1388" s="244"/>
      <c r="G1388" s="244"/>
      <c r="H1388" s="244"/>
      <c r="I1388" s="244"/>
    </row>
    <row r="1389" spans="1:9" ht="15" customHeight="1">
      <c r="A1389" s="434"/>
      <c r="B1389" s="244"/>
      <c r="C1389" s="244"/>
      <c r="D1389" s="244"/>
      <c r="E1389" s="244"/>
      <c r="F1389" s="244"/>
      <c r="G1389" s="244"/>
      <c r="H1389" s="244"/>
      <c r="I1389" s="244"/>
    </row>
    <row r="1390" spans="1:9" ht="15" customHeight="1">
      <c r="A1390" s="434"/>
      <c r="B1390" s="244"/>
      <c r="C1390" s="244"/>
      <c r="D1390" s="244"/>
      <c r="E1390" s="244"/>
      <c r="F1390" s="244"/>
      <c r="G1390" s="244"/>
      <c r="H1390" s="244"/>
      <c r="I1390" s="244"/>
    </row>
    <row r="1391" spans="1:9" ht="15" customHeight="1">
      <c r="A1391" s="434"/>
      <c r="B1391" s="244"/>
      <c r="C1391" s="244"/>
      <c r="D1391" s="244"/>
      <c r="E1391" s="244"/>
      <c r="F1391" s="244"/>
      <c r="G1391" s="244"/>
      <c r="H1391" s="244"/>
      <c r="I1391" s="244"/>
    </row>
    <row r="1392" spans="1:9" ht="15" customHeight="1">
      <c r="A1392" s="434"/>
      <c r="B1392" s="244"/>
      <c r="C1392" s="244"/>
      <c r="D1392" s="244"/>
      <c r="E1392" s="244"/>
      <c r="F1392" s="244"/>
      <c r="G1392" s="244"/>
      <c r="H1392" s="244"/>
      <c r="I1392" s="244"/>
    </row>
    <row r="1393" spans="1:9" ht="15" customHeight="1">
      <c r="A1393" s="434"/>
      <c r="B1393" s="244"/>
      <c r="C1393" s="244"/>
      <c r="D1393" s="244"/>
      <c r="E1393" s="244"/>
      <c r="F1393" s="244"/>
      <c r="G1393" s="244"/>
      <c r="H1393" s="244"/>
      <c r="I1393" s="244"/>
    </row>
    <row r="1394" spans="1:9" ht="15" customHeight="1">
      <c r="A1394" s="434"/>
      <c r="B1394" s="244"/>
      <c r="C1394" s="244"/>
      <c r="D1394" s="244"/>
      <c r="E1394" s="244"/>
      <c r="F1394" s="244"/>
      <c r="G1394" s="244"/>
      <c r="H1394" s="244"/>
      <c r="I1394" s="244"/>
    </row>
    <row r="1395" spans="1:9" ht="15" customHeight="1">
      <c r="A1395" s="434"/>
      <c r="B1395" s="244"/>
      <c r="C1395" s="244"/>
      <c r="D1395" s="244"/>
      <c r="E1395" s="244"/>
      <c r="F1395" s="244"/>
      <c r="G1395" s="244"/>
      <c r="H1395" s="244"/>
      <c r="I1395" s="244"/>
    </row>
    <row r="1396" spans="1:9" ht="15" customHeight="1">
      <c r="A1396" s="434"/>
      <c r="B1396" s="244"/>
      <c r="C1396" s="244"/>
      <c r="D1396" s="244"/>
      <c r="E1396" s="244"/>
      <c r="F1396" s="244"/>
      <c r="G1396" s="244"/>
      <c r="H1396" s="244"/>
      <c r="I1396" s="244"/>
    </row>
    <row r="1397" spans="1:9" ht="15" customHeight="1">
      <c r="A1397" s="434"/>
      <c r="B1397" s="244"/>
      <c r="C1397" s="244"/>
      <c r="D1397" s="244"/>
      <c r="E1397" s="244"/>
      <c r="F1397" s="244"/>
      <c r="G1397" s="244"/>
      <c r="H1397" s="244"/>
      <c r="I1397" s="244"/>
    </row>
    <row r="1398" spans="1:9" ht="15" customHeight="1">
      <c r="A1398" s="434"/>
      <c r="B1398" s="244"/>
      <c r="C1398" s="244"/>
      <c r="D1398" s="244"/>
      <c r="E1398" s="244"/>
      <c r="F1398" s="244"/>
      <c r="G1398" s="244"/>
      <c r="H1398" s="244"/>
      <c r="I1398" s="244"/>
    </row>
    <row r="1399" spans="1:9" ht="15" customHeight="1">
      <c r="A1399" s="434"/>
      <c r="B1399" s="244"/>
      <c r="C1399" s="244"/>
      <c r="D1399" s="244"/>
      <c r="E1399" s="244"/>
      <c r="F1399" s="244"/>
      <c r="G1399" s="244"/>
      <c r="H1399" s="244"/>
      <c r="I1399" s="244"/>
    </row>
    <row r="1400" spans="1:9" ht="15" customHeight="1">
      <c r="A1400" s="434"/>
      <c r="B1400" s="244"/>
      <c r="C1400" s="244"/>
      <c r="D1400" s="244"/>
      <c r="E1400" s="244"/>
      <c r="F1400" s="244"/>
      <c r="G1400" s="244"/>
      <c r="H1400" s="244"/>
      <c r="I1400" s="244"/>
    </row>
    <row r="1401" spans="1:9" ht="15" customHeight="1">
      <c r="A1401" s="434"/>
      <c r="B1401" s="244"/>
      <c r="C1401" s="244"/>
      <c r="D1401" s="244"/>
      <c r="E1401" s="244"/>
      <c r="F1401" s="244"/>
      <c r="G1401" s="244"/>
      <c r="H1401" s="244"/>
      <c r="I1401" s="244"/>
    </row>
    <row r="1402" spans="1:9" ht="15" customHeight="1">
      <c r="A1402" s="434"/>
      <c r="B1402" s="244"/>
      <c r="C1402" s="244"/>
      <c r="D1402" s="244"/>
      <c r="E1402" s="244"/>
      <c r="F1402" s="244"/>
      <c r="G1402" s="244"/>
      <c r="H1402" s="244"/>
      <c r="I1402" s="244"/>
    </row>
    <row r="1403" spans="1:9" ht="15" customHeight="1">
      <c r="A1403" s="434"/>
      <c r="B1403" s="244"/>
      <c r="C1403" s="244"/>
      <c r="D1403" s="244"/>
      <c r="E1403" s="244"/>
      <c r="F1403" s="244"/>
      <c r="G1403" s="244"/>
      <c r="H1403" s="244"/>
      <c r="I1403" s="244"/>
    </row>
    <row r="1404" spans="1:9" ht="15" customHeight="1">
      <c r="A1404" s="434"/>
      <c r="B1404" s="244"/>
      <c r="C1404" s="244"/>
      <c r="D1404" s="244"/>
      <c r="E1404" s="244"/>
      <c r="F1404" s="244"/>
      <c r="G1404" s="244"/>
      <c r="H1404" s="244"/>
      <c r="I1404" s="244"/>
    </row>
    <row r="1405" spans="1:9" ht="15" customHeight="1">
      <c r="A1405" s="434"/>
      <c r="B1405" s="244"/>
      <c r="C1405" s="244"/>
      <c r="D1405" s="244"/>
      <c r="E1405" s="244"/>
      <c r="F1405" s="244"/>
      <c r="G1405" s="244"/>
      <c r="H1405" s="244"/>
      <c r="I1405" s="244"/>
    </row>
    <row r="1406" spans="1:9" ht="15" customHeight="1">
      <c r="A1406" s="434"/>
      <c r="B1406" s="244"/>
      <c r="C1406" s="244"/>
      <c r="D1406" s="244"/>
      <c r="E1406" s="244"/>
      <c r="F1406" s="244"/>
      <c r="G1406" s="244"/>
      <c r="H1406" s="244"/>
      <c r="I1406" s="244"/>
    </row>
    <row r="1407" spans="1:9" ht="15" customHeight="1">
      <c r="A1407" s="434"/>
      <c r="B1407" s="244"/>
      <c r="C1407" s="244"/>
      <c r="D1407" s="244"/>
      <c r="E1407" s="244"/>
      <c r="F1407" s="244"/>
      <c r="G1407" s="244"/>
      <c r="H1407" s="244"/>
      <c r="I1407" s="244"/>
    </row>
    <row r="1408" spans="1:9" ht="15" customHeight="1">
      <c r="A1408" s="434"/>
      <c r="B1408" s="244"/>
      <c r="C1408" s="244"/>
      <c r="D1408" s="244"/>
      <c r="E1408" s="244"/>
      <c r="F1408" s="244"/>
      <c r="G1408" s="244"/>
      <c r="H1408" s="244"/>
      <c r="I1408" s="244"/>
    </row>
    <row r="1409" spans="1:9" ht="15" customHeight="1">
      <c r="A1409" s="434"/>
      <c r="B1409" s="244"/>
      <c r="C1409" s="244"/>
      <c r="D1409" s="244"/>
      <c r="E1409" s="244"/>
      <c r="F1409" s="244"/>
      <c r="G1409" s="244"/>
      <c r="H1409" s="244"/>
      <c r="I1409" s="244"/>
    </row>
    <row r="1410" spans="1:9" ht="15" customHeight="1">
      <c r="A1410" s="434"/>
      <c r="B1410" s="244"/>
      <c r="C1410" s="244"/>
      <c r="D1410" s="244"/>
      <c r="E1410" s="244"/>
      <c r="F1410" s="244"/>
      <c r="G1410" s="244"/>
      <c r="H1410" s="244"/>
      <c r="I1410" s="244"/>
    </row>
    <row r="1411" spans="1:9" ht="15" customHeight="1">
      <c r="A1411" s="434"/>
      <c r="B1411" s="244"/>
      <c r="C1411" s="244"/>
      <c r="D1411" s="244"/>
      <c r="E1411" s="244"/>
      <c r="F1411" s="244"/>
      <c r="G1411" s="244"/>
      <c r="H1411" s="244"/>
      <c r="I1411" s="244"/>
    </row>
    <row r="1412" spans="1:9" ht="15" customHeight="1">
      <c r="A1412" s="434"/>
      <c r="B1412" s="244"/>
      <c r="C1412" s="244"/>
      <c r="D1412" s="244"/>
      <c r="E1412" s="244"/>
      <c r="F1412" s="244"/>
      <c r="G1412" s="244"/>
      <c r="H1412" s="244"/>
      <c r="I1412" s="244"/>
    </row>
    <row r="1413" spans="1:9" ht="15" customHeight="1">
      <c r="A1413" s="434"/>
      <c r="B1413" s="244"/>
      <c r="C1413" s="244"/>
      <c r="D1413" s="244"/>
      <c r="E1413" s="244"/>
      <c r="F1413" s="244"/>
      <c r="G1413" s="244"/>
      <c r="H1413" s="244"/>
      <c r="I1413" s="244"/>
    </row>
    <row r="1414" spans="1:9" ht="15" customHeight="1">
      <c r="A1414" s="434"/>
      <c r="B1414" s="244"/>
      <c r="C1414" s="244"/>
      <c r="D1414" s="244"/>
      <c r="E1414" s="244"/>
      <c r="F1414" s="244"/>
      <c r="G1414" s="244"/>
      <c r="H1414" s="244"/>
      <c r="I1414" s="244"/>
    </row>
    <row r="1415" spans="1:9" ht="15" customHeight="1">
      <c r="A1415" s="434"/>
      <c r="B1415" s="244"/>
      <c r="C1415" s="244"/>
      <c r="D1415" s="244"/>
      <c r="E1415" s="244"/>
      <c r="F1415" s="244"/>
      <c r="G1415" s="244"/>
      <c r="H1415" s="244"/>
      <c r="I1415" s="244"/>
    </row>
    <row r="1416" spans="1:9" ht="15" customHeight="1">
      <c r="A1416" s="434"/>
      <c r="B1416" s="244"/>
      <c r="C1416" s="244"/>
      <c r="D1416" s="244"/>
      <c r="E1416" s="244"/>
      <c r="F1416" s="244"/>
      <c r="G1416" s="244"/>
      <c r="H1416" s="244"/>
      <c r="I1416" s="244"/>
    </row>
    <row r="1417" spans="1:9" ht="15" customHeight="1">
      <c r="A1417" s="434"/>
      <c r="B1417" s="244"/>
      <c r="C1417" s="244"/>
      <c r="D1417" s="244"/>
      <c r="E1417" s="244"/>
      <c r="F1417" s="244"/>
      <c r="G1417" s="244"/>
      <c r="H1417" s="244"/>
      <c r="I1417" s="244"/>
    </row>
    <row r="1418" spans="1:9" ht="15" customHeight="1">
      <c r="A1418" s="434"/>
      <c r="B1418" s="244"/>
      <c r="C1418" s="244"/>
      <c r="D1418" s="244"/>
      <c r="E1418" s="244"/>
      <c r="F1418" s="244"/>
      <c r="G1418" s="244"/>
      <c r="H1418" s="244"/>
      <c r="I1418" s="244"/>
    </row>
    <row r="1419" spans="1:9" ht="15" customHeight="1">
      <c r="A1419" s="434"/>
      <c r="B1419" s="244"/>
      <c r="C1419" s="244"/>
      <c r="D1419" s="244"/>
      <c r="E1419" s="244"/>
      <c r="F1419" s="244"/>
      <c r="G1419" s="244"/>
      <c r="H1419" s="244"/>
      <c r="I1419" s="244"/>
    </row>
    <row r="1420" spans="1:9" ht="15" customHeight="1">
      <c r="A1420" s="434"/>
      <c r="B1420" s="244"/>
      <c r="C1420" s="244"/>
      <c r="D1420" s="244"/>
      <c r="E1420" s="244"/>
      <c r="F1420" s="244"/>
      <c r="G1420" s="244"/>
      <c r="H1420" s="244"/>
      <c r="I1420" s="244"/>
    </row>
    <row r="1421" spans="1:9" ht="15" customHeight="1">
      <c r="A1421" s="434"/>
      <c r="B1421" s="244"/>
      <c r="C1421" s="244"/>
      <c r="D1421" s="244"/>
      <c r="E1421" s="244"/>
      <c r="F1421" s="244"/>
      <c r="G1421" s="244"/>
      <c r="H1421" s="244"/>
      <c r="I1421" s="244"/>
    </row>
    <row r="1422" spans="1:9" ht="15" customHeight="1">
      <c r="A1422" s="434"/>
      <c r="B1422" s="244"/>
      <c r="C1422" s="244"/>
      <c r="D1422" s="244"/>
      <c r="E1422" s="244"/>
      <c r="F1422" s="244"/>
      <c r="G1422" s="244"/>
      <c r="H1422" s="244"/>
      <c r="I1422" s="244"/>
    </row>
    <row r="1423" spans="1:9" ht="15" customHeight="1">
      <c r="A1423" s="434"/>
      <c r="B1423" s="244"/>
      <c r="C1423" s="244"/>
      <c r="D1423" s="244"/>
      <c r="E1423" s="244"/>
      <c r="F1423" s="244"/>
      <c r="G1423" s="244"/>
      <c r="H1423" s="244"/>
      <c r="I1423" s="244"/>
    </row>
    <row r="1424" spans="1:9" ht="15" customHeight="1">
      <c r="A1424" s="434"/>
      <c r="B1424" s="244"/>
      <c r="C1424" s="244"/>
      <c r="D1424" s="244"/>
      <c r="E1424" s="244"/>
      <c r="F1424" s="244"/>
      <c r="G1424" s="244"/>
      <c r="H1424" s="244"/>
      <c r="I1424" s="244"/>
    </row>
    <row r="1425" spans="1:9" ht="15" customHeight="1">
      <c r="A1425" s="434"/>
      <c r="B1425" s="244"/>
      <c r="C1425" s="244"/>
      <c r="D1425" s="244"/>
      <c r="E1425" s="244"/>
      <c r="F1425" s="244"/>
      <c r="G1425" s="244"/>
      <c r="H1425" s="244"/>
      <c r="I1425" s="244"/>
    </row>
    <row r="1426" spans="1:9" ht="15" customHeight="1">
      <c r="A1426" s="434"/>
      <c r="B1426" s="244"/>
      <c r="C1426" s="244"/>
      <c r="D1426" s="244"/>
      <c r="E1426" s="244"/>
      <c r="F1426" s="244"/>
      <c r="G1426" s="244"/>
      <c r="H1426" s="244"/>
      <c r="I1426" s="244"/>
    </row>
    <row r="1427" spans="1:9" ht="15" customHeight="1">
      <c r="A1427" s="434"/>
      <c r="B1427" s="244"/>
      <c r="C1427" s="244"/>
      <c r="D1427" s="244"/>
      <c r="E1427" s="244"/>
      <c r="F1427" s="244"/>
      <c r="G1427" s="244"/>
      <c r="H1427" s="244"/>
      <c r="I1427" s="244"/>
    </row>
    <row r="1428" spans="1:9" ht="15" customHeight="1">
      <c r="A1428" s="434"/>
      <c r="B1428" s="244"/>
      <c r="C1428" s="244"/>
      <c r="D1428" s="244"/>
      <c r="E1428" s="244"/>
      <c r="F1428" s="244"/>
      <c r="G1428" s="244"/>
      <c r="H1428" s="244"/>
      <c r="I1428" s="244"/>
    </row>
    <row r="1429" spans="1:9" ht="15" customHeight="1">
      <c r="A1429" s="434"/>
      <c r="B1429" s="244"/>
      <c r="C1429" s="244"/>
      <c r="D1429" s="244"/>
      <c r="E1429" s="244"/>
      <c r="F1429" s="244"/>
      <c r="G1429" s="244"/>
      <c r="H1429" s="244"/>
      <c r="I1429" s="244"/>
    </row>
    <row r="1430" spans="1:9" ht="15" customHeight="1">
      <c r="A1430" s="434"/>
      <c r="B1430" s="244"/>
      <c r="C1430" s="244"/>
      <c r="D1430" s="244"/>
      <c r="E1430" s="244"/>
      <c r="F1430" s="244"/>
      <c r="G1430" s="244"/>
      <c r="H1430" s="244"/>
      <c r="I1430" s="244"/>
    </row>
    <row r="1431" spans="1:9" ht="15" customHeight="1">
      <c r="A1431" s="434"/>
      <c r="B1431" s="244"/>
      <c r="C1431" s="244"/>
      <c r="D1431" s="244"/>
      <c r="E1431" s="244"/>
      <c r="F1431" s="244"/>
      <c r="G1431" s="244"/>
      <c r="H1431" s="244"/>
      <c r="I1431" s="244"/>
    </row>
    <row r="1432" spans="1:9" ht="15" customHeight="1">
      <c r="A1432" s="434"/>
      <c r="B1432" s="244"/>
      <c r="C1432" s="244"/>
      <c r="D1432" s="244"/>
      <c r="E1432" s="244"/>
      <c r="F1432" s="244"/>
      <c r="G1432" s="244"/>
      <c r="H1432" s="244"/>
      <c r="I1432" s="244"/>
    </row>
    <row r="1433" spans="1:9" ht="15" customHeight="1">
      <c r="A1433" s="434"/>
      <c r="B1433" s="244"/>
      <c r="C1433" s="244"/>
      <c r="D1433" s="244"/>
      <c r="E1433" s="244"/>
      <c r="F1433" s="244"/>
      <c r="G1433" s="244"/>
      <c r="H1433" s="244"/>
      <c r="I1433" s="244"/>
    </row>
    <row r="1434" spans="1:9" ht="15" customHeight="1">
      <c r="A1434" s="434"/>
      <c r="B1434" s="244"/>
      <c r="C1434" s="244"/>
      <c r="D1434" s="244"/>
      <c r="E1434" s="244"/>
      <c r="F1434" s="244"/>
      <c r="G1434" s="244"/>
      <c r="H1434" s="244"/>
      <c r="I1434" s="244"/>
    </row>
    <row r="1435" spans="1:9" ht="15" customHeight="1">
      <c r="A1435" s="434"/>
      <c r="B1435" s="244"/>
      <c r="C1435" s="244"/>
      <c r="D1435" s="244"/>
      <c r="E1435" s="244"/>
      <c r="F1435" s="244"/>
      <c r="G1435" s="244"/>
      <c r="H1435" s="244"/>
      <c r="I1435" s="244"/>
    </row>
    <row r="1436" spans="1:9" ht="15" customHeight="1">
      <c r="A1436" s="434"/>
      <c r="B1436" s="244"/>
      <c r="C1436" s="244"/>
      <c r="D1436" s="244"/>
      <c r="E1436" s="244"/>
      <c r="F1436" s="244"/>
      <c r="G1436" s="244"/>
      <c r="H1436" s="244"/>
      <c r="I1436" s="244"/>
    </row>
    <row r="1437" spans="1:9" ht="15" customHeight="1">
      <c r="A1437" s="434"/>
      <c r="B1437" s="244"/>
      <c r="C1437" s="244"/>
      <c r="D1437" s="244"/>
      <c r="E1437" s="244"/>
      <c r="F1437" s="244"/>
      <c r="G1437" s="244"/>
      <c r="H1437" s="244"/>
      <c r="I1437" s="244"/>
    </row>
    <row r="1438" spans="1:9" ht="15" customHeight="1">
      <c r="A1438" s="434"/>
      <c r="B1438" s="244"/>
      <c r="C1438" s="244"/>
      <c r="D1438" s="244"/>
      <c r="E1438" s="244"/>
      <c r="F1438" s="244"/>
      <c r="G1438" s="244"/>
      <c r="H1438" s="244"/>
      <c r="I1438" s="244"/>
    </row>
    <row r="1439" spans="1:9" ht="15" customHeight="1">
      <c r="A1439" s="434"/>
      <c r="B1439" s="244"/>
      <c r="C1439" s="244"/>
      <c r="D1439" s="244"/>
      <c r="E1439" s="244"/>
      <c r="F1439" s="244"/>
      <c r="G1439" s="244"/>
      <c r="H1439" s="244"/>
      <c r="I1439" s="244"/>
    </row>
    <row r="1440" spans="1:9" ht="15" customHeight="1">
      <c r="A1440" s="434"/>
      <c r="B1440" s="244"/>
      <c r="C1440" s="244"/>
      <c r="D1440" s="244"/>
      <c r="E1440" s="244"/>
      <c r="F1440" s="244"/>
      <c r="G1440" s="244"/>
      <c r="H1440" s="244"/>
      <c r="I1440" s="244"/>
    </row>
    <row r="1441" spans="1:9" ht="15" customHeight="1">
      <c r="A1441" s="434"/>
      <c r="B1441" s="244"/>
      <c r="C1441" s="244"/>
      <c r="D1441" s="244"/>
      <c r="E1441" s="244"/>
      <c r="F1441" s="244"/>
      <c r="G1441" s="244"/>
      <c r="H1441" s="244"/>
      <c r="I1441" s="244"/>
    </row>
    <row r="1442" spans="1:9" ht="15" customHeight="1">
      <c r="A1442" s="434"/>
      <c r="B1442" s="244"/>
      <c r="C1442" s="244"/>
      <c r="D1442" s="244"/>
      <c r="E1442" s="244"/>
      <c r="F1442" s="244"/>
      <c r="G1442" s="244"/>
      <c r="H1442" s="244"/>
      <c r="I1442" s="244"/>
    </row>
    <row r="1443" spans="1:9" ht="15" customHeight="1">
      <c r="A1443" s="434"/>
      <c r="B1443" s="244"/>
      <c r="C1443" s="244"/>
      <c r="D1443" s="244"/>
      <c r="E1443" s="244"/>
      <c r="F1443" s="244"/>
      <c r="G1443" s="244"/>
      <c r="H1443" s="244"/>
      <c r="I1443" s="244"/>
    </row>
    <row r="1444" spans="1:9" ht="15" customHeight="1">
      <c r="A1444" s="434"/>
      <c r="B1444" s="244"/>
      <c r="C1444" s="244"/>
      <c r="D1444" s="244"/>
      <c r="E1444" s="244"/>
      <c r="F1444" s="244"/>
      <c r="G1444" s="244"/>
      <c r="H1444" s="244"/>
      <c r="I1444" s="244"/>
    </row>
    <row r="1445" spans="1:9" ht="15" customHeight="1">
      <c r="A1445" s="434"/>
      <c r="B1445" s="244"/>
      <c r="C1445" s="244"/>
      <c r="D1445" s="244"/>
      <c r="E1445" s="244"/>
      <c r="F1445" s="244"/>
      <c r="G1445" s="244"/>
      <c r="H1445" s="244"/>
      <c r="I1445" s="244"/>
    </row>
    <row r="1446" spans="1:9" ht="15" customHeight="1">
      <c r="A1446" s="434"/>
      <c r="B1446" s="244"/>
      <c r="C1446" s="244"/>
      <c r="D1446" s="244"/>
      <c r="E1446" s="244"/>
      <c r="F1446" s="244"/>
      <c r="G1446" s="244"/>
      <c r="H1446" s="244"/>
      <c r="I1446" s="244"/>
    </row>
    <row r="1447" spans="1:9" ht="15" customHeight="1">
      <c r="A1447" s="434"/>
      <c r="B1447" s="244"/>
      <c r="C1447" s="244"/>
      <c r="D1447" s="244"/>
      <c r="E1447" s="244"/>
      <c r="F1447" s="244"/>
      <c r="G1447" s="244"/>
      <c r="H1447" s="244"/>
      <c r="I1447" s="244"/>
    </row>
    <row r="1448" spans="1:9" ht="15" customHeight="1">
      <c r="A1448" s="434"/>
      <c r="B1448" s="244"/>
      <c r="C1448" s="244"/>
      <c r="D1448" s="244"/>
      <c r="E1448" s="244"/>
      <c r="F1448" s="244"/>
      <c r="G1448" s="244"/>
      <c r="H1448" s="244"/>
      <c r="I1448" s="244"/>
    </row>
    <row r="1449" spans="1:9" ht="15" customHeight="1">
      <c r="A1449" s="434"/>
      <c r="B1449" s="244"/>
      <c r="C1449" s="244"/>
      <c r="D1449" s="244"/>
      <c r="E1449" s="244"/>
      <c r="F1449" s="244"/>
      <c r="G1449" s="244"/>
      <c r="H1449" s="244"/>
      <c r="I1449" s="244"/>
    </row>
    <row r="1450" spans="1:9" ht="15" customHeight="1">
      <c r="A1450" s="434"/>
      <c r="B1450" s="244"/>
      <c r="C1450" s="244"/>
      <c r="D1450" s="244"/>
      <c r="E1450" s="244"/>
      <c r="F1450" s="244"/>
      <c r="G1450" s="244"/>
      <c r="H1450" s="244"/>
      <c r="I1450" s="244"/>
    </row>
    <row r="1451" spans="1:9" ht="15" customHeight="1">
      <c r="A1451" s="434"/>
      <c r="B1451" s="244"/>
      <c r="C1451" s="244"/>
      <c r="D1451" s="244"/>
      <c r="E1451" s="244"/>
      <c r="F1451" s="244"/>
      <c r="G1451" s="244"/>
      <c r="H1451" s="244"/>
      <c r="I1451" s="244"/>
    </row>
    <row r="1452" spans="1:9" ht="15" customHeight="1">
      <c r="A1452" s="434"/>
      <c r="B1452" s="244"/>
      <c r="C1452" s="244"/>
      <c r="D1452" s="244"/>
      <c r="E1452" s="244"/>
      <c r="F1452" s="244"/>
      <c r="G1452" s="244"/>
      <c r="H1452" s="244"/>
      <c r="I1452" s="244"/>
    </row>
    <row r="1453" spans="1:9" ht="15" customHeight="1">
      <c r="A1453" s="434"/>
      <c r="B1453" s="244"/>
      <c r="C1453" s="244"/>
      <c r="D1453" s="244"/>
      <c r="E1453" s="244"/>
      <c r="F1453" s="244"/>
      <c r="G1453" s="244"/>
      <c r="H1453" s="244"/>
      <c r="I1453" s="244"/>
    </row>
    <row r="1454" spans="1:9" ht="15" customHeight="1">
      <c r="A1454" s="434"/>
      <c r="B1454" s="244"/>
      <c r="C1454" s="244"/>
      <c r="D1454" s="244"/>
      <c r="E1454" s="244"/>
      <c r="F1454" s="244"/>
      <c r="G1454" s="244"/>
      <c r="H1454" s="244"/>
      <c r="I1454" s="244"/>
    </row>
    <row r="1455" spans="1:9" ht="15" customHeight="1">
      <c r="A1455" s="434"/>
      <c r="B1455" s="244"/>
      <c r="C1455" s="244"/>
      <c r="D1455" s="244"/>
      <c r="E1455" s="244"/>
      <c r="F1455" s="244"/>
      <c r="G1455" s="244"/>
      <c r="H1455" s="244"/>
      <c r="I1455" s="244"/>
    </row>
    <row r="1456" spans="1:9" ht="15" customHeight="1">
      <c r="A1456" s="434"/>
      <c r="B1456" s="244"/>
      <c r="C1456" s="244"/>
      <c r="D1456" s="244"/>
      <c r="E1456" s="244"/>
      <c r="F1456" s="244"/>
      <c r="G1456" s="244"/>
      <c r="H1456" s="244"/>
      <c r="I1456" s="244"/>
    </row>
    <row r="1457" spans="1:9" ht="15" customHeight="1">
      <c r="A1457" s="434"/>
      <c r="B1457" s="244"/>
      <c r="C1457" s="244"/>
      <c r="D1457" s="244"/>
      <c r="E1457" s="244"/>
      <c r="F1457" s="244"/>
      <c r="G1457" s="244"/>
      <c r="H1457" s="244"/>
      <c r="I1457" s="244"/>
    </row>
    <row r="1458" spans="1:9" ht="15" customHeight="1">
      <c r="A1458" s="434"/>
      <c r="B1458" s="244"/>
      <c r="C1458" s="244"/>
      <c r="D1458" s="244"/>
      <c r="E1458" s="244"/>
      <c r="F1458" s="244"/>
      <c r="G1458" s="244"/>
      <c r="H1458" s="244"/>
      <c r="I1458" s="244"/>
    </row>
    <row r="1459" spans="1:9" ht="15" customHeight="1">
      <c r="A1459" s="434"/>
      <c r="B1459" s="244"/>
      <c r="C1459" s="244"/>
      <c r="D1459" s="244"/>
      <c r="E1459" s="244"/>
      <c r="F1459" s="244"/>
      <c r="G1459" s="244"/>
      <c r="H1459" s="244"/>
      <c r="I1459" s="244"/>
    </row>
    <row r="1460" spans="1:9" ht="15" customHeight="1">
      <c r="A1460" s="434"/>
      <c r="B1460" s="244"/>
      <c r="C1460" s="244"/>
      <c r="D1460" s="244"/>
      <c r="E1460" s="244"/>
      <c r="F1460" s="244"/>
      <c r="G1460" s="244"/>
      <c r="H1460" s="244"/>
      <c r="I1460" s="244"/>
    </row>
    <row r="1461" spans="1:9" ht="15" customHeight="1">
      <c r="A1461" s="434"/>
      <c r="B1461" s="244"/>
      <c r="C1461" s="244"/>
      <c r="D1461" s="244"/>
      <c r="E1461" s="244"/>
      <c r="F1461" s="244"/>
      <c r="G1461" s="244"/>
      <c r="H1461" s="244"/>
      <c r="I1461" s="244"/>
    </row>
    <row r="1462" spans="1:9" ht="15" customHeight="1">
      <c r="A1462" s="434"/>
      <c r="B1462" s="244"/>
      <c r="C1462" s="244"/>
      <c r="D1462" s="244"/>
      <c r="E1462" s="244"/>
      <c r="F1462" s="244"/>
      <c r="G1462" s="244"/>
      <c r="H1462" s="244"/>
      <c r="I1462" s="244"/>
    </row>
    <row r="1463" spans="1:9" ht="15" customHeight="1">
      <c r="A1463" s="434"/>
      <c r="B1463" s="244"/>
      <c r="C1463" s="244"/>
      <c r="D1463" s="244"/>
      <c r="E1463" s="244"/>
      <c r="F1463" s="244"/>
      <c r="G1463" s="244"/>
      <c r="H1463" s="244"/>
      <c r="I1463" s="244"/>
    </row>
    <row r="1464" spans="1:9" ht="15" customHeight="1">
      <c r="A1464" s="434"/>
      <c r="B1464" s="244"/>
      <c r="C1464" s="244"/>
      <c r="D1464" s="244"/>
      <c r="E1464" s="244"/>
      <c r="F1464" s="244"/>
      <c r="G1464" s="244"/>
      <c r="H1464" s="244"/>
      <c r="I1464" s="244"/>
    </row>
    <row r="1465" spans="1:9" ht="15" customHeight="1">
      <c r="A1465" s="434"/>
      <c r="B1465" s="244"/>
      <c r="C1465" s="244"/>
      <c r="D1465" s="244"/>
      <c r="E1465" s="244"/>
      <c r="F1465" s="244"/>
      <c r="G1465" s="244"/>
      <c r="H1465" s="244"/>
      <c r="I1465" s="244"/>
    </row>
    <row r="1466" spans="1:9" ht="15" customHeight="1">
      <c r="A1466" s="434"/>
      <c r="B1466" s="244"/>
      <c r="C1466" s="244"/>
      <c r="D1466" s="244"/>
      <c r="E1466" s="244"/>
      <c r="F1466" s="244"/>
      <c r="G1466" s="244"/>
      <c r="H1466" s="244"/>
      <c r="I1466" s="244"/>
    </row>
    <row r="1467" spans="1:9" ht="15" customHeight="1">
      <c r="A1467" s="434"/>
      <c r="B1467" s="244"/>
      <c r="C1467" s="244"/>
      <c r="D1467" s="244"/>
      <c r="E1467" s="244"/>
      <c r="F1467" s="244"/>
      <c r="G1467" s="244"/>
      <c r="H1467" s="244"/>
      <c r="I1467" s="244"/>
    </row>
    <row r="1468" spans="1:9" ht="15" customHeight="1">
      <c r="A1468" s="434"/>
      <c r="B1468" s="244"/>
      <c r="C1468" s="244"/>
      <c r="D1468" s="244"/>
      <c r="E1468" s="244"/>
      <c r="F1468" s="244"/>
      <c r="G1468" s="244"/>
      <c r="H1468" s="244"/>
      <c r="I1468" s="244"/>
    </row>
    <row r="1469" spans="1:9" ht="15" customHeight="1">
      <c r="A1469" s="434"/>
      <c r="B1469" s="244"/>
      <c r="C1469" s="244"/>
      <c r="D1469" s="244"/>
      <c r="E1469" s="244"/>
      <c r="F1469" s="244"/>
      <c r="G1469" s="244"/>
      <c r="H1469" s="244"/>
      <c r="I1469" s="244"/>
    </row>
    <row r="1470" spans="1:9" ht="15" customHeight="1">
      <c r="A1470" s="434"/>
      <c r="B1470" s="244"/>
      <c r="C1470" s="244"/>
      <c r="D1470" s="244"/>
      <c r="E1470" s="244"/>
      <c r="F1470" s="244"/>
      <c r="G1470" s="244"/>
      <c r="H1470" s="244"/>
      <c r="I1470" s="244"/>
    </row>
    <row r="1471" spans="1:9" ht="15" customHeight="1">
      <c r="A1471" s="434"/>
      <c r="B1471" s="244"/>
      <c r="C1471" s="244"/>
      <c r="D1471" s="244"/>
      <c r="E1471" s="244"/>
      <c r="F1471" s="244"/>
      <c r="G1471" s="244"/>
      <c r="H1471" s="244"/>
      <c r="I1471" s="244"/>
    </row>
    <row r="1472" spans="1:9" ht="15" customHeight="1">
      <c r="A1472" s="434"/>
      <c r="B1472" s="244"/>
      <c r="C1472" s="244"/>
      <c r="D1472" s="244"/>
      <c r="E1472" s="244"/>
      <c r="F1472" s="244"/>
      <c r="G1472" s="244"/>
      <c r="H1472" s="244"/>
      <c r="I1472" s="244"/>
    </row>
    <row r="1473" spans="1:9" ht="15" customHeight="1">
      <c r="A1473" s="434"/>
      <c r="B1473" s="244"/>
      <c r="C1473" s="244"/>
      <c r="D1473" s="244"/>
      <c r="E1473" s="244"/>
      <c r="F1473" s="244"/>
      <c r="G1473" s="244"/>
      <c r="H1473" s="244"/>
      <c r="I1473" s="244"/>
    </row>
    <row r="1474" spans="1:9" ht="15" customHeight="1">
      <c r="A1474" s="434"/>
      <c r="B1474" s="244"/>
      <c r="C1474" s="244"/>
      <c r="D1474" s="244"/>
      <c r="E1474" s="244"/>
      <c r="F1474" s="244"/>
      <c r="G1474" s="244"/>
      <c r="H1474" s="244"/>
      <c r="I1474" s="244"/>
    </row>
    <row r="1475" spans="1:9" ht="15" customHeight="1">
      <c r="A1475" s="434"/>
      <c r="B1475" s="244"/>
      <c r="C1475" s="244"/>
      <c r="D1475" s="244"/>
      <c r="E1475" s="244"/>
      <c r="F1475" s="244"/>
      <c r="G1475" s="244"/>
      <c r="H1475" s="244"/>
      <c r="I1475" s="244"/>
    </row>
    <row r="1476" spans="1:9" ht="15" customHeight="1">
      <c r="A1476" s="434"/>
      <c r="B1476" s="244"/>
      <c r="C1476" s="244"/>
      <c r="D1476" s="244"/>
      <c r="E1476" s="244"/>
      <c r="F1476" s="244"/>
      <c r="G1476" s="244"/>
      <c r="H1476" s="244"/>
      <c r="I1476" s="244"/>
    </row>
    <row r="1477" spans="1:9" ht="15" customHeight="1">
      <c r="A1477" s="434"/>
      <c r="B1477" s="244"/>
      <c r="C1477" s="244"/>
      <c r="D1477" s="244"/>
      <c r="E1477" s="244"/>
      <c r="F1477" s="244"/>
      <c r="G1477" s="244"/>
      <c r="H1477" s="244"/>
      <c r="I1477" s="244"/>
    </row>
    <row r="1478" spans="1:9" ht="15" customHeight="1">
      <c r="A1478" s="434"/>
      <c r="B1478" s="244"/>
      <c r="C1478" s="244"/>
      <c r="D1478" s="244"/>
      <c r="E1478" s="244"/>
      <c r="F1478" s="244"/>
      <c r="G1478" s="244"/>
      <c r="H1478" s="244"/>
      <c r="I1478" s="244"/>
    </row>
    <row r="1479" spans="1:9" ht="15" customHeight="1">
      <c r="A1479" s="434"/>
      <c r="B1479" s="244"/>
      <c r="C1479" s="244"/>
      <c r="D1479" s="244"/>
      <c r="E1479" s="244"/>
      <c r="F1479" s="244"/>
      <c r="G1479" s="244"/>
      <c r="H1479" s="244"/>
      <c r="I1479" s="244"/>
    </row>
    <row r="1480" spans="1:9" ht="15" customHeight="1">
      <c r="A1480" s="434"/>
      <c r="B1480" s="244"/>
      <c r="C1480" s="244"/>
      <c r="D1480" s="244"/>
      <c r="E1480" s="244"/>
      <c r="F1480" s="244"/>
      <c r="G1480" s="244"/>
      <c r="H1480" s="244"/>
      <c r="I1480" s="244"/>
    </row>
    <row r="1481" spans="1:9" ht="15" customHeight="1">
      <c r="A1481" s="434"/>
      <c r="B1481" s="244"/>
      <c r="C1481" s="244"/>
      <c r="D1481" s="244"/>
      <c r="E1481" s="244"/>
      <c r="F1481" s="244"/>
      <c r="G1481" s="244"/>
      <c r="H1481" s="244"/>
      <c r="I1481" s="244"/>
    </row>
    <row r="1482" spans="1:9" ht="15" customHeight="1">
      <c r="A1482" s="434"/>
      <c r="B1482" s="244"/>
      <c r="C1482" s="244"/>
      <c r="D1482" s="244"/>
      <c r="E1482" s="244"/>
      <c r="F1482" s="244"/>
      <c r="G1482" s="244"/>
      <c r="H1482" s="244"/>
      <c r="I1482" s="244"/>
    </row>
    <row r="1483" spans="1:9" ht="15" customHeight="1">
      <c r="A1483" s="434"/>
      <c r="B1483" s="244"/>
      <c r="C1483" s="244"/>
      <c r="D1483" s="244"/>
      <c r="E1483" s="244"/>
      <c r="F1483" s="244"/>
      <c r="G1483" s="244"/>
      <c r="H1483" s="244"/>
      <c r="I1483" s="244"/>
    </row>
    <row r="1484" spans="1:9" ht="15" customHeight="1">
      <c r="A1484" s="434"/>
      <c r="B1484" s="244"/>
      <c r="C1484" s="244"/>
      <c r="D1484" s="244"/>
      <c r="E1484" s="244"/>
      <c r="F1484" s="244"/>
      <c r="G1484" s="244"/>
      <c r="H1484" s="244"/>
      <c r="I1484" s="244"/>
    </row>
    <row r="1485" spans="1:9" ht="15" customHeight="1">
      <c r="A1485" s="434"/>
      <c r="B1485" s="244"/>
      <c r="C1485" s="244"/>
      <c r="D1485" s="244"/>
      <c r="E1485" s="244"/>
      <c r="F1485" s="244"/>
      <c r="G1485" s="244"/>
      <c r="H1485" s="244"/>
      <c r="I1485" s="244"/>
    </row>
    <row r="1486" spans="1:9" ht="15" customHeight="1">
      <c r="A1486" s="434"/>
      <c r="B1486" s="244"/>
      <c r="C1486" s="244"/>
      <c r="D1486" s="244"/>
      <c r="E1486" s="244"/>
      <c r="F1486" s="244"/>
      <c r="G1486" s="244"/>
      <c r="H1486" s="244"/>
      <c r="I1486" s="244"/>
    </row>
    <row r="1487" spans="1:9" ht="15" customHeight="1">
      <c r="A1487" s="434"/>
      <c r="B1487" s="244"/>
      <c r="C1487" s="244"/>
      <c r="D1487" s="244"/>
      <c r="E1487" s="244"/>
      <c r="F1487" s="244"/>
      <c r="G1487" s="244"/>
      <c r="H1487" s="244"/>
      <c r="I1487" s="244"/>
    </row>
    <row r="1488" spans="1:9" ht="15" customHeight="1">
      <c r="A1488" s="434"/>
      <c r="B1488" s="244"/>
      <c r="C1488" s="244"/>
      <c r="D1488" s="244"/>
      <c r="E1488" s="244"/>
      <c r="F1488" s="244"/>
      <c r="G1488" s="244"/>
      <c r="H1488" s="244"/>
      <c r="I1488" s="244"/>
    </row>
    <row r="1489" spans="1:9" ht="15" customHeight="1">
      <c r="A1489" s="434"/>
      <c r="B1489" s="244"/>
      <c r="C1489" s="244"/>
      <c r="D1489" s="244"/>
      <c r="E1489" s="244"/>
      <c r="F1489" s="244"/>
      <c r="G1489" s="244"/>
      <c r="H1489" s="244"/>
      <c r="I1489" s="244"/>
    </row>
    <row r="1490" spans="1:9" ht="15" customHeight="1">
      <c r="A1490" s="434"/>
      <c r="B1490" s="244"/>
      <c r="C1490" s="244"/>
      <c r="D1490" s="244"/>
      <c r="E1490" s="244"/>
      <c r="F1490" s="244"/>
      <c r="G1490" s="244"/>
      <c r="H1490" s="244"/>
      <c r="I1490" s="244"/>
    </row>
    <row r="1491" spans="1:9" ht="15" customHeight="1">
      <c r="A1491" s="434"/>
      <c r="B1491" s="244"/>
      <c r="C1491" s="244"/>
      <c r="D1491" s="244"/>
      <c r="E1491" s="244"/>
      <c r="F1491" s="244"/>
      <c r="G1491" s="244"/>
      <c r="H1491" s="244"/>
      <c r="I1491" s="244"/>
    </row>
    <row r="1492" spans="1:9" ht="15" customHeight="1">
      <c r="A1492" s="434"/>
      <c r="B1492" s="244"/>
      <c r="C1492" s="244"/>
      <c r="D1492" s="244"/>
      <c r="E1492" s="244"/>
      <c r="F1492" s="244"/>
      <c r="G1492" s="244"/>
      <c r="H1492" s="244"/>
      <c r="I1492" s="244"/>
    </row>
    <row r="1493" spans="1:9" ht="15" customHeight="1">
      <c r="A1493" s="434"/>
      <c r="B1493" s="244"/>
      <c r="C1493" s="244"/>
      <c r="D1493" s="244"/>
      <c r="E1493" s="244"/>
      <c r="F1493" s="244"/>
      <c r="G1493" s="244"/>
      <c r="H1493" s="244"/>
      <c r="I1493" s="244"/>
    </row>
    <row r="1494" spans="1:9" ht="15" customHeight="1">
      <c r="A1494" s="434"/>
      <c r="B1494" s="244"/>
      <c r="C1494" s="244"/>
      <c r="D1494" s="244"/>
      <c r="E1494" s="244"/>
      <c r="F1494" s="244"/>
      <c r="G1494" s="244"/>
      <c r="H1494" s="244"/>
      <c r="I1494" s="244"/>
    </row>
    <row r="1495" spans="1:9" ht="15" customHeight="1">
      <c r="A1495" s="434"/>
      <c r="B1495" s="244"/>
      <c r="C1495" s="244"/>
      <c r="D1495" s="244"/>
      <c r="E1495" s="244"/>
      <c r="F1495" s="244"/>
      <c r="G1495" s="244"/>
      <c r="H1495" s="244"/>
      <c r="I1495" s="244"/>
    </row>
    <row r="1496" spans="1:9" ht="15" customHeight="1">
      <c r="A1496" s="434"/>
      <c r="B1496" s="244"/>
      <c r="C1496" s="244"/>
      <c r="D1496" s="244"/>
      <c r="E1496" s="244"/>
      <c r="F1496" s="244"/>
      <c r="G1496" s="244"/>
      <c r="H1496" s="244"/>
      <c r="I1496" s="244"/>
    </row>
    <row r="1497" spans="1:9" ht="15" customHeight="1">
      <c r="A1497" s="434"/>
      <c r="B1497" s="244"/>
      <c r="C1497" s="244"/>
      <c r="D1497" s="244"/>
      <c r="E1497" s="244"/>
      <c r="F1497" s="244"/>
      <c r="G1497" s="244"/>
      <c r="H1497" s="244"/>
      <c r="I1497" s="244"/>
    </row>
    <row r="1498" spans="1:9" ht="15" customHeight="1">
      <c r="A1498" s="434"/>
      <c r="B1498" s="244"/>
      <c r="C1498" s="244"/>
      <c r="D1498" s="244"/>
      <c r="E1498" s="244"/>
      <c r="F1498" s="244"/>
      <c r="G1498" s="244"/>
      <c r="H1498" s="244"/>
      <c r="I1498" s="244"/>
    </row>
    <row r="1499" spans="1:9" ht="15" customHeight="1">
      <c r="A1499" s="434"/>
      <c r="B1499" s="244"/>
      <c r="C1499" s="244"/>
      <c r="D1499" s="244"/>
      <c r="E1499" s="244"/>
      <c r="F1499" s="244"/>
      <c r="G1499" s="244"/>
      <c r="H1499" s="244"/>
      <c r="I1499" s="244"/>
    </row>
    <row r="1500" spans="1:9" ht="15" customHeight="1">
      <c r="A1500" s="434"/>
      <c r="B1500" s="244"/>
      <c r="C1500" s="244"/>
      <c r="D1500" s="244"/>
      <c r="E1500" s="244"/>
      <c r="F1500" s="244"/>
      <c r="G1500" s="244"/>
      <c r="H1500" s="244"/>
      <c r="I1500" s="244"/>
    </row>
    <row r="1501" spans="1:9" ht="15" customHeight="1">
      <c r="A1501" s="434"/>
      <c r="B1501" s="244"/>
      <c r="C1501" s="244"/>
      <c r="D1501" s="244"/>
      <c r="E1501" s="244"/>
      <c r="F1501" s="244"/>
      <c r="G1501" s="244"/>
      <c r="H1501" s="244"/>
      <c r="I1501" s="244"/>
    </row>
    <row r="1502" spans="1:9" ht="15" customHeight="1">
      <c r="A1502" s="434"/>
      <c r="B1502" s="244"/>
      <c r="C1502" s="244"/>
      <c r="D1502" s="244"/>
      <c r="E1502" s="244"/>
      <c r="F1502" s="244"/>
      <c r="G1502" s="244"/>
      <c r="H1502" s="244"/>
      <c r="I1502" s="244"/>
    </row>
    <row r="1503" spans="1:9" ht="15" customHeight="1">
      <c r="A1503" s="434"/>
      <c r="B1503" s="244"/>
      <c r="C1503" s="244"/>
      <c r="D1503" s="244"/>
      <c r="E1503" s="244"/>
      <c r="F1503" s="244"/>
      <c r="G1503" s="244"/>
      <c r="H1503" s="244"/>
      <c r="I1503" s="244"/>
    </row>
    <row r="1504" spans="1:9" ht="15" customHeight="1">
      <c r="A1504" s="434"/>
      <c r="B1504" s="244"/>
      <c r="C1504" s="244"/>
      <c r="D1504" s="244"/>
      <c r="E1504" s="244"/>
      <c r="F1504" s="244"/>
      <c r="G1504" s="244"/>
      <c r="H1504" s="244"/>
      <c r="I1504" s="244"/>
    </row>
    <row r="1505" spans="1:9" ht="15" customHeight="1">
      <c r="A1505" s="434"/>
      <c r="B1505" s="244"/>
      <c r="C1505" s="244"/>
      <c r="D1505" s="244"/>
      <c r="E1505" s="244"/>
      <c r="F1505" s="244"/>
      <c r="G1505" s="244"/>
      <c r="H1505" s="244"/>
      <c r="I1505" s="244"/>
    </row>
    <row r="1506" spans="1:9" ht="15" customHeight="1">
      <c r="A1506" s="434"/>
      <c r="B1506" s="244"/>
      <c r="C1506" s="244"/>
      <c r="D1506" s="244"/>
      <c r="E1506" s="244"/>
      <c r="F1506" s="244"/>
      <c r="G1506" s="244"/>
      <c r="H1506" s="244"/>
      <c r="I1506" s="244"/>
    </row>
    <row r="1507" spans="1:9" ht="15" customHeight="1">
      <c r="A1507" s="434"/>
      <c r="B1507" s="244"/>
      <c r="C1507" s="244"/>
      <c r="D1507" s="244"/>
      <c r="E1507" s="244"/>
      <c r="F1507" s="244"/>
      <c r="G1507" s="244"/>
      <c r="H1507" s="244"/>
      <c r="I1507" s="244"/>
    </row>
    <row r="1508" spans="1:9" ht="15" customHeight="1">
      <c r="A1508" s="434"/>
      <c r="B1508" s="244"/>
      <c r="C1508" s="244"/>
      <c r="D1508" s="244"/>
      <c r="E1508" s="244"/>
      <c r="F1508" s="244"/>
      <c r="G1508" s="244"/>
      <c r="H1508" s="244"/>
      <c r="I1508" s="244"/>
    </row>
    <row r="1509" spans="1:9" ht="15" customHeight="1">
      <c r="A1509" s="434"/>
      <c r="B1509" s="244"/>
      <c r="C1509" s="244"/>
      <c r="D1509" s="244"/>
      <c r="E1509" s="244"/>
      <c r="F1509" s="244"/>
      <c r="G1509" s="244"/>
      <c r="H1509" s="244"/>
      <c r="I1509" s="244"/>
    </row>
    <row r="1510" spans="1:9" ht="15" customHeight="1">
      <c r="A1510" s="434"/>
      <c r="B1510" s="244"/>
      <c r="C1510" s="244"/>
      <c r="D1510" s="244"/>
      <c r="E1510" s="244"/>
      <c r="F1510" s="244"/>
      <c r="G1510" s="244"/>
      <c r="H1510" s="244"/>
      <c r="I1510" s="244"/>
    </row>
    <row r="1511" spans="1:9" ht="15" customHeight="1">
      <c r="A1511" s="434"/>
      <c r="B1511" s="244"/>
      <c r="C1511" s="244"/>
      <c r="D1511" s="244"/>
      <c r="E1511" s="244"/>
      <c r="F1511" s="244"/>
      <c r="G1511" s="244"/>
      <c r="H1511" s="244"/>
      <c r="I1511" s="244"/>
    </row>
    <row r="1512" spans="1:9" ht="15" customHeight="1">
      <c r="A1512" s="434"/>
      <c r="B1512" s="244"/>
      <c r="C1512" s="244"/>
      <c r="D1512" s="244"/>
      <c r="E1512" s="244"/>
      <c r="F1512" s="244"/>
      <c r="G1512" s="244"/>
      <c r="H1512" s="244"/>
      <c r="I1512" s="244"/>
    </row>
    <row r="1513" spans="1:9" ht="15" customHeight="1">
      <c r="A1513" s="434"/>
      <c r="B1513" s="244"/>
      <c r="C1513" s="244"/>
      <c r="D1513" s="244"/>
      <c r="E1513" s="244"/>
      <c r="F1513" s="244"/>
      <c r="G1513" s="244"/>
      <c r="H1513" s="244"/>
      <c r="I1513" s="244"/>
    </row>
    <row r="1514" spans="1:9" ht="15" customHeight="1">
      <c r="A1514" s="434"/>
      <c r="B1514" s="244"/>
      <c r="C1514" s="244"/>
      <c r="D1514" s="244"/>
      <c r="E1514" s="244"/>
      <c r="F1514" s="244"/>
      <c r="G1514" s="244"/>
      <c r="H1514" s="244"/>
      <c r="I1514" s="244"/>
    </row>
    <row r="1515" spans="1:9" ht="15" customHeight="1">
      <c r="A1515" s="434"/>
      <c r="B1515" s="244"/>
      <c r="C1515" s="244"/>
      <c r="D1515" s="244"/>
      <c r="E1515" s="244"/>
      <c r="F1515" s="244"/>
      <c r="G1515" s="244"/>
      <c r="H1515" s="244"/>
      <c r="I1515" s="244"/>
    </row>
    <row r="1516" spans="1:9" ht="15" customHeight="1">
      <c r="A1516" s="434"/>
      <c r="B1516" s="244"/>
      <c r="C1516" s="244"/>
      <c r="D1516" s="244"/>
      <c r="E1516" s="244"/>
      <c r="F1516" s="244"/>
      <c r="G1516" s="244"/>
      <c r="H1516" s="244"/>
      <c r="I1516" s="244"/>
    </row>
    <row r="1517" spans="1:9" ht="15" customHeight="1">
      <c r="A1517" s="434"/>
      <c r="B1517" s="244"/>
      <c r="C1517" s="244"/>
      <c r="D1517" s="244"/>
      <c r="E1517" s="244"/>
      <c r="F1517" s="244"/>
      <c r="G1517" s="244"/>
      <c r="H1517" s="244"/>
      <c r="I1517" s="244"/>
    </row>
    <row r="1518" spans="1:9" ht="15" customHeight="1">
      <c r="A1518" s="434"/>
      <c r="B1518" s="244"/>
      <c r="C1518" s="244"/>
      <c r="D1518" s="244"/>
      <c r="E1518" s="244"/>
      <c r="F1518" s="244"/>
      <c r="G1518" s="244"/>
      <c r="H1518" s="244"/>
      <c r="I1518" s="244"/>
    </row>
    <row r="1519" spans="1:9" ht="15" customHeight="1">
      <c r="A1519" s="434"/>
      <c r="B1519" s="244"/>
      <c r="C1519" s="244"/>
      <c r="D1519" s="244"/>
      <c r="E1519" s="244"/>
      <c r="F1519" s="244"/>
      <c r="G1519" s="244"/>
      <c r="H1519" s="244"/>
      <c r="I1519" s="244"/>
    </row>
    <row r="1520" spans="1:9" ht="15" customHeight="1">
      <c r="A1520" s="434"/>
      <c r="B1520" s="244"/>
      <c r="C1520" s="244"/>
      <c r="D1520" s="244"/>
      <c r="E1520" s="244"/>
      <c r="F1520" s="244"/>
      <c r="G1520" s="244"/>
      <c r="H1520" s="244"/>
      <c r="I1520" s="244"/>
    </row>
    <row r="1521" spans="1:9" ht="15" customHeight="1">
      <c r="A1521" s="434"/>
      <c r="B1521" s="244"/>
      <c r="C1521" s="244"/>
      <c r="D1521" s="244"/>
      <c r="E1521" s="244"/>
      <c r="F1521" s="244"/>
      <c r="G1521" s="244"/>
      <c r="H1521" s="244"/>
      <c r="I1521" s="244"/>
    </row>
    <row r="1522" spans="1:9" ht="15" customHeight="1">
      <c r="A1522" s="434"/>
      <c r="B1522" s="244"/>
      <c r="C1522" s="244"/>
      <c r="D1522" s="244"/>
      <c r="E1522" s="244"/>
      <c r="F1522" s="244"/>
      <c r="G1522" s="244"/>
      <c r="H1522" s="244"/>
      <c r="I1522" s="244"/>
    </row>
    <row r="1523" spans="1:9" ht="15" customHeight="1">
      <c r="A1523" s="434"/>
      <c r="B1523" s="244"/>
      <c r="C1523" s="244"/>
      <c r="D1523" s="244"/>
      <c r="E1523" s="244"/>
      <c r="F1523" s="244"/>
      <c r="G1523" s="244"/>
      <c r="H1523" s="244"/>
      <c r="I1523" s="244"/>
    </row>
    <row r="1524" spans="1:9" ht="15" customHeight="1">
      <c r="A1524" s="434"/>
      <c r="B1524" s="244"/>
      <c r="C1524" s="244"/>
      <c r="D1524" s="244"/>
      <c r="E1524" s="244"/>
      <c r="F1524" s="244"/>
      <c r="G1524" s="244"/>
      <c r="H1524" s="244"/>
      <c r="I1524" s="244"/>
    </row>
    <row r="1525" spans="1:9" ht="15" customHeight="1">
      <c r="A1525" s="434"/>
      <c r="B1525" s="244"/>
      <c r="C1525" s="244"/>
      <c r="D1525" s="244"/>
      <c r="E1525" s="244"/>
      <c r="F1525" s="244"/>
      <c r="G1525" s="244"/>
      <c r="H1525" s="244"/>
      <c r="I1525" s="244"/>
    </row>
    <row r="1526" spans="1:9" ht="15" customHeight="1">
      <c r="A1526" s="434"/>
      <c r="B1526" s="244"/>
      <c r="C1526" s="244"/>
      <c r="D1526" s="244"/>
      <c r="E1526" s="244"/>
      <c r="F1526" s="244"/>
      <c r="G1526" s="244"/>
      <c r="H1526" s="244"/>
      <c r="I1526" s="244"/>
    </row>
    <row r="1527" spans="1:9" ht="15" customHeight="1">
      <c r="A1527" s="434"/>
      <c r="B1527" s="244"/>
      <c r="C1527" s="244"/>
      <c r="D1527" s="244"/>
      <c r="E1527" s="244"/>
      <c r="F1527" s="244"/>
      <c r="G1527" s="244"/>
      <c r="H1527" s="244"/>
      <c r="I1527" s="244"/>
    </row>
    <row r="1528" spans="1:9" ht="15" customHeight="1">
      <c r="A1528" s="434"/>
      <c r="B1528" s="244"/>
      <c r="C1528" s="244"/>
      <c r="D1528" s="244"/>
      <c r="E1528" s="244"/>
      <c r="F1528" s="244"/>
      <c r="G1528" s="244"/>
      <c r="H1528" s="244"/>
      <c r="I1528" s="244"/>
    </row>
    <row r="1529" spans="1:9" ht="15" customHeight="1">
      <c r="A1529" s="434"/>
      <c r="B1529" s="244"/>
      <c r="C1529" s="244"/>
      <c r="D1529" s="244"/>
      <c r="E1529" s="244"/>
      <c r="F1529" s="244"/>
      <c r="G1529" s="244"/>
      <c r="H1529" s="244"/>
      <c r="I1529" s="244"/>
    </row>
    <row r="1530" spans="1:9" ht="15" customHeight="1">
      <c r="A1530" s="434"/>
      <c r="B1530" s="244"/>
      <c r="C1530" s="244"/>
      <c r="D1530" s="244"/>
      <c r="E1530" s="244"/>
      <c r="F1530" s="244"/>
      <c r="G1530" s="244"/>
      <c r="H1530" s="244"/>
      <c r="I1530" s="244"/>
    </row>
    <row r="1531" spans="1:9" ht="15" customHeight="1">
      <c r="A1531" s="434"/>
      <c r="B1531" s="244"/>
      <c r="C1531" s="244"/>
      <c r="D1531" s="244"/>
      <c r="E1531" s="244"/>
      <c r="F1531" s="244"/>
      <c r="G1531" s="244"/>
      <c r="H1531" s="244"/>
      <c r="I1531" s="244"/>
    </row>
    <row r="1532" spans="1:9" ht="15" customHeight="1">
      <c r="A1532" s="434"/>
      <c r="B1532" s="244"/>
      <c r="C1532" s="244"/>
      <c r="D1532" s="244"/>
      <c r="E1532" s="244"/>
      <c r="F1532" s="244"/>
      <c r="G1532" s="244"/>
      <c r="H1532" s="244"/>
      <c r="I1532" s="244"/>
    </row>
    <row r="1533" spans="1:9" ht="15" customHeight="1">
      <c r="A1533" s="434"/>
      <c r="B1533" s="244"/>
      <c r="C1533" s="244"/>
      <c r="D1533" s="244"/>
      <c r="E1533" s="244"/>
      <c r="F1533" s="244"/>
      <c r="G1533" s="244"/>
      <c r="H1533" s="244"/>
      <c r="I1533" s="244"/>
    </row>
    <row r="1534" spans="1:9" ht="15" customHeight="1">
      <c r="A1534" s="434"/>
      <c r="B1534" s="244"/>
      <c r="C1534" s="244"/>
      <c r="D1534" s="244"/>
      <c r="E1534" s="244"/>
      <c r="F1534" s="244"/>
      <c r="G1534" s="244"/>
      <c r="H1534" s="244"/>
      <c r="I1534" s="244"/>
    </row>
    <row r="1535" spans="1:9" ht="15" customHeight="1">
      <c r="A1535" s="434"/>
      <c r="B1535" s="244"/>
      <c r="C1535" s="244"/>
      <c r="D1535" s="244"/>
      <c r="E1535" s="244"/>
      <c r="F1535" s="244"/>
      <c r="G1535" s="244"/>
      <c r="H1535" s="244"/>
      <c r="I1535" s="244"/>
    </row>
    <row r="1536" spans="1:9" ht="15" customHeight="1">
      <c r="A1536" s="434"/>
      <c r="B1536" s="244"/>
      <c r="C1536" s="244"/>
      <c r="D1536" s="244"/>
      <c r="E1536" s="244"/>
      <c r="F1536" s="244"/>
      <c r="G1536" s="244"/>
      <c r="H1536" s="244"/>
      <c r="I1536" s="244"/>
    </row>
    <row r="1537" spans="1:9" ht="15" customHeight="1">
      <c r="A1537" s="434"/>
      <c r="B1537" s="244"/>
      <c r="C1537" s="244"/>
      <c r="D1537" s="244"/>
      <c r="E1537" s="244"/>
      <c r="F1537" s="244"/>
      <c r="G1537" s="244"/>
      <c r="H1537" s="244"/>
      <c r="I1537" s="244"/>
    </row>
    <row r="1538" spans="1:9" ht="15" customHeight="1">
      <c r="A1538" s="434"/>
      <c r="B1538" s="244"/>
      <c r="C1538" s="244"/>
      <c r="D1538" s="244"/>
      <c r="E1538" s="244"/>
      <c r="F1538" s="244"/>
      <c r="G1538" s="244"/>
      <c r="H1538" s="244"/>
      <c r="I1538" s="244"/>
    </row>
    <row r="1539" spans="1:9" ht="15" customHeight="1">
      <c r="A1539" s="434"/>
      <c r="B1539" s="244"/>
      <c r="C1539" s="244"/>
      <c r="D1539" s="244"/>
      <c r="E1539" s="244"/>
      <c r="F1539" s="244"/>
      <c r="G1539" s="244"/>
      <c r="H1539" s="244"/>
      <c r="I1539" s="244"/>
    </row>
    <row r="1540" spans="1:9" ht="15" customHeight="1">
      <c r="A1540" s="434"/>
      <c r="B1540" s="244"/>
      <c r="C1540" s="244"/>
      <c r="D1540" s="244"/>
      <c r="E1540" s="244"/>
      <c r="F1540" s="244"/>
      <c r="G1540" s="244"/>
      <c r="H1540" s="244"/>
      <c r="I1540" s="244"/>
    </row>
    <row r="1541" spans="1:9" ht="15" customHeight="1">
      <c r="A1541" s="434"/>
      <c r="B1541" s="244"/>
      <c r="C1541" s="244"/>
      <c r="D1541" s="244"/>
      <c r="E1541" s="244"/>
      <c r="F1541" s="244"/>
      <c r="G1541" s="244"/>
      <c r="H1541" s="244"/>
      <c r="I1541" s="244"/>
    </row>
    <row r="1542" spans="1:9" ht="15" customHeight="1">
      <c r="A1542" s="434"/>
      <c r="B1542" s="244"/>
      <c r="C1542" s="244"/>
      <c r="D1542" s="244"/>
      <c r="E1542" s="244"/>
      <c r="F1542" s="244"/>
      <c r="G1542" s="244"/>
      <c r="H1542" s="244"/>
      <c r="I1542" s="244"/>
    </row>
    <row r="1543" spans="1:9" ht="15" customHeight="1">
      <c r="A1543" s="434"/>
      <c r="B1543" s="244"/>
      <c r="C1543" s="244"/>
      <c r="D1543" s="244"/>
      <c r="E1543" s="244"/>
      <c r="F1543" s="244"/>
      <c r="G1543" s="244"/>
      <c r="H1543" s="244"/>
      <c r="I1543" s="244"/>
    </row>
    <row r="1544" spans="1:9" ht="15" customHeight="1">
      <c r="A1544" s="434"/>
      <c r="B1544" s="244"/>
      <c r="C1544" s="244"/>
      <c r="D1544" s="244"/>
      <c r="E1544" s="244"/>
      <c r="F1544" s="244"/>
      <c r="G1544" s="244"/>
      <c r="H1544" s="244"/>
      <c r="I1544" s="244"/>
    </row>
    <row r="1545" spans="1:9" ht="15" customHeight="1">
      <c r="A1545" s="434"/>
      <c r="B1545" s="244"/>
      <c r="C1545" s="244"/>
      <c r="D1545" s="244"/>
      <c r="E1545" s="244"/>
      <c r="F1545" s="244"/>
      <c r="G1545" s="244"/>
      <c r="H1545" s="244"/>
      <c r="I1545" s="244"/>
    </row>
    <row r="1546" spans="1:9" ht="15" customHeight="1">
      <c r="A1546" s="434"/>
      <c r="B1546" s="244"/>
      <c r="C1546" s="244"/>
      <c r="D1546" s="244"/>
      <c r="E1546" s="244"/>
      <c r="F1546" s="244"/>
      <c r="G1546" s="244"/>
      <c r="H1546" s="244"/>
      <c r="I1546" s="244"/>
    </row>
    <row r="1547" spans="1:9" ht="15" customHeight="1">
      <c r="A1547" s="434"/>
      <c r="B1547" s="244"/>
      <c r="C1547" s="244"/>
      <c r="D1547" s="244"/>
      <c r="E1547" s="244"/>
      <c r="F1547" s="244"/>
      <c r="G1547" s="244"/>
      <c r="H1547" s="244"/>
      <c r="I1547" s="244"/>
    </row>
    <row r="1548" spans="1:9" ht="15" customHeight="1">
      <c r="A1548" s="434"/>
      <c r="B1548" s="244"/>
      <c r="C1548" s="244"/>
      <c r="D1548" s="244"/>
      <c r="E1548" s="244"/>
      <c r="F1548" s="244"/>
      <c r="G1548" s="244"/>
      <c r="H1548" s="244"/>
      <c r="I1548" s="244"/>
    </row>
    <row r="1549" spans="1:9" ht="15" customHeight="1">
      <c r="A1549" s="434"/>
      <c r="B1549" s="244"/>
      <c r="C1549" s="244"/>
      <c r="D1549" s="244"/>
      <c r="E1549" s="244"/>
      <c r="F1549" s="244"/>
      <c r="G1549" s="244"/>
      <c r="H1549" s="244"/>
      <c r="I1549" s="244"/>
    </row>
    <row r="1550" spans="1:9" ht="15" customHeight="1">
      <c r="A1550" s="434"/>
      <c r="B1550" s="244"/>
      <c r="C1550" s="244"/>
      <c r="D1550" s="244"/>
      <c r="E1550" s="244"/>
      <c r="F1550" s="244"/>
      <c r="G1550" s="244"/>
      <c r="H1550" s="244"/>
      <c r="I1550" s="244"/>
    </row>
    <row r="1551" spans="1:9" ht="15" customHeight="1">
      <c r="A1551" s="434"/>
      <c r="B1551" s="244"/>
      <c r="C1551" s="244"/>
      <c r="D1551" s="244"/>
      <c r="E1551" s="244"/>
      <c r="F1551" s="244"/>
      <c r="G1551" s="244"/>
      <c r="H1551" s="244"/>
      <c r="I1551" s="244"/>
    </row>
    <row r="1552" spans="1:9" ht="15" customHeight="1">
      <c r="A1552" s="434"/>
      <c r="B1552" s="244"/>
      <c r="C1552" s="244"/>
      <c r="D1552" s="244"/>
      <c r="E1552" s="244"/>
      <c r="F1552" s="244"/>
      <c r="G1552" s="244"/>
      <c r="H1552" s="244"/>
      <c r="I1552" s="244"/>
    </row>
    <row r="1553" spans="1:9" ht="15" customHeight="1">
      <c r="A1553" s="434"/>
      <c r="B1553" s="244"/>
      <c r="C1553" s="244"/>
      <c r="D1553" s="244"/>
      <c r="E1553" s="244"/>
      <c r="F1553" s="244"/>
      <c r="G1553" s="244"/>
      <c r="H1553" s="244"/>
      <c r="I1553" s="244"/>
    </row>
    <row r="1554" spans="1:9" ht="15" customHeight="1">
      <c r="A1554" s="434"/>
      <c r="B1554" s="244"/>
      <c r="C1554" s="244"/>
      <c r="D1554" s="244"/>
      <c r="E1554" s="244"/>
      <c r="F1554" s="244"/>
      <c r="G1554" s="244"/>
      <c r="H1554" s="244"/>
      <c r="I1554" s="244"/>
    </row>
    <row r="1555" spans="1:9" ht="15" customHeight="1">
      <c r="A1555" s="434"/>
      <c r="B1555" s="244"/>
      <c r="C1555" s="244"/>
      <c r="D1555" s="244"/>
      <c r="E1555" s="244"/>
      <c r="F1555" s="244"/>
      <c r="G1555" s="244"/>
      <c r="H1555" s="244"/>
      <c r="I1555" s="244"/>
    </row>
    <row r="1556" spans="1:9" ht="15" customHeight="1">
      <c r="A1556" s="434"/>
      <c r="B1556" s="244"/>
      <c r="C1556" s="244"/>
      <c r="D1556" s="244"/>
      <c r="E1556" s="244"/>
      <c r="F1556" s="244"/>
      <c r="G1556" s="244"/>
      <c r="H1556" s="244"/>
      <c r="I1556" s="244"/>
    </row>
    <row r="1557" spans="1:9" ht="15" customHeight="1">
      <c r="A1557" s="434"/>
      <c r="B1557" s="244"/>
      <c r="C1557" s="244"/>
      <c r="D1557" s="244"/>
      <c r="E1557" s="244"/>
      <c r="F1557" s="244"/>
      <c r="G1557" s="244"/>
      <c r="H1557" s="244"/>
      <c r="I1557" s="244"/>
    </row>
    <row r="1558" spans="1:9" ht="15" customHeight="1">
      <c r="A1558" s="434"/>
      <c r="B1558" s="244"/>
      <c r="C1558" s="244"/>
      <c r="D1558" s="244"/>
      <c r="E1558" s="244"/>
      <c r="F1558" s="244"/>
      <c r="G1558" s="244"/>
      <c r="H1558" s="244"/>
      <c r="I1558" s="244"/>
    </row>
    <row r="1559" spans="1:9" ht="15" customHeight="1">
      <c r="A1559" s="434"/>
      <c r="B1559" s="244"/>
      <c r="C1559" s="244"/>
      <c r="D1559" s="244"/>
      <c r="E1559" s="244"/>
      <c r="F1559" s="244"/>
      <c r="G1559" s="244"/>
      <c r="H1559" s="244"/>
      <c r="I1559" s="244"/>
    </row>
    <row r="1560" spans="1:9" ht="15" customHeight="1">
      <c r="A1560" s="434"/>
      <c r="B1560" s="244"/>
      <c r="C1560" s="244"/>
      <c r="D1560" s="244"/>
      <c r="E1560" s="244"/>
      <c r="F1560" s="244"/>
      <c r="G1560" s="244"/>
      <c r="H1560" s="244"/>
      <c r="I1560" s="244"/>
    </row>
    <row r="1561" spans="1:9" ht="15" customHeight="1">
      <c r="A1561" s="434"/>
      <c r="B1561" s="244"/>
      <c r="C1561" s="244"/>
      <c r="D1561" s="244"/>
      <c r="E1561" s="244"/>
      <c r="F1561" s="244"/>
      <c r="G1561" s="244"/>
      <c r="H1561" s="244"/>
      <c r="I1561" s="244"/>
    </row>
    <row r="1562" spans="1:9" ht="15" customHeight="1">
      <c r="A1562" s="434"/>
      <c r="B1562" s="244"/>
      <c r="C1562" s="244"/>
      <c r="D1562" s="244"/>
      <c r="E1562" s="244"/>
      <c r="F1562" s="244"/>
      <c r="G1562" s="244"/>
      <c r="H1562" s="244"/>
      <c r="I1562" s="244"/>
    </row>
    <row r="1563" spans="1:9" ht="15" customHeight="1">
      <c r="A1563" s="434"/>
      <c r="B1563" s="244"/>
      <c r="C1563" s="244"/>
      <c r="D1563" s="244"/>
      <c r="E1563" s="244"/>
      <c r="F1563" s="244"/>
      <c r="G1563" s="244"/>
      <c r="H1563" s="244"/>
      <c r="I1563" s="244"/>
    </row>
    <row r="1564" spans="1:9" ht="15" customHeight="1">
      <c r="A1564" s="434"/>
      <c r="B1564" s="244"/>
      <c r="C1564" s="244"/>
      <c r="D1564" s="244"/>
      <c r="E1564" s="244"/>
      <c r="F1564" s="244"/>
      <c r="G1564" s="244"/>
      <c r="H1564" s="244"/>
      <c r="I1564" s="244"/>
    </row>
    <row r="1565" spans="1:9" ht="15" customHeight="1">
      <c r="A1565" s="434"/>
      <c r="B1565" s="244"/>
      <c r="C1565" s="244"/>
      <c r="D1565" s="244"/>
      <c r="E1565" s="244"/>
      <c r="F1565" s="244"/>
      <c r="G1565" s="244"/>
      <c r="H1565" s="244"/>
      <c r="I1565" s="244"/>
    </row>
    <row r="1566" spans="1:9" ht="15" customHeight="1">
      <c r="A1566" s="434"/>
      <c r="B1566" s="244"/>
      <c r="C1566" s="244"/>
      <c r="D1566" s="244"/>
      <c r="E1566" s="244"/>
      <c r="F1566" s="244"/>
      <c r="G1566" s="244"/>
      <c r="H1566" s="244"/>
      <c r="I1566" s="244"/>
    </row>
    <row r="1567" spans="1:9" ht="15" customHeight="1">
      <c r="A1567" s="434"/>
      <c r="B1567" s="244"/>
      <c r="C1567" s="244"/>
      <c r="D1567" s="244"/>
      <c r="E1567" s="244"/>
      <c r="F1567" s="244"/>
      <c r="G1567" s="244"/>
      <c r="H1567" s="244"/>
      <c r="I1567" s="244"/>
    </row>
    <row r="1568" spans="1:9" ht="15" customHeight="1">
      <c r="A1568" s="434"/>
      <c r="B1568" s="244"/>
      <c r="C1568" s="244"/>
      <c r="D1568" s="244"/>
      <c r="E1568" s="244"/>
      <c r="F1568" s="244"/>
      <c r="G1568" s="244"/>
      <c r="H1568" s="244"/>
      <c r="I1568" s="244"/>
    </row>
    <row r="1569" spans="1:9" ht="15" customHeight="1">
      <c r="A1569" s="434"/>
      <c r="B1569" s="244"/>
      <c r="C1569" s="244"/>
      <c r="D1569" s="244"/>
      <c r="E1569" s="244"/>
      <c r="F1569" s="244"/>
      <c r="G1569" s="244"/>
      <c r="H1569" s="244"/>
      <c r="I1569" s="244"/>
    </row>
    <row r="1570" spans="1:9" ht="15" customHeight="1">
      <c r="A1570" s="434"/>
      <c r="B1570" s="244"/>
      <c r="C1570" s="244"/>
      <c r="D1570" s="244"/>
      <c r="E1570" s="244"/>
      <c r="F1570" s="244"/>
      <c r="G1570" s="244"/>
      <c r="H1570" s="244"/>
      <c r="I1570" s="244"/>
    </row>
    <row r="1571" spans="1:9" ht="15" customHeight="1">
      <c r="A1571" s="434"/>
      <c r="B1571" s="244"/>
      <c r="C1571" s="244"/>
      <c r="D1571" s="244"/>
      <c r="E1571" s="244"/>
      <c r="F1571" s="244"/>
      <c r="G1571" s="244"/>
      <c r="H1571" s="244"/>
      <c r="I1571" s="244"/>
    </row>
    <row r="1572" spans="1:9" ht="15" customHeight="1">
      <c r="A1572" s="434"/>
      <c r="B1572" s="244"/>
      <c r="C1572" s="244"/>
      <c r="D1572" s="244"/>
      <c r="E1572" s="244"/>
      <c r="F1572" s="244"/>
      <c r="G1572" s="244"/>
      <c r="H1572" s="244"/>
      <c r="I1572" s="244"/>
    </row>
    <row r="1573" spans="1:9" ht="15" customHeight="1">
      <c r="A1573" s="434"/>
      <c r="B1573" s="244"/>
      <c r="C1573" s="244"/>
      <c r="D1573" s="244"/>
      <c r="E1573" s="244"/>
      <c r="F1573" s="244"/>
      <c r="G1573" s="244"/>
      <c r="H1573" s="244"/>
      <c r="I1573" s="244"/>
    </row>
    <row r="1574" spans="1:9" ht="15" customHeight="1">
      <c r="A1574" s="434"/>
      <c r="B1574" s="244"/>
      <c r="C1574" s="244"/>
      <c r="D1574" s="244"/>
      <c r="E1574" s="244"/>
      <c r="F1574" s="244"/>
      <c r="G1574" s="244"/>
      <c r="H1574" s="244"/>
      <c r="I1574" s="244"/>
    </row>
    <row r="1575" spans="1:9" ht="15" customHeight="1">
      <c r="A1575" s="434"/>
      <c r="B1575" s="244"/>
      <c r="C1575" s="244"/>
      <c r="D1575" s="244"/>
      <c r="E1575" s="244"/>
      <c r="F1575" s="244"/>
      <c r="G1575" s="244"/>
      <c r="H1575" s="244"/>
      <c r="I1575" s="244"/>
    </row>
    <row r="1576" spans="1:9" ht="15" customHeight="1">
      <c r="A1576" s="434"/>
      <c r="B1576" s="244"/>
      <c r="C1576" s="244"/>
      <c r="D1576" s="244"/>
      <c r="E1576" s="244"/>
      <c r="F1576" s="244"/>
      <c r="G1576" s="244"/>
      <c r="H1576" s="244"/>
      <c r="I1576" s="244"/>
    </row>
    <row r="1577" spans="1:9" ht="15" customHeight="1">
      <c r="A1577" s="434"/>
      <c r="B1577" s="244"/>
      <c r="C1577" s="244"/>
      <c r="D1577" s="244"/>
      <c r="E1577" s="244"/>
      <c r="F1577" s="244"/>
      <c r="G1577" s="244"/>
      <c r="H1577" s="244"/>
      <c r="I1577" s="244"/>
    </row>
    <row r="1578" spans="1:9" ht="15" customHeight="1">
      <c r="A1578" s="434"/>
      <c r="B1578" s="244"/>
      <c r="C1578" s="244"/>
      <c r="D1578" s="244"/>
      <c r="E1578" s="244"/>
      <c r="F1578" s="244"/>
      <c r="G1578" s="244"/>
      <c r="H1578" s="244"/>
      <c r="I1578" s="244"/>
    </row>
    <row r="1579" spans="1:9" ht="15" customHeight="1">
      <c r="A1579" s="434"/>
      <c r="B1579" s="244"/>
      <c r="C1579" s="244"/>
      <c r="D1579" s="244"/>
      <c r="E1579" s="244"/>
      <c r="F1579" s="244"/>
      <c r="G1579" s="244"/>
      <c r="H1579" s="244"/>
      <c r="I1579" s="244"/>
    </row>
    <row r="1580" spans="1:9" ht="15" customHeight="1">
      <c r="A1580" s="434"/>
      <c r="B1580" s="244"/>
      <c r="C1580" s="244"/>
      <c r="D1580" s="244"/>
      <c r="E1580" s="244"/>
      <c r="F1580" s="244"/>
      <c r="G1580" s="244"/>
      <c r="H1580" s="244"/>
      <c r="I1580" s="244"/>
    </row>
    <row r="1581" spans="1:9" ht="15" customHeight="1">
      <c r="A1581" s="434"/>
      <c r="B1581" s="244"/>
      <c r="C1581" s="244"/>
      <c r="D1581" s="244"/>
      <c r="E1581" s="244"/>
      <c r="F1581" s="244"/>
      <c r="G1581" s="244"/>
      <c r="H1581" s="244"/>
      <c r="I1581" s="244"/>
    </row>
    <row r="1582" spans="1:9" ht="15" customHeight="1">
      <c r="A1582" s="434"/>
      <c r="B1582" s="244"/>
      <c r="C1582" s="244"/>
      <c r="D1582" s="244"/>
      <c r="E1582" s="244"/>
      <c r="F1582" s="244"/>
      <c r="G1582" s="244"/>
      <c r="H1582" s="244"/>
      <c r="I1582" s="244"/>
    </row>
    <row r="1583" spans="1:9" ht="15" customHeight="1">
      <c r="A1583" s="434"/>
      <c r="B1583" s="244"/>
      <c r="C1583" s="244"/>
      <c r="D1583" s="244"/>
      <c r="E1583" s="244"/>
      <c r="F1583" s="244"/>
      <c r="G1583" s="244"/>
      <c r="H1583" s="244"/>
      <c r="I1583" s="244"/>
    </row>
    <row r="1584" spans="1:9" ht="15" customHeight="1">
      <c r="A1584" s="434"/>
      <c r="B1584" s="244"/>
      <c r="C1584" s="244"/>
      <c r="D1584" s="244"/>
      <c r="E1584" s="244"/>
      <c r="F1584" s="244"/>
      <c r="G1584" s="244"/>
      <c r="H1584" s="244"/>
      <c r="I1584" s="244"/>
    </row>
    <row r="1585" spans="1:9" ht="15" customHeight="1">
      <c r="A1585" s="434"/>
      <c r="B1585" s="244"/>
      <c r="C1585" s="244"/>
      <c r="D1585" s="244"/>
      <c r="E1585" s="244"/>
      <c r="F1585" s="244"/>
      <c r="G1585" s="244"/>
      <c r="H1585" s="244"/>
      <c r="I1585" s="244"/>
    </row>
    <row r="1586" spans="1:9" ht="15" customHeight="1">
      <c r="A1586" s="434"/>
      <c r="B1586" s="244"/>
      <c r="C1586" s="244"/>
      <c r="D1586" s="244"/>
      <c r="E1586" s="244"/>
      <c r="F1586" s="244"/>
      <c r="G1586" s="244"/>
      <c r="H1586" s="244"/>
      <c r="I1586" s="244"/>
    </row>
    <row r="1587" spans="1:9" ht="15" customHeight="1">
      <c r="A1587" s="434"/>
      <c r="B1587" s="244"/>
      <c r="C1587" s="244"/>
      <c r="D1587" s="244"/>
      <c r="E1587" s="244"/>
      <c r="F1587" s="244"/>
      <c r="G1587" s="244"/>
      <c r="H1587" s="244"/>
      <c r="I1587" s="244"/>
    </row>
    <row r="1588" spans="1:9" ht="15" customHeight="1">
      <c r="A1588" s="434"/>
      <c r="B1588" s="244"/>
      <c r="C1588" s="244"/>
      <c r="D1588" s="244"/>
      <c r="E1588" s="244"/>
      <c r="F1588" s="244"/>
      <c r="G1588" s="244"/>
      <c r="H1588" s="244"/>
      <c r="I1588" s="244"/>
    </row>
    <row r="1589" spans="1:9" ht="15" customHeight="1">
      <c r="A1589" s="434"/>
      <c r="B1589" s="244"/>
      <c r="C1589" s="244"/>
      <c r="D1589" s="244"/>
      <c r="E1589" s="244"/>
      <c r="F1589" s="244"/>
      <c r="G1589" s="244"/>
      <c r="H1589" s="244"/>
      <c r="I1589" s="244"/>
    </row>
    <row r="1590" spans="1:9" ht="15" customHeight="1">
      <c r="A1590" s="434"/>
      <c r="B1590" s="244"/>
      <c r="C1590" s="244"/>
      <c r="D1590" s="244"/>
      <c r="E1590" s="244"/>
      <c r="F1590" s="244"/>
      <c r="G1590" s="244"/>
      <c r="H1590" s="244"/>
      <c r="I1590" s="244"/>
    </row>
    <row r="1591" spans="1:9" ht="15" customHeight="1">
      <c r="A1591" s="434"/>
      <c r="B1591" s="244"/>
      <c r="C1591" s="244"/>
      <c r="D1591" s="244"/>
      <c r="E1591" s="244"/>
      <c r="F1591" s="244"/>
      <c r="G1591" s="244"/>
      <c r="H1591" s="244"/>
      <c r="I1591" s="244"/>
    </row>
    <row r="1592" spans="1:9" ht="15" customHeight="1">
      <c r="A1592" s="434"/>
      <c r="B1592" s="244"/>
      <c r="C1592" s="244"/>
      <c r="D1592" s="244"/>
      <c r="E1592" s="244"/>
      <c r="F1592" s="244"/>
      <c r="G1592" s="244"/>
      <c r="H1592" s="244"/>
      <c r="I1592" s="244"/>
    </row>
    <row r="1593" spans="1:9" ht="15" customHeight="1">
      <c r="A1593" s="434"/>
      <c r="B1593" s="244"/>
      <c r="C1593" s="244"/>
      <c r="D1593" s="244"/>
      <c r="E1593" s="244"/>
      <c r="F1593" s="244"/>
      <c r="G1593" s="244"/>
      <c r="H1593" s="244"/>
      <c r="I1593" s="244"/>
    </row>
    <row r="1594" spans="1:9" ht="15" customHeight="1">
      <c r="A1594" s="434"/>
      <c r="B1594" s="244"/>
      <c r="C1594" s="244"/>
      <c r="D1594" s="244"/>
      <c r="E1594" s="244"/>
      <c r="F1594" s="244"/>
      <c r="G1594" s="244"/>
      <c r="H1594" s="244"/>
      <c r="I1594" s="244"/>
    </row>
    <row r="1595" spans="1:9" ht="15" customHeight="1">
      <c r="A1595" s="434"/>
      <c r="B1595" s="244"/>
      <c r="C1595" s="244"/>
      <c r="D1595" s="244"/>
      <c r="E1595" s="244"/>
      <c r="F1595" s="244"/>
      <c r="G1595" s="244"/>
      <c r="H1595" s="244"/>
      <c r="I1595" s="244"/>
    </row>
    <row r="1596" spans="1:9" ht="15" customHeight="1">
      <c r="A1596" s="434"/>
      <c r="B1596" s="244"/>
      <c r="C1596" s="244"/>
      <c r="D1596" s="244"/>
      <c r="E1596" s="244"/>
      <c r="F1596" s="244"/>
      <c r="G1596" s="244"/>
      <c r="H1596" s="244"/>
      <c r="I1596" s="244"/>
    </row>
    <row r="1597" spans="1:9" ht="15" customHeight="1">
      <c r="A1597" s="434"/>
      <c r="B1597" s="244"/>
      <c r="C1597" s="244"/>
      <c r="D1597" s="244"/>
      <c r="E1597" s="244"/>
      <c r="F1597" s="244"/>
      <c r="G1597" s="244"/>
      <c r="H1597" s="244"/>
      <c r="I1597" s="244"/>
    </row>
  </sheetData>
  <mergeCells count="10">
    <mergeCell ref="A209:A212"/>
    <mergeCell ref="A297:I298"/>
    <mergeCell ref="A213:A216"/>
    <mergeCell ref="A252:A254"/>
    <mergeCell ref="A249:A251"/>
    <mergeCell ref="A1:I1"/>
    <mergeCell ref="C2:I2"/>
    <mergeCell ref="C3:I3"/>
    <mergeCell ref="C4:I4"/>
    <mergeCell ref="C5:I5"/>
  </mergeCells>
  <phoneticPr fontId="34" type="noConversion"/>
  <printOptions horizontalCentered="1"/>
  <pageMargins left="0.31496062992125984" right="0.31496062992125984" top="0.35433070866141736" bottom="0.15748031496062992" header="0" footer="0"/>
  <pageSetup scale="19" orientation="landscape" r:id="rId1"/>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J1" workbookViewId="0"/>
  </sheetViews>
  <sheetFormatPr defaultColWidth="14.42578125" defaultRowHeight="15" customHeight="1"/>
  <cols>
    <col min="1" max="1" width="28.42578125" hidden="1" customWidth="1"/>
    <col min="2" max="2" width="36" hidden="1" customWidth="1"/>
    <col min="3" max="3" width="255.85546875" hidden="1" customWidth="1"/>
    <col min="4" max="4" width="18.42578125" hidden="1" customWidth="1"/>
    <col min="5" max="5" width="5.140625" hidden="1" customWidth="1"/>
    <col min="6" max="7" width="5" hidden="1" customWidth="1"/>
    <col min="8" max="8" width="8.42578125" hidden="1" customWidth="1"/>
    <col min="9" max="9" width="8.85546875" hidden="1" customWidth="1"/>
    <col min="10" max="10" width="17" customWidth="1"/>
    <col min="11" max="11" width="18.5703125" customWidth="1"/>
    <col min="12" max="12" width="88.42578125" customWidth="1"/>
    <col min="13" max="13" width="7.5703125" customWidth="1"/>
    <col min="14" max="14" width="12.5703125" customWidth="1"/>
    <col min="15" max="15" width="11.5703125" customWidth="1"/>
    <col min="16" max="16" width="21.42578125" customWidth="1"/>
    <col min="17" max="17" width="80.42578125" customWidth="1"/>
    <col min="18" max="18" width="74.5703125" customWidth="1"/>
    <col min="19" max="19" width="11.5703125" customWidth="1"/>
    <col min="20" max="20" width="8.85546875" customWidth="1"/>
    <col min="21" max="21" width="33.5703125" customWidth="1"/>
    <col min="22" max="22" width="24.5703125" customWidth="1"/>
    <col min="23" max="26" width="8.85546875" customWidth="1"/>
  </cols>
  <sheetData>
    <row r="1" spans="1:26" ht="28.5">
      <c r="A1" s="719" t="s">
        <v>0</v>
      </c>
      <c r="B1" s="699"/>
      <c r="C1" s="699"/>
      <c r="D1" s="699"/>
      <c r="E1" s="700"/>
      <c r="F1" s="720"/>
      <c r="G1" s="706"/>
      <c r="H1" s="707"/>
      <c r="J1" s="719" t="s">
        <v>0</v>
      </c>
      <c r="K1" s="699"/>
      <c r="L1" s="699"/>
      <c r="M1" s="699"/>
      <c r="N1" s="700"/>
      <c r="O1" s="720"/>
      <c r="P1" s="706"/>
      <c r="Q1" s="707"/>
      <c r="V1" s="1"/>
    </row>
    <row r="2" spans="1:26" ht="15" customHeight="1">
      <c r="A2" s="705" t="s">
        <v>1</v>
      </c>
      <c r="B2" s="706"/>
      <c r="C2" s="706"/>
      <c r="D2" s="706"/>
      <c r="E2" s="707"/>
      <c r="F2" s="721"/>
      <c r="G2" s="716"/>
      <c r="H2" s="717"/>
      <c r="J2" s="705" t="s">
        <v>1</v>
      </c>
      <c r="K2" s="706"/>
      <c r="L2" s="706"/>
      <c r="M2" s="706"/>
      <c r="N2" s="707"/>
      <c r="O2" s="721"/>
      <c r="P2" s="716"/>
      <c r="Q2" s="717"/>
      <c r="R2" s="2" t="s">
        <v>2</v>
      </c>
      <c r="V2" s="1"/>
    </row>
    <row r="3" spans="1:26" ht="15" customHeight="1">
      <c r="A3" s="715" t="s">
        <v>3</v>
      </c>
      <c r="B3" s="716"/>
      <c r="C3" s="716"/>
      <c r="D3" s="716"/>
      <c r="E3" s="717"/>
      <c r="F3" s="721"/>
      <c r="G3" s="716"/>
      <c r="H3" s="717"/>
      <c r="J3" s="715" t="s">
        <v>3</v>
      </c>
      <c r="K3" s="716"/>
      <c r="L3" s="716"/>
      <c r="M3" s="716"/>
      <c r="N3" s="717"/>
      <c r="O3" s="721"/>
      <c r="P3" s="716"/>
      <c r="Q3" s="717"/>
      <c r="R3" s="3" t="s">
        <v>4</v>
      </c>
      <c r="V3" s="1"/>
    </row>
    <row r="4" spans="1:26" ht="15" customHeight="1">
      <c r="A4" s="718" t="s">
        <v>5</v>
      </c>
      <c r="B4" s="716"/>
      <c r="C4" s="716"/>
      <c r="D4" s="716"/>
      <c r="E4" s="717"/>
      <c r="F4" s="721"/>
      <c r="G4" s="716"/>
      <c r="H4" s="717"/>
      <c r="J4" s="718" t="s">
        <v>5</v>
      </c>
      <c r="K4" s="716"/>
      <c r="L4" s="716"/>
      <c r="M4" s="716"/>
      <c r="N4" s="717"/>
      <c r="O4" s="721"/>
      <c r="P4" s="716"/>
      <c r="Q4" s="717"/>
      <c r="V4" s="1"/>
    </row>
    <row r="5" spans="1:26" ht="15.75" customHeight="1">
      <c r="A5" s="708" t="s">
        <v>6</v>
      </c>
      <c r="B5" s="694"/>
      <c r="C5" s="694"/>
      <c r="D5" s="694"/>
      <c r="E5" s="695"/>
      <c r="F5" s="722"/>
      <c r="G5" s="694"/>
      <c r="H5" s="695"/>
      <c r="J5" s="708" t="s">
        <v>6</v>
      </c>
      <c r="K5" s="694"/>
      <c r="L5" s="694"/>
      <c r="M5" s="694"/>
      <c r="N5" s="695"/>
      <c r="O5" s="722"/>
      <c r="P5" s="694"/>
      <c r="Q5" s="695"/>
      <c r="V5" s="1"/>
    </row>
    <row r="6" spans="1:26">
      <c r="A6" s="709" t="s">
        <v>7</v>
      </c>
      <c r="B6" s="703"/>
      <c r="C6" s="703"/>
      <c r="D6" s="703"/>
      <c r="E6" s="704"/>
      <c r="F6" s="710"/>
      <c r="G6" s="703"/>
      <c r="H6" s="704"/>
      <c r="J6" s="709" t="s">
        <v>7</v>
      </c>
      <c r="K6" s="703"/>
      <c r="L6" s="703"/>
      <c r="M6" s="703"/>
      <c r="N6" s="704"/>
      <c r="O6" s="710"/>
      <c r="P6" s="703"/>
      <c r="Q6" s="704"/>
      <c r="V6" s="1"/>
    </row>
    <row r="7" spans="1:26">
      <c r="A7" s="711" t="s">
        <v>8</v>
      </c>
      <c r="B7" s="712"/>
      <c r="C7" s="712"/>
      <c r="D7" s="712"/>
      <c r="E7" s="713"/>
      <c r="F7" s="714" t="s">
        <v>9</v>
      </c>
      <c r="G7" s="692"/>
      <c r="H7" s="5"/>
      <c r="J7" s="711" t="s">
        <v>8</v>
      </c>
      <c r="K7" s="712"/>
      <c r="L7" s="712"/>
      <c r="M7" s="712"/>
      <c r="N7" s="713"/>
      <c r="O7" s="714" t="s">
        <v>9</v>
      </c>
      <c r="P7" s="692"/>
      <c r="Q7" s="6"/>
      <c r="V7" s="1"/>
    </row>
    <row r="8" spans="1:26">
      <c r="A8" s="723" t="s">
        <v>10</v>
      </c>
      <c r="B8" s="716"/>
      <c r="C8" s="716"/>
      <c r="D8" s="716"/>
      <c r="E8" s="717"/>
      <c r="F8" s="714" t="s">
        <v>11</v>
      </c>
      <c r="G8" s="692"/>
      <c r="H8" s="7"/>
      <c r="J8" s="723" t="s">
        <v>10</v>
      </c>
      <c r="K8" s="716"/>
      <c r="L8" s="716"/>
      <c r="M8" s="716"/>
      <c r="N8" s="717"/>
      <c r="O8" s="714" t="s">
        <v>11</v>
      </c>
      <c r="P8" s="692"/>
      <c r="Q8" s="9"/>
      <c r="V8" s="1"/>
    </row>
    <row r="9" spans="1:26">
      <c r="A9" s="693" t="s">
        <v>12</v>
      </c>
      <c r="B9" s="694"/>
      <c r="C9" s="694"/>
      <c r="D9" s="694"/>
      <c r="E9" s="695"/>
      <c r="F9" s="696" t="s">
        <v>13</v>
      </c>
      <c r="G9" s="697"/>
      <c r="H9" s="10"/>
      <c r="J9" s="693" t="s">
        <v>12</v>
      </c>
      <c r="K9" s="694"/>
      <c r="L9" s="694"/>
      <c r="M9" s="694"/>
      <c r="N9" s="695"/>
      <c r="O9" s="696" t="s">
        <v>13</v>
      </c>
      <c r="P9" s="697"/>
      <c r="Q9" s="11"/>
      <c r="V9" s="1"/>
    </row>
    <row r="10" spans="1:26">
      <c r="A10" s="698" t="s">
        <v>14</v>
      </c>
      <c r="B10" s="699"/>
      <c r="C10" s="699"/>
      <c r="D10" s="699"/>
      <c r="E10" s="699"/>
      <c r="F10" s="699"/>
      <c r="G10" s="699"/>
      <c r="H10" s="700"/>
      <c r="J10" s="698" t="s">
        <v>14</v>
      </c>
      <c r="K10" s="699"/>
      <c r="L10" s="699"/>
      <c r="M10" s="699"/>
      <c r="N10" s="699"/>
      <c r="O10" s="699"/>
      <c r="P10" s="699"/>
      <c r="Q10" s="700"/>
      <c r="V10" s="1"/>
    </row>
    <row r="11" spans="1:26">
      <c r="A11" s="12" t="s">
        <v>15</v>
      </c>
      <c r="B11" s="13" t="s">
        <v>16</v>
      </c>
      <c r="C11" s="14" t="s">
        <v>17</v>
      </c>
      <c r="D11" s="14" t="s">
        <v>18</v>
      </c>
      <c r="E11" s="14" t="s">
        <v>19</v>
      </c>
      <c r="F11" s="14" t="s">
        <v>20</v>
      </c>
      <c r="G11" s="14" t="s">
        <v>21</v>
      </c>
      <c r="H11" s="15" t="s">
        <v>22</v>
      </c>
      <c r="J11" s="16" t="s">
        <v>23</v>
      </c>
      <c r="K11" s="17" t="s">
        <v>24</v>
      </c>
      <c r="L11" s="18" t="s">
        <v>25</v>
      </c>
      <c r="M11" s="18" t="s">
        <v>26</v>
      </c>
      <c r="N11" s="19" t="s">
        <v>27</v>
      </c>
      <c r="O11" s="20" t="s">
        <v>28</v>
      </c>
      <c r="P11" s="21" t="s">
        <v>22</v>
      </c>
      <c r="Q11" s="18" t="s">
        <v>29</v>
      </c>
      <c r="S11" s="3" t="s">
        <v>30</v>
      </c>
      <c r="V11" s="1"/>
    </row>
    <row r="12" spans="1:26">
      <c r="A12" s="702" t="s">
        <v>602</v>
      </c>
      <c r="B12" s="703"/>
      <c r="C12" s="703"/>
      <c r="D12" s="703"/>
      <c r="E12" s="703"/>
      <c r="F12" s="703"/>
      <c r="G12" s="703"/>
      <c r="H12" s="704"/>
      <c r="J12" s="30"/>
      <c r="K12" s="41"/>
      <c r="L12" s="32"/>
      <c r="M12" s="32"/>
      <c r="N12" s="33"/>
      <c r="O12" s="34"/>
      <c r="P12" s="35"/>
      <c r="Q12" s="32"/>
      <c r="V12" s="1"/>
    </row>
    <row r="13" spans="1:26">
      <c r="A13" s="77" t="s">
        <v>692</v>
      </c>
      <c r="B13" s="78"/>
      <c r="C13" s="79"/>
      <c r="D13" s="79"/>
      <c r="E13" s="80"/>
      <c r="F13" s="79"/>
      <c r="G13" s="81"/>
      <c r="H13" s="82"/>
      <c r="J13" s="30"/>
      <c r="K13" s="41"/>
      <c r="L13" s="32"/>
      <c r="M13" s="32"/>
      <c r="N13" s="33"/>
      <c r="O13" s="34"/>
      <c r="P13" s="35"/>
      <c r="Q13" s="32"/>
      <c r="V13" s="1"/>
    </row>
    <row r="14" spans="1:26" ht="360">
      <c r="A14" s="23">
        <v>1</v>
      </c>
      <c r="B14" s="24" t="s">
        <v>31</v>
      </c>
      <c r="C14" s="25" t="s">
        <v>32</v>
      </c>
      <c r="D14" s="26" t="s">
        <v>33</v>
      </c>
      <c r="E14" s="26">
        <v>4462</v>
      </c>
      <c r="F14" s="26" t="s">
        <v>34</v>
      </c>
      <c r="G14" s="27"/>
      <c r="H14" s="28">
        <f>G14*E14</f>
        <v>0</v>
      </c>
      <c r="I14" s="29"/>
      <c r="J14" s="30"/>
      <c r="K14" s="41">
        <v>12.45</v>
      </c>
      <c r="L14" s="40" t="s">
        <v>697</v>
      </c>
      <c r="M14" s="32"/>
      <c r="N14" s="33"/>
      <c r="O14" s="34"/>
      <c r="P14" s="35"/>
      <c r="Q14" s="36"/>
      <c r="R14" s="31" t="s">
        <v>35</v>
      </c>
      <c r="S14" s="37"/>
      <c r="T14" s="37"/>
      <c r="U14" s="37"/>
      <c r="V14" s="38"/>
      <c r="W14" s="29"/>
      <c r="X14" s="29"/>
      <c r="Y14" s="29"/>
      <c r="Z14" s="29"/>
    </row>
    <row r="15" spans="1:26" ht="45">
      <c r="A15" s="23"/>
      <c r="B15" s="24"/>
      <c r="C15" s="25"/>
      <c r="D15" s="26"/>
      <c r="E15" s="26"/>
      <c r="F15" s="26"/>
      <c r="G15" s="27"/>
      <c r="H15" s="28"/>
      <c r="I15" s="29"/>
      <c r="J15" s="30" t="s">
        <v>36</v>
      </c>
      <c r="K15" s="39" t="s">
        <v>37</v>
      </c>
      <c r="L15" s="40" t="s">
        <v>38</v>
      </c>
      <c r="M15" s="41" t="s">
        <v>39</v>
      </c>
      <c r="N15" s="39">
        <v>997.9</v>
      </c>
      <c r="O15" s="34">
        <f>'Measurement Sheet_FINAL'!H9</f>
        <v>833.77276105536998</v>
      </c>
      <c r="P15" s="35">
        <f>O15*N15</f>
        <v>832021.83825715363</v>
      </c>
      <c r="Q15" s="42" t="s">
        <v>40</v>
      </c>
      <c r="R15" s="49" t="s">
        <v>698</v>
      </c>
      <c r="S15" s="49">
        <v>997.9</v>
      </c>
      <c r="T15" s="37">
        <f>S15*O15</f>
        <v>832021.83825715363</v>
      </c>
      <c r="U15" s="37" t="s">
        <v>41</v>
      </c>
      <c r="V15" s="38" t="s">
        <v>42</v>
      </c>
      <c r="W15" s="29"/>
      <c r="X15" s="29"/>
      <c r="Y15" s="29"/>
      <c r="Z15" s="29"/>
    </row>
    <row r="16" spans="1:26" ht="60">
      <c r="A16" s="23"/>
      <c r="B16" s="24" t="s">
        <v>43</v>
      </c>
      <c r="C16" s="25" t="s">
        <v>44</v>
      </c>
      <c r="D16" s="26" t="s">
        <v>33</v>
      </c>
      <c r="E16" s="26">
        <v>500</v>
      </c>
      <c r="F16" s="26" t="s">
        <v>45</v>
      </c>
      <c r="G16" s="43"/>
      <c r="H16" s="28">
        <f>G16*E16</f>
        <v>0</v>
      </c>
      <c r="I16" s="29"/>
      <c r="J16" s="30"/>
      <c r="K16" s="44" t="s">
        <v>46</v>
      </c>
      <c r="L16" s="45" t="s">
        <v>44</v>
      </c>
      <c r="M16" s="41" t="s">
        <v>47</v>
      </c>
      <c r="N16" s="33">
        <v>75</v>
      </c>
      <c r="O16" s="34">
        <f>'Measurement Sheet_FINAL'!H116</f>
        <v>174.5354858361255</v>
      </c>
      <c r="P16" s="46">
        <f>O16*N16</f>
        <v>13090.161437709412</v>
      </c>
      <c r="Q16" s="36" t="s">
        <v>48</v>
      </c>
      <c r="R16" s="37" t="s">
        <v>46</v>
      </c>
      <c r="S16" s="37"/>
      <c r="T16" s="37"/>
      <c r="U16" s="37"/>
      <c r="V16" s="38"/>
      <c r="W16" s="29"/>
      <c r="X16" s="29"/>
      <c r="Y16" s="29"/>
      <c r="Z16" s="29"/>
    </row>
    <row r="17" spans="1:26" ht="75">
      <c r="A17" s="23">
        <v>2</v>
      </c>
      <c r="B17" s="24" t="s">
        <v>49</v>
      </c>
      <c r="C17" s="25" t="s">
        <v>50</v>
      </c>
      <c r="D17" s="26" t="s">
        <v>51</v>
      </c>
      <c r="E17" s="26">
        <v>600</v>
      </c>
      <c r="F17" s="30" t="s">
        <v>34</v>
      </c>
      <c r="G17" s="43"/>
      <c r="H17" s="28">
        <f>G17*E17</f>
        <v>0</v>
      </c>
      <c r="I17" s="47"/>
      <c r="J17" s="30"/>
      <c r="K17" s="57">
        <v>13.78</v>
      </c>
      <c r="L17" s="40" t="s">
        <v>52</v>
      </c>
      <c r="M17" s="41" t="s">
        <v>39</v>
      </c>
      <c r="N17" s="147">
        <v>363.45</v>
      </c>
      <c r="O17" s="34">
        <f>'Measurement Sheet_FINAL'!H121</f>
        <v>583.98364920104052</v>
      </c>
      <c r="P17" s="35">
        <f>O17*N17</f>
        <v>212248.85730211818</v>
      </c>
      <c r="Q17" s="36" t="s">
        <v>53</v>
      </c>
      <c r="R17" s="48" t="s">
        <v>699</v>
      </c>
      <c r="S17" s="49">
        <v>238.26</v>
      </c>
      <c r="T17" s="37">
        <f>S17*O17</f>
        <v>139139.94425863991</v>
      </c>
      <c r="U17" s="37" t="s">
        <v>700</v>
      </c>
      <c r="V17" s="38" t="s">
        <v>701</v>
      </c>
      <c r="W17" s="29"/>
      <c r="X17" s="29"/>
      <c r="Y17" s="29"/>
      <c r="Z17" s="29"/>
    </row>
    <row r="18" spans="1:26">
      <c r="A18" s="77" t="s">
        <v>603</v>
      </c>
      <c r="B18" s="78"/>
      <c r="C18" s="79"/>
      <c r="D18" s="79"/>
      <c r="E18" s="80"/>
      <c r="F18" s="79"/>
      <c r="G18" s="81"/>
      <c r="H18" s="82"/>
      <c r="J18" s="30"/>
      <c r="K18" s="41"/>
      <c r="L18" s="32"/>
      <c r="M18" s="41"/>
      <c r="N18" s="33"/>
      <c r="O18" s="34"/>
      <c r="P18" s="35"/>
      <c r="Q18" s="36"/>
      <c r="R18" s="75"/>
      <c r="S18" s="75"/>
      <c r="T18" s="75"/>
      <c r="U18" s="75"/>
      <c r="V18" s="74"/>
    </row>
    <row r="19" spans="1:26" ht="105">
      <c r="A19" s="23">
        <v>1</v>
      </c>
      <c r="B19" s="24" t="s">
        <v>54</v>
      </c>
      <c r="C19" s="25" t="s">
        <v>702</v>
      </c>
      <c r="D19" s="26" t="s">
        <v>55</v>
      </c>
      <c r="E19" s="26">
        <v>20</v>
      </c>
      <c r="F19" s="26" t="s">
        <v>45</v>
      </c>
      <c r="G19" s="27"/>
      <c r="H19" s="28">
        <f>G19*E19</f>
        <v>0</v>
      </c>
      <c r="I19" s="29"/>
      <c r="J19" s="30"/>
      <c r="K19" s="41">
        <v>8.1999999999999993</v>
      </c>
      <c r="L19" s="40" t="s">
        <v>56</v>
      </c>
      <c r="M19" s="41"/>
      <c r="N19" s="33"/>
      <c r="O19" s="34"/>
      <c r="P19" s="35"/>
      <c r="Q19" s="36"/>
      <c r="R19" s="50" t="s">
        <v>703</v>
      </c>
      <c r="S19" s="37"/>
      <c r="T19" s="37"/>
      <c r="U19" s="37"/>
      <c r="V19" s="38"/>
      <c r="W19" s="29"/>
      <c r="X19" s="29"/>
      <c r="Y19" s="29"/>
      <c r="Z19" s="29"/>
    </row>
    <row r="20" spans="1:26">
      <c r="A20" s="23"/>
      <c r="B20" s="24"/>
      <c r="C20" s="25"/>
      <c r="D20" s="26"/>
      <c r="E20" s="26"/>
      <c r="F20" s="26"/>
      <c r="G20" s="27"/>
      <c r="H20" s="28"/>
      <c r="I20" s="29"/>
      <c r="J20" s="30"/>
      <c r="K20" s="41" t="s">
        <v>57</v>
      </c>
      <c r="L20" s="40" t="s">
        <v>58</v>
      </c>
      <c r="M20" s="41"/>
      <c r="N20" s="33"/>
      <c r="O20" s="34"/>
      <c r="P20" s="35"/>
      <c r="Q20" s="36"/>
      <c r="R20" s="51"/>
      <c r="S20" s="37"/>
      <c r="T20" s="37"/>
      <c r="U20" s="37"/>
      <c r="V20" s="38"/>
      <c r="W20" s="29"/>
      <c r="X20" s="29"/>
      <c r="Y20" s="29"/>
      <c r="Z20" s="29"/>
    </row>
    <row r="21" spans="1:26" ht="15.75" customHeight="1">
      <c r="A21" s="23"/>
      <c r="B21" s="24"/>
      <c r="C21" s="25"/>
      <c r="D21" s="26"/>
      <c r="E21" s="26"/>
      <c r="F21" s="26"/>
      <c r="G21" s="27"/>
      <c r="H21" s="28"/>
      <c r="I21" s="29"/>
      <c r="J21" s="30"/>
      <c r="K21" s="41" t="s">
        <v>59</v>
      </c>
      <c r="L21" s="40" t="s">
        <v>60</v>
      </c>
      <c r="M21" s="41" t="s">
        <v>39</v>
      </c>
      <c r="N21" s="33">
        <v>2639.45</v>
      </c>
      <c r="O21" s="34" t="e">
        <f>'Measurement Sheet_FINAL'!#REF!</f>
        <v>#REF!</v>
      </c>
      <c r="P21" s="35" t="e">
        <f>O21*N21</f>
        <v>#REF!</v>
      </c>
      <c r="Q21" s="36" t="s">
        <v>61</v>
      </c>
      <c r="R21" s="37"/>
      <c r="S21" s="37"/>
      <c r="T21" s="37"/>
      <c r="U21" s="37"/>
      <c r="V21" s="38"/>
      <c r="W21" s="29"/>
      <c r="X21" s="29"/>
      <c r="Y21" s="29"/>
      <c r="Z21" s="29"/>
    </row>
    <row r="22" spans="1:26" ht="15.75" customHeight="1">
      <c r="A22" s="23"/>
      <c r="B22" s="24"/>
      <c r="C22" s="25"/>
      <c r="D22" s="26"/>
      <c r="E22" s="26"/>
      <c r="F22" s="26"/>
      <c r="G22" s="27"/>
      <c r="H22" s="28"/>
      <c r="I22" s="29"/>
      <c r="J22" s="30"/>
      <c r="K22" s="41" t="s">
        <v>62</v>
      </c>
      <c r="L22" s="40" t="s">
        <v>63</v>
      </c>
      <c r="M22" s="41"/>
      <c r="N22" s="33"/>
      <c r="O22" s="34"/>
      <c r="P22" s="35"/>
      <c r="Q22" s="36"/>
      <c r="R22" s="37"/>
      <c r="S22" s="37"/>
      <c r="T22" s="37"/>
      <c r="U22" s="37"/>
      <c r="V22" s="38"/>
      <c r="W22" s="29"/>
      <c r="X22" s="29"/>
      <c r="Y22" s="29"/>
      <c r="Z22" s="29"/>
    </row>
    <row r="23" spans="1:26" ht="15.75" customHeight="1">
      <c r="A23" s="23"/>
      <c r="B23" s="24"/>
      <c r="C23" s="25"/>
      <c r="D23" s="26"/>
      <c r="E23" s="26"/>
      <c r="F23" s="26"/>
      <c r="G23" s="27"/>
      <c r="H23" s="28"/>
      <c r="I23" s="29"/>
      <c r="J23" s="30"/>
      <c r="K23" s="39" t="s">
        <v>64</v>
      </c>
      <c r="L23" s="40" t="s">
        <v>60</v>
      </c>
      <c r="M23" s="41" t="s">
        <v>39</v>
      </c>
      <c r="N23" s="52">
        <v>3578.26</v>
      </c>
      <c r="O23" s="34">
        <f>'Measurement Sheet_FINAL'!H238</f>
        <v>154.23393237892171</v>
      </c>
      <c r="P23" s="35">
        <f>O23*N23</f>
        <v>551889.11087420047</v>
      </c>
      <c r="Q23" s="36" t="s">
        <v>65</v>
      </c>
      <c r="R23" s="51" t="s">
        <v>704</v>
      </c>
      <c r="S23" s="148">
        <v>3578.26</v>
      </c>
      <c r="T23" s="37">
        <f>S23*O23</f>
        <v>551889.11087420047</v>
      </c>
      <c r="U23" s="37" t="s">
        <v>66</v>
      </c>
      <c r="V23" s="38" t="s">
        <v>67</v>
      </c>
      <c r="W23" s="29"/>
      <c r="X23" s="29"/>
      <c r="Y23" s="29"/>
      <c r="Z23" s="29"/>
    </row>
    <row r="24" spans="1:26" ht="15.75" customHeight="1">
      <c r="A24" s="23"/>
      <c r="B24" s="24"/>
      <c r="C24" s="25"/>
      <c r="D24" s="26"/>
      <c r="E24" s="26"/>
      <c r="F24" s="26"/>
      <c r="G24" s="27"/>
      <c r="H24" s="28"/>
      <c r="I24" s="29"/>
      <c r="J24" s="30"/>
      <c r="K24" s="41">
        <v>8.3000000000000007</v>
      </c>
      <c r="L24" s="40" t="s">
        <v>68</v>
      </c>
      <c r="M24" s="41"/>
      <c r="N24" s="53"/>
      <c r="O24" s="34"/>
      <c r="P24" s="35"/>
      <c r="Q24" s="36"/>
      <c r="R24" s="54" t="s">
        <v>705</v>
      </c>
      <c r="S24" s="37"/>
      <c r="T24" s="37"/>
      <c r="U24" s="37"/>
      <c r="V24" s="38"/>
      <c r="W24" s="29"/>
      <c r="X24" s="29"/>
      <c r="Y24" s="29"/>
      <c r="Z24" s="29"/>
    </row>
    <row r="25" spans="1:26" ht="15.75" customHeight="1">
      <c r="A25" s="23"/>
      <c r="B25" s="24"/>
      <c r="C25" s="25"/>
      <c r="D25" s="26"/>
      <c r="E25" s="26"/>
      <c r="F25" s="26"/>
      <c r="G25" s="27"/>
      <c r="H25" s="28"/>
      <c r="I25" s="29"/>
      <c r="J25" s="30"/>
      <c r="K25" s="41" t="s">
        <v>69</v>
      </c>
      <c r="L25" s="40" t="s">
        <v>70</v>
      </c>
      <c r="M25" s="41" t="s">
        <v>71</v>
      </c>
      <c r="N25" s="52">
        <v>418.85</v>
      </c>
      <c r="O25" s="34" t="e">
        <f>'Measurement Sheet_FINAL'!#REF!</f>
        <v>#REF!</v>
      </c>
      <c r="P25" s="35" t="e">
        <f>O25*N25</f>
        <v>#REF!</v>
      </c>
      <c r="Q25" s="42" t="s">
        <v>72</v>
      </c>
      <c r="R25" s="54" t="s">
        <v>706</v>
      </c>
      <c r="S25" s="37">
        <v>418.85</v>
      </c>
      <c r="T25" s="37" t="e">
        <f>S25*O25</f>
        <v>#REF!</v>
      </c>
      <c r="U25" s="37" t="s">
        <v>73</v>
      </c>
      <c r="V25" s="38" t="s">
        <v>74</v>
      </c>
      <c r="W25" s="29"/>
      <c r="X25" s="29"/>
      <c r="Y25" s="29"/>
      <c r="Z25" s="29"/>
    </row>
    <row r="26" spans="1:26" ht="15.75" customHeight="1">
      <c r="A26" s="23"/>
      <c r="B26" s="24"/>
      <c r="C26" s="25"/>
      <c r="D26" s="26"/>
      <c r="E26" s="26"/>
      <c r="F26" s="26"/>
      <c r="G26" s="27"/>
      <c r="H26" s="28"/>
      <c r="I26" s="29"/>
      <c r="J26" s="30"/>
      <c r="K26" s="41">
        <v>8.5</v>
      </c>
      <c r="L26" s="40" t="s">
        <v>75</v>
      </c>
      <c r="M26" s="56" t="s">
        <v>76</v>
      </c>
      <c r="N26" s="52">
        <v>808.15</v>
      </c>
      <c r="O26" s="34">
        <f>'Measurement Sheet_FINAL'!H276</f>
        <v>13</v>
      </c>
      <c r="P26" s="35">
        <f>O26*N26</f>
        <v>10505.949999999999</v>
      </c>
      <c r="Q26" s="36" t="s">
        <v>77</v>
      </c>
      <c r="R26" s="54" t="s">
        <v>707</v>
      </c>
      <c r="S26" s="37">
        <v>808.15</v>
      </c>
      <c r="T26" s="37">
        <f>S26*O26</f>
        <v>10505.949999999999</v>
      </c>
      <c r="U26" s="37" t="s">
        <v>78</v>
      </c>
      <c r="V26" s="38" t="s">
        <v>79</v>
      </c>
      <c r="W26" s="29"/>
      <c r="X26" s="29"/>
      <c r="Y26" s="29"/>
      <c r="Z26" s="29"/>
    </row>
    <row r="27" spans="1:26" ht="106.5" customHeight="1">
      <c r="A27" s="23">
        <v>2</v>
      </c>
      <c r="B27" s="24" t="s">
        <v>80</v>
      </c>
      <c r="C27" s="25" t="s">
        <v>81</v>
      </c>
      <c r="D27" s="26" t="s">
        <v>82</v>
      </c>
      <c r="E27" s="26">
        <v>30</v>
      </c>
      <c r="F27" s="30" t="s">
        <v>34</v>
      </c>
      <c r="G27" s="27"/>
      <c r="H27" s="28">
        <f>G27*E27</f>
        <v>0</v>
      </c>
      <c r="I27" s="29"/>
      <c r="J27" s="30"/>
      <c r="K27" s="57" t="s">
        <v>83</v>
      </c>
      <c r="L27" s="40" t="s">
        <v>84</v>
      </c>
      <c r="M27" s="41"/>
      <c r="N27" s="33"/>
      <c r="O27" s="34"/>
      <c r="P27" s="35"/>
      <c r="Q27" s="36"/>
      <c r="R27" s="50" t="s">
        <v>708</v>
      </c>
      <c r="S27" s="37"/>
      <c r="T27" s="37"/>
      <c r="U27" s="37"/>
      <c r="V27" s="38"/>
      <c r="W27" s="29"/>
      <c r="X27" s="29"/>
      <c r="Y27" s="29"/>
      <c r="Z27" s="29"/>
    </row>
    <row r="28" spans="1:26" ht="15.75" customHeight="1">
      <c r="A28" s="23"/>
      <c r="B28" s="24"/>
      <c r="C28" s="25"/>
      <c r="D28" s="26"/>
      <c r="E28" s="26"/>
      <c r="F28" s="30"/>
      <c r="G28" s="27"/>
      <c r="H28" s="28"/>
      <c r="I28" s="29"/>
      <c r="J28" s="30"/>
      <c r="K28" s="39" t="s">
        <v>85</v>
      </c>
      <c r="L28" s="40" t="s">
        <v>86</v>
      </c>
      <c r="M28" s="57" t="s">
        <v>87</v>
      </c>
      <c r="N28" s="55">
        <v>1339.78</v>
      </c>
      <c r="O28" s="34">
        <f>'Measurement Sheet_FINAL'!H299</f>
        <v>42.084726867335569</v>
      </c>
      <c r="P28" s="35">
        <f>O28*N28</f>
        <v>56384.275362318847</v>
      </c>
      <c r="Q28" s="36"/>
      <c r="R28" s="49" t="s">
        <v>709</v>
      </c>
      <c r="S28" s="148">
        <v>1339.78</v>
      </c>
      <c r="T28" s="37">
        <f>S28*O28</f>
        <v>56384.275362318847</v>
      </c>
      <c r="U28" s="37" t="s">
        <v>710</v>
      </c>
      <c r="V28" s="38" t="s">
        <v>88</v>
      </c>
      <c r="W28" s="29"/>
      <c r="X28" s="29"/>
      <c r="Y28" s="29"/>
      <c r="Z28" s="29"/>
    </row>
    <row r="29" spans="1:26" ht="15.75" customHeight="1">
      <c r="A29" s="23"/>
      <c r="B29" s="24"/>
      <c r="C29" s="25"/>
      <c r="D29" s="26"/>
      <c r="E29" s="26"/>
      <c r="F29" s="30"/>
      <c r="G29" s="27"/>
      <c r="H29" s="28"/>
      <c r="I29" s="29"/>
      <c r="J29" s="30"/>
      <c r="K29" s="57" t="s">
        <v>89</v>
      </c>
      <c r="L29" s="40" t="s">
        <v>90</v>
      </c>
      <c r="M29" s="57" t="s">
        <v>87</v>
      </c>
      <c r="N29" s="33">
        <v>1612.75</v>
      </c>
      <c r="O29" s="34" t="e">
        <f>'Measurement Sheet_FINAL'!#REF!</f>
        <v>#REF!</v>
      </c>
      <c r="P29" s="35" t="e">
        <f>O29*N29</f>
        <v>#REF!</v>
      </c>
      <c r="Q29" s="36"/>
      <c r="R29" s="37"/>
      <c r="S29" s="37"/>
      <c r="T29" s="37"/>
      <c r="U29" s="37"/>
      <c r="V29" s="38"/>
      <c r="W29" s="29"/>
      <c r="X29" s="29"/>
      <c r="Y29" s="29"/>
      <c r="Z29" s="29"/>
    </row>
    <row r="30" spans="1:26" ht="15.75" customHeight="1">
      <c r="A30" s="23"/>
      <c r="B30" s="24"/>
      <c r="C30" s="25"/>
      <c r="D30" s="26"/>
      <c r="E30" s="26"/>
      <c r="F30" s="30"/>
      <c r="G30" s="27"/>
      <c r="H30" s="28"/>
      <c r="I30" s="29"/>
      <c r="J30" s="30"/>
      <c r="K30" s="44" t="s">
        <v>91</v>
      </c>
      <c r="L30" s="58" t="s">
        <v>96</v>
      </c>
      <c r="M30" s="57" t="s">
        <v>87</v>
      </c>
      <c r="N30" s="33">
        <v>2450</v>
      </c>
      <c r="O30" s="34" t="e">
        <f>'Measurement Sheet_FINAL'!#REF!</f>
        <v>#REF!</v>
      </c>
      <c r="P30" s="35" t="e">
        <f>O30*N30</f>
        <v>#REF!</v>
      </c>
      <c r="Q30" s="59" t="s">
        <v>92</v>
      </c>
      <c r="R30" s="37"/>
      <c r="S30" s="37"/>
      <c r="T30" s="37"/>
      <c r="U30" s="37"/>
      <c r="V30" s="38"/>
      <c r="W30" s="29"/>
      <c r="X30" s="29"/>
      <c r="Y30" s="29"/>
      <c r="Z30" s="29"/>
    </row>
    <row r="31" spans="1:26" ht="15.75" customHeight="1">
      <c r="A31" s="23"/>
      <c r="B31" s="24"/>
      <c r="C31" s="25"/>
      <c r="D31" s="26"/>
      <c r="E31" s="26"/>
      <c r="F31" s="30"/>
      <c r="G31" s="27"/>
      <c r="H31" s="28"/>
      <c r="I31" s="29"/>
      <c r="J31" s="30"/>
      <c r="K31" s="41">
        <v>11.46</v>
      </c>
      <c r="L31" s="40" t="s">
        <v>711</v>
      </c>
      <c r="M31" s="57"/>
      <c r="N31" s="33"/>
      <c r="O31" s="34"/>
      <c r="P31" s="35"/>
      <c r="Q31" s="36"/>
      <c r="R31" s="37"/>
      <c r="S31" s="37"/>
      <c r="T31" s="37"/>
      <c r="U31" s="37"/>
      <c r="V31" s="38"/>
      <c r="W31" s="29"/>
      <c r="X31" s="29"/>
      <c r="Y31" s="29"/>
      <c r="Z31" s="29"/>
    </row>
    <row r="32" spans="1:26" ht="15.75" customHeight="1">
      <c r="A32" s="23"/>
      <c r="B32" s="24"/>
      <c r="C32" s="25"/>
      <c r="D32" s="26"/>
      <c r="E32" s="26"/>
      <c r="F32" s="30"/>
      <c r="G32" s="27"/>
      <c r="H32" s="28"/>
      <c r="I32" s="29"/>
      <c r="J32" s="30"/>
      <c r="K32" s="57" t="s">
        <v>93</v>
      </c>
      <c r="L32" s="40" t="s">
        <v>86</v>
      </c>
      <c r="M32" s="57" t="s">
        <v>87</v>
      </c>
      <c r="N32" s="33">
        <v>1466.5</v>
      </c>
      <c r="O32" s="34" t="e">
        <f>'Measurement Sheet_FINAL'!#REF!</f>
        <v>#REF!</v>
      </c>
      <c r="P32" s="35" t="e">
        <f>O32*N32</f>
        <v>#REF!</v>
      </c>
      <c r="Q32" s="36" t="s">
        <v>94</v>
      </c>
      <c r="R32" s="37"/>
      <c r="S32" s="37"/>
      <c r="T32" s="37"/>
      <c r="U32" s="37"/>
      <c r="V32" s="38"/>
      <c r="W32" s="29"/>
      <c r="X32" s="29"/>
      <c r="Y32" s="29"/>
      <c r="Z32" s="29"/>
    </row>
    <row r="33" spans="1:26" ht="15.75" customHeight="1">
      <c r="A33" s="23"/>
      <c r="B33" s="24"/>
      <c r="C33" s="25"/>
      <c r="D33" s="26"/>
      <c r="E33" s="26"/>
      <c r="F33" s="30"/>
      <c r="G33" s="27"/>
      <c r="H33" s="28"/>
      <c r="I33" s="29"/>
      <c r="J33" s="30"/>
      <c r="K33" s="44" t="s">
        <v>91</v>
      </c>
      <c r="L33" s="40" t="s">
        <v>90</v>
      </c>
      <c r="M33" s="57" t="s">
        <v>87</v>
      </c>
      <c r="N33" s="33">
        <v>1850</v>
      </c>
      <c r="O33" s="34" t="e">
        <f>'Measurement Sheet_FINAL'!#REF!</f>
        <v>#REF!</v>
      </c>
      <c r="P33" s="35" t="e">
        <f>O33*N33</f>
        <v>#REF!</v>
      </c>
      <c r="Q33" s="36" t="s">
        <v>95</v>
      </c>
      <c r="R33" s="37"/>
      <c r="S33" s="37"/>
      <c r="T33" s="37"/>
      <c r="U33" s="37"/>
      <c r="V33" s="38"/>
      <c r="W33" s="29"/>
      <c r="X33" s="29"/>
      <c r="Y33" s="29"/>
      <c r="Z33" s="29"/>
    </row>
    <row r="34" spans="1:26" ht="15.75" customHeight="1">
      <c r="A34" s="23"/>
      <c r="B34" s="24"/>
      <c r="C34" s="25"/>
      <c r="D34" s="26"/>
      <c r="E34" s="26"/>
      <c r="F34" s="30"/>
      <c r="G34" s="27"/>
      <c r="H34" s="28"/>
      <c r="I34" s="29"/>
      <c r="J34" s="30"/>
      <c r="K34" s="44" t="s">
        <v>91</v>
      </c>
      <c r="L34" s="58" t="s">
        <v>96</v>
      </c>
      <c r="M34" s="57" t="s">
        <v>87</v>
      </c>
      <c r="N34" s="33">
        <v>2800</v>
      </c>
      <c r="O34" s="34" t="e">
        <f>'Measurement Sheet_FINAL'!#REF!</f>
        <v>#REF!</v>
      </c>
      <c r="P34" s="35" t="e">
        <f>O34*N34</f>
        <v>#REF!</v>
      </c>
      <c r="Q34" s="59" t="s">
        <v>92</v>
      </c>
      <c r="R34" s="37"/>
      <c r="S34" s="37"/>
      <c r="T34" s="37"/>
      <c r="U34" s="37"/>
      <c r="V34" s="38"/>
      <c r="W34" s="29"/>
      <c r="X34" s="29"/>
      <c r="Y34" s="29"/>
      <c r="Z34" s="29"/>
    </row>
    <row r="35" spans="1:26" ht="15.75" customHeight="1">
      <c r="A35" s="23"/>
      <c r="B35" s="24"/>
      <c r="C35" s="25"/>
      <c r="D35" s="26"/>
      <c r="E35" s="26"/>
      <c r="F35" s="30"/>
      <c r="G35" s="27"/>
      <c r="H35" s="28"/>
      <c r="I35" s="29"/>
      <c r="J35" s="30"/>
      <c r="K35" s="57">
        <v>11.48</v>
      </c>
      <c r="L35" s="40" t="s">
        <v>97</v>
      </c>
      <c r="M35" s="57"/>
      <c r="N35" s="33"/>
      <c r="O35" s="34"/>
      <c r="P35" s="35"/>
      <c r="Q35" s="36"/>
      <c r="R35" s="37"/>
      <c r="S35" s="37"/>
      <c r="T35" s="37"/>
      <c r="U35" s="37"/>
      <c r="V35" s="38"/>
      <c r="W35" s="29"/>
      <c r="X35" s="29"/>
      <c r="Y35" s="29"/>
      <c r="Z35" s="29"/>
    </row>
    <row r="36" spans="1:26" ht="15.75" customHeight="1">
      <c r="A36" s="23"/>
      <c r="B36" s="24"/>
      <c r="C36" s="25"/>
      <c r="D36" s="26"/>
      <c r="E36" s="26"/>
      <c r="F36" s="30"/>
      <c r="G36" s="27"/>
      <c r="H36" s="28"/>
      <c r="I36" s="29"/>
      <c r="J36" s="30"/>
      <c r="K36" s="57" t="s">
        <v>98</v>
      </c>
      <c r="L36" s="40" t="s">
        <v>86</v>
      </c>
      <c r="M36" s="60" t="s">
        <v>87</v>
      </c>
      <c r="N36" s="33">
        <v>258.64999999999998</v>
      </c>
      <c r="O36" s="34">
        <f>O28</f>
        <v>42.084726867335569</v>
      </c>
      <c r="P36" s="35">
        <f>O36*N36</f>
        <v>10885.214604236344</v>
      </c>
      <c r="Q36" s="36"/>
      <c r="R36" s="37"/>
      <c r="S36" s="37"/>
      <c r="T36" s="37"/>
      <c r="U36" s="37"/>
      <c r="V36" s="38"/>
      <c r="W36" s="29"/>
      <c r="X36" s="29"/>
      <c r="Y36" s="29"/>
      <c r="Z36" s="29"/>
    </row>
    <row r="37" spans="1:26" ht="15.75" customHeight="1">
      <c r="A37" s="23"/>
      <c r="B37" s="24"/>
      <c r="C37" s="25"/>
      <c r="D37" s="26"/>
      <c r="E37" s="26"/>
      <c r="F37" s="30"/>
      <c r="G37" s="27"/>
      <c r="H37" s="28"/>
      <c r="I37" s="29"/>
      <c r="J37" s="30"/>
      <c r="K37" s="44" t="s">
        <v>91</v>
      </c>
      <c r="L37" s="40" t="s">
        <v>90</v>
      </c>
      <c r="M37" s="60" t="s">
        <v>87</v>
      </c>
      <c r="N37" s="33">
        <v>205</v>
      </c>
      <c r="O37" s="34" t="e">
        <f>O29</f>
        <v>#REF!</v>
      </c>
      <c r="P37" s="35" t="e">
        <f>O37*N37</f>
        <v>#REF!</v>
      </c>
      <c r="Q37" s="36"/>
      <c r="R37" s="37"/>
      <c r="S37" s="37"/>
      <c r="T37" s="37"/>
      <c r="U37" s="37"/>
      <c r="V37" s="38"/>
      <c r="W37" s="29"/>
      <c r="X37" s="29"/>
      <c r="Y37" s="29"/>
      <c r="Z37" s="29"/>
    </row>
    <row r="38" spans="1:26" ht="15.75" customHeight="1">
      <c r="A38" s="23"/>
      <c r="B38" s="24"/>
      <c r="C38" s="25"/>
      <c r="D38" s="26"/>
      <c r="E38" s="26"/>
      <c r="F38" s="30"/>
      <c r="G38" s="27"/>
      <c r="H38" s="28"/>
      <c r="I38" s="29"/>
      <c r="J38" s="30"/>
      <c r="K38" s="44" t="s">
        <v>91</v>
      </c>
      <c r="L38" s="58" t="s">
        <v>96</v>
      </c>
      <c r="M38" s="60" t="s">
        <v>87</v>
      </c>
      <c r="N38" s="33">
        <v>175</v>
      </c>
      <c r="O38" s="34" t="e">
        <f>O30</f>
        <v>#REF!</v>
      </c>
      <c r="P38" s="35" t="e">
        <f>O38*N38</f>
        <v>#REF!</v>
      </c>
      <c r="Q38" s="59" t="s">
        <v>92</v>
      </c>
      <c r="R38" s="37"/>
      <c r="S38" s="37"/>
      <c r="T38" s="37"/>
      <c r="U38" s="37"/>
      <c r="V38" s="38"/>
      <c r="W38" s="29"/>
      <c r="X38" s="29"/>
      <c r="Y38" s="29"/>
      <c r="Z38" s="29"/>
    </row>
    <row r="39" spans="1:26" ht="15.75" customHeight="1">
      <c r="A39" s="23"/>
      <c r="B39" s="24"/>
      <c r="C39" s="25"/>
      <c r="D39" s="26"/>
      <c r="E39" s="26"/>
      <c r="F39" s="30"/>
      <c r="G39" s="27"/>
      <c r="H39" s="28"/>
      <c r="I39" s="29"/>
      <c r="J39" s="30"/>
      <c r="K39" s="57">
        <v>11.5</v>
      </c>
      <c r="L39" s="40" t="s">
        <v>99</v>
      </c>
      <c r="M39" s="60" t="s">
        <v>87</v>
      </c>
      <c r="N39" s="33">
        <v>11.7</v>
      </c>
      <c r="O39" s="34" t="e">
        <f>SUM(O36:O38)*-1</f>
        <v>#REF!</v>
      </c>
      <c r="P39" s="35" t="e">
        <f>O39*N39</f>
        <v>#REF!</v>
      </c>
      <c r="Q39" s="36"/>
      <c r="R39" s="37"/>
      <c r="S39" s="37"/>
      <c r="T39" s="37"/>
      <c r="U39" s="37"/>
      <c r="V39" s="38"/>
      <c r="W39" s="29"/>
      <c r="X39" s="29"/>
      <c r="Y39" s="29"/>
      <c r="Z39" s="29"/>
    </row>
    <row r="40" spans="1:26" ht="94.5" customHeight="1">
      <c r="A40" s="23"/>
      <c r="B40" s="24"/>
      <c r="C40" s="25"/>
      <c r="D40" s="26"/>
      <c r="E40" s="26"/>
      <c r="F40" s="30"/>
      <c r="G40" s="27"/>
      <c r="H40" s="28"/>
      <c r="I40" s="29"/>
      <c r="J40" s="30"/>
      <c r="K40" s="44" t="s">
        <v>91</v>
      </c>
      <c r="L40" s="40" t="s">
        <v>100</v>
      </c>
      <c r="M40" s="60"/>
      <c r="N40" s="61"/>
      <c r="O40" s="34"/>
      <c r="P40" s="35"/>
      <c r="Q40" s="36"/>
      <c r="R40" s="37"/>
      <c r="S40" s="37"/>
      <c r="T40" s="37"/>
      <c r="U40" s="37"/>
      <c r="V40" s="38"/>
      <c r="W40" s="29"/>
      <c r="X40" s="29"/>
      <c r="Y40" s="29"/>
      <c r="Z40" s="29"/>
    </row>
    <row r="41" spans="1:26" ht="15.75" customHeight="1">
      <c r="A41" s="23"/>
      <c r="B41" s="24"/>
      <c r="C41" s="25"/>
      <c r="D41" s="26"/>
      <c r="E41" s="26"/>
      <c r="F41" s="30"/>
      <c r="G41" s="27"/>
      <c r="H41" s="28"/>
      <c r="I41" s="29"/>
      <c r="J41" s="30"/>
      <c r="K41" s="44" t="s">
        <v>91</v>
      </c>
      <c r="L41" s="62" t="s">
        <v>90</v>
      </c>
      <c r="M41" s="60" t="s">
        <v>87</v>
      </c>
      <c r="N41" s="33">
        <v>1650</v>
      </c>
      <c r="O41" s="34">
        <f>'Measurement Sheet_FINAL'!H491</f>
        <v>275.42967298402084</v>
      </c>
      <c r="P41" s="35">
        <f t="shared" ref="P41:P57" si="0">O41*N41</f>
        <v>454458.96042363439</v>
      </c>
      <c r="Q41" s="36" t="s">
        <v>101</v>
      </c>
      <c r="R41" s="37"/>
      <c r="S41" s="37"/>
      <c r="T41" s="37"/>
      <c r="U41" s="37"/>
      <c r="V41" s="38"/>
      <c r="W41" s="29"/>
      <c r="X41" s="29"/>
      <c r="Y41" s="29"/>
      <c r="Z41" s="29"/>
    </row>
    <row r="42" spans="1:26" ht="15.75" customHeight="1">
      <c r="A42" s="63">
        <v>1</v>
      </c>
      <c r="B42" s="61" t="s">
        <v>80</v>
      </c>
      <c r="C42" s="64" t="s">
        <v>102</v>
      </c>
      <c r="D42" s="41"/>
      <c r="E42" s="41">
        <v>1</v>
      </c>
      <c r="F42" s="41" t="s">
        <v>103</v>
      </c>
      <c r="G42" s="33"/>
      <c r="H42" s="65">
        <f>G42*E42</f>
        <v>0</v>
      </c>
      <c r="I42" s="66"/>
      <c r="J42" s="41"/>
      <c r="K42" s="39" t="s">
        <v>91</v>
      </c>
      <c r="L42" s="40" t="s">
        <v>104</v>
      </c>
      <c r="M42" s="41" t="s">
        <v>105</v>
      </c>
      <c r="N42" s="55">
        <v>12368.26</v>
      </c>
      <c r="O42" s="34">
        <f>'Measurement Sheet_FINAL'!H567</f>
        <v>11</v>
      </c>
      <c r="P42" s="35">
        <f t="shared" si="0"/>
        <v>136050.86000000002</v>
      </c>
      <c r="Q42" s="36" t="s">
        <v>106</v>
      </c>
      <c r="R42" s="50" t="s">
        <v>104</v>
      </c>
      <c r="S42" s="148">
        <v>12368.26</v>
      </c>
      <c r="T42" s="37">
        <f>S42*O42</f>
        <v>136050.86000000002</v>
      </c>
      <c r="U42" s="67" t="s">
        <v>107</v>
      </c>
      <c r="V42" s="68" t="s">
        <v>108</v>
      </c>
      <c r="W42" s="66"/>
      <c r="X42" s="66"/>
      <c r="Y42" s="66"/>
      <c r="Z42" s="66"/>
    </row>
    <row r="43" spans="1:26" ht="15.75" customHeight="1">
      <c r="A43" s="69"/>
      <c r="B43" s="70"/>
      <c r="C43" s="71"/>
      <c r="D43" s="72"/>
      <c r="E43" s="30"/>
      <c r="F43" s="30"/>
      <c r="G43" s="73"/>
      <c r="H43" s="28"/>
      <c r="J43" s="30"/>
      <c r="K43" s="39" t="s">
        <v>91</v>
      </c>
      <c r="L43" s="40" t="s">
        <v>109</v>
      </c>
      <c r="M43" s="41" t="s">
        <v>105</v>
      </c>
      <c r="N43" s="55">
        <v>6173.13</v>
      </c>
      <c r="O43" s="34">
        <f>'Measurement Sheet_FINAL'!H590</f>
        <v>11</v>
      </c>
      <c r="P43" s="35">
        <f t="shared" si="0"/>
        <v>67904.430000000008</v>
      </c>
      <c r="Q43" s="36" t="s">
        <v>106</v>
      </c>
      <c r="R43" s="50" t="s">
        <v>712</v>
      </c>
      <c r="S43" s="148">
        <v>6173.13</v>
      </c>
      <c r="T43" s="37">
        <f>S43*O43</f>
        <v>67904.430000000008</v>
      </c>
      <c r="U43" s="67" t="s">
        <v>110</v>
      </c>
      <c r="V43" s="74" t="s">
        <v>111</v>
      </c>
    </row>
    <row r="44" spans="1:26" ht="15.75" customHeight="1">
      <c r="A44" s="69"/>
      <c r="B44" s="70"/>
      <c r="C44" s="71"/>
      <c r="D44" s="72"/>
      <c r="E44" s="30"/>
      <c r="F44" s="30"/>
      <c r="G44" s="73"/>
      <c r="H44" s="28"/>
      <c r="J44" s="30"/>
      <c r="K44" s="44" t="s">
        <v>91</v>
      </c>
      <c r="L44" s="40" t="s">
        <v>112</v>
      </c>
      <c r="M44" s="41" t="s">
        <v>105</v>
      </c>
      <c r="N44" s="33">
        <v>4500</v>
      </c>
      <c r="O44" s="34" t="e">
        <f>'Measurement Sheet_FINAL'!#REF!</f>
        <v>#REF!</v>
      </c>
      <c r="P44" s="35" t="e">
        <f t="shared" si="0"/>
        <v>#REF!</v>
      </c>
      <c r="Q44" s="36" t="s">
        <v>113</v>
      </c>
      <c r="R44" s="75"/>
      <c r="S44" s="75"/>
      <c r="T44" s="75"/>
      <c r="U44" s="75"/>
      <c r="V44" s="74"/>
    </row>
    <row r="45" spans="1:26" ht="15.75" customHeight="1">
      <c r="A45" s="69"/>
      <c r="B45" s="70"/>
      <c r="C45" s="71"/>
      <c r="D45" s="72"/>
      <c r="E45" s="30"/>
      <c r="F45" s="30"/>
      <c r="G45" s="73"/>
      <c r="H45" s="28"/>
      <c r="J45" s="30"/>
      <c r="K45" s="44" t="s">
        <v>91</v>
      </c>
      <c r="L45" s="40" t="s">
        <v>114</v>
      </c>
      <c r="M45" s="41" t="s">
        <v>105</v>
      </c>
      <c r="N45" s="33">
        <v>7500</v>
      </c>
      <c r="O45" s="34">
        <f>O42</f>
        <v>11</v>
      </c>
      <c r="P45" s="35">
        <f t="shared" si="0"/>
        <v>82500</v>
      </c>
      <c r="Q45" s="36" t="s">
        <v>106</v>
      </c>
      <c r="R45" s="75"/>
      <c r="S45" s="75"/>
      <c r="T45" s="75"/>
      <c r="U45" s="75"/>
      <c r="V45" s="74"/>
    </row>
    <row r="46" spans="1:26" ht="15.75" customHeight="1">
      <c r="A46" s="69"/>
      <c r="B46" s="70"/>
      <c r="C46" s="71"/>
      <c r="D46" s="72"/>
      <c r="E46" s="30"/>
      <c r="F46" s="30"/>
      <c r="G46" s="73"/>
      <c r="H46" s="28"/>
      <c r="J46" s="30"/>
      <c r="K46" s="44" t="s">
        <v>91</v>
      </c>
      <c r="L46" s="40" t="s">
        <v>115</v>
      </c>
      <c r="M46" s="41" t="s">
        <v>105</v>
      </c>
      <c r="N46" s="33">
        <v>4500</v>
      </c>
      <c r="O46" s="34">
        <f>O42</f>
        <v>11</v>
      </c>
      <c r="P46" s="35">
        <f t="shared" si="0"/>
        <v>49500</v>
      </c>
      <c r="Q46" s="36" t="s">
        <v>106</v>
      </c>
      <c r="R46" s="75"/>
      <c r="S46" s="75"/>
      <c r="T46" s="75"/>
      <c r="U46" s="75"/>
      <c r="V46" s="74"/>
    </row>
    <row r="47" spans="1:26" ht="15.75" customHeight="1">
      <c r="A47" s="69"/>
      <c r="B47" s="70"/>
      <c r="C47" s="71"/>
      <c r="D47" s="72"/>
      <c r="E47" s="30"/>
      <c r="F47" s="30"/>
      <c r="G47" s="73"/>
      <c r="H47" s="28"/>
      <c r="J47" s="30"/>
      <c r="K47" s="39" t="s">
        <v>91</v>
      </c>
      <c r="L47" s="40" t="s">
        <v>116</v>
      </c>
      <c r="M47" s="41" t="s">
        <v>105</v>
      </c>
      <c r="N47" s="55">
        <v>745.66</v>
      </c>
      <c r="O47" s="34">
        <f>O42</f>
        <v>11</v>
      </c>
      <c r="P47" s="35">
        <f t="shared" si="0"/>
        <v>8202.26</v>
      </c>
      <c r="Q47" s="36" t="s">
        <v>106</v>
      </c>
      <c r="R47" s="50" t="s">
        <v>116</v>
      </c>
      <c r="S47" s="51">
        <v>745.66</v>
      </c>
      <c r="T47" s="37">
        <f>S47*O47</f>
        <v>8202.26</v>
      </c>
      <c r="U47" s="67" t="s">
        <v>117</v>
      </c>
      <c r="V47" s="74" t="s">
        <v>118</v>
      </c>
    </row>
    <row r="48" spans="1:26" ht="15.75" customHeight="1">
      <c r="A48" s="69"/>
      <c r="B48" s="70"/>
      <c r="C48" s="71"/>
      <c r="D48" s="72"/>
      <c r="E48" s="30"/>
      <c r="F48" s="30"/>
      <c r="G48" s="73"/>
      <c r="H48" s="28"/>
      <c r="J48" s="30"/>
      <c r="K48" s="44" t="s">
        <v>91</v>
      </c>
      <c r="L48" s="40" t="s">
        <v>119</v>
      </c>
      <c r="M48" s="41" t="s">
        <v>105</v>
      </c>
      <c r="N48" s="33">
        <v>3200</v>
      </c>
      <c r="O48" s="34">
        <f>O50</f>
        <v>7</v>
      </c>
      <c r="P48" s="35">
        <f t="shared" si="0"/>
        <v>22400</v>
      </c>
      <c r="Q48" s="36" t="s">
        <v>106</v>
      </c>
      <c r="R48" s="75"/>
      <c r="S48" s="75"/>
      <c r="T48" s="75"/>
      <c r="U48" s="75"/>
      <c r="V48" s="74"/>
    </row>
    <row r="49" spans="1:26" ht="15.75" customHeight="1">
      <c r="A49" s="69"/>
      <c r="B49" s="70"/>
      <c r="C49" s="71"/>
      <c r="D49" s="72"/>
      <c r="E49" s="30"/>
      <c r="F49" s="30"/>
      <c r="G49" s="73"/>
      <c r="H49" s="28"/>
      <c r="J49" s="30"/>
      <c r="K49" s="44" t="s">
        <v>91</v>
      </c>
      <c r="L49" s="40" t="s">
        <v>120</v>
      </c>
      <c r="M49" s="41" t="s">
        <v>105</v>
      </c>
      <c r="N49" s="33">
        <v>3300</v>
      </c>
      <c r="O49" s="34">
        <f>O51</f>
        <v>4</v>
      </c>
      <c r="P49" s="35">
        <f t="shared" si="0"/>
        <v>13200</v>
      </c>
      <c r="Q49" s="36" t="s">
        <v>106</v>
      </c>
      <c r="R49" s="75"/>
      <c r="S49" s="75"/>
      <c r="T49" s="75"/>
      <c r="U49" s="75"/>
      <c r="V49" s="74"/>
    </row>
    <row r="50" spans="1:26" ht="15.75" customHeight="1">
      <c r="A50" s="69"/>
      <c r="B50" s="70"/>
      <c r="C50" s="71"/>
      <c r="D50" s="72"/>
      <c r="E50" s="30"/>
      <c r="F50" s="30"/>
      <c r="G50" s="73"/>
      <c r="H50" s="28"/>
      <c r="J50" s="30"/>
      <c r="K50" s="44" t="s">
        <v>91</v>
      </c>
      <c r="L50" s="40" t="s">
        <v>677</v>
      </c>
      <c r="M50" s="41" t="s">
        <v>105</v>
      </c>
      <c r="N50" s="147">
        <v>9500</v>
      </c>
      <c r="O50" s="34">
        <f>'Measurement Sheet_FINAL'!H603</f>
        <v>7</v>
      </c>
      <c r="P50" s="35">
        <f t="shared" si="0"/>
        <v>66500</v>
      </c>
      <c r="Q50" s="36" t="s">
        <v>713</v>
      </c>
      <c r="R50" s="48" t="s">
        <v>121</v>
      </c>
      <c r="S50" s="75">
        <v>10466</v>
      </c>
      <c r="T50" s="37">
        <f t="shared" ref="T50:T55" si="1">S50*O50</f>
        <v>73262</v>
      </c>
      <c r="U50" s="37" t="s">
        <v>714</v>
      </c>
      <c r="V50" s="74" t="s">
        <v>122</v>
      </c>
    </row>
    <row r="51" spans="1:26" ht="15.75" customHeight="1">
      <c r="A51" s="69"/>
      <c r="B51" s="70"/>
      <c r="C51" s="71"/>
      <c r="D51" s="72"/>
      <c r="E51" s="30"/>
      <c r="F51" s="30"/>
      <c r="G51" s="73"/>
      <c r="H51" s="28"/>
      <c r="J51" s="30"/>
      <c r="K51" s="44" t="s">
        <v>91</v>
      </c>
      <c r="L51" s="40" t="s">
        <v>678</v>
      </c>
      <c r="M51" s="41" t="s">
        <v>105</v>
      </c>
      <c r="N51" s="147">
        <v>5500</v>
      </c>
      <c r="O51" s="34">
        <f>'Measurement Sheet_FINAL'!H618</f>
        <v>4</v>
      </c>
      <c r="P51" s="35">
        <f t="shared" si="0"/>
        <v>22000</v>
      </c>
      <c r="Q51" s="36" t="s">
        <v>713</v>
      </c>
      <c r="R51" s="50" t="s">
        <v>123</v>
      </c>
      <c r="S51" s="149">
        <v>5504.09</v>
      </c>
      <c r="T51" s="37">
        <f t="shared" si="1"/>
        <v>22016.36</v>
      </c>
      <c r="U51" s="37" t="s">
        <v>124</v>
      </c>
      <c r="V51" s="74" t="s">
        <v>125</v>
      </c>
    </row>
    <row r="52" spans="1:26" ht="15.75" customHeight="1">
      <c r="A52" s="69"/>
      <c r="B52" s="70"/>
      <c r="C52" s="71"/>
      <c r="D52" s="72"/>
      <c r="E52" s="30"/>
      <c r="F52" s="30"/>
      <c r="G52" s="73"/>
      <c r="H52" s="28"/>
      <c r="J52" s="30"/>
      <c r="K52" s="39" t="s">
        <v>91</v>
      </c>
      <c r="L52" s="40" t="s">
        <v>126</v>
      </c>
      <c r="M52" s="41" t="s">
        <v>105</v>
      </c>
      <c r="N52" s="55">
        <v>1378.33</v>
      </c>
      <c r="O52" s="34">
        <f>'Measurement Sheet_FINAL'!H627</f>
        <v>11</v>
      </c>
      <c r="P52" s="35">
        <f t="shared" si="0"/>
        <v>15161.63</v>
      </c>
      <c r="Q52" s="36" t="s">
        <v>106</v>
      </c>
      <c r="R52" s="51" t="s">
        <v>126</v>
      </c>
      <c r="S52" s="75">
        <v>1378.33</v>
      </c>
      <c r="T52" s="37">
        <f t="shared" si="1"/>
        <v>15161.63</v>
      </c>
      <c r="U52" s="37" t="s">
        <v>127</v>
      </c>
      <c r="V52" s="74" t="s">
        <v>128</v>
      </c>
    </row>
    <row r="53" spans="1:26" ht="15.75" customHeight="1">
      <c r="A53" s="69"/>
      <c r="B53" s="70"/>
      <c r="C53" s="71"/>
      <c r="D53" s="72"/>
      <c r="E53" s="30"/>
      <c r="F53" s="30"/>
      <c r="G53" s="73"/>
      <c r="H53" s="28"/>
      <c r="J53" s="30"/>
      <c r="K53" s="39" t="s">
        <v>91</v>
      </c>
      <c r="L53" s="40" t="s">
        <v>129</v>
      </c>
      <c r="M53" s="41" t="s">
        <v>105</v>
      </c>
      <c r="N53" s="55">
        <v>547.59</v>
      </c>
      <c r="O53" s="34">
        <f>O52</f>
        <v>11</v>
      </c>
      <c r="P53" s="35">
        <f t="shared" si="0"/>
        <v>6023.4900000000007</v>
      </c>
      <c r="Q53" s="36" t="s">
        <v>106</v>
      </c>
      <c r="R53" s="50" t="s">
        <v>129</v>
      </c>
      <c r="S53" s="75">
        <v>547.59</v>
      </c>
      <c r="T53" s="37">
        <f t="shared" si="1"/>
        <v>6023.4900000000007</v>
      </c>
      <c r="U53" s="37" t="s">
        <v>130</v>
      </c>
      <c r="V53" s="74" t="s">
        <v>131</v>
      </c>
    </row>
    <row r="54" spans="1:26" ht="15.75" customHeight="1">
      <c r="A54" s="69"/>
      <c r="B54" s="70"/>
      <c r="C54" s="71"/>
      <c r="D54" s="72"/>
      <c r="E54" s="30"/>
      <c r="F54" s="30"/>
      <c r="G54" s="73"/>
      <c r="H54" s="28"/>
      <c r="J54" s="30"/>
      <c r="K54" s="39" t="s">
        <v>91</v>
      </c>
      <c r="L54" s="40" t="s">
        <v>132</v>
      </c>
      <c r="M54" s="41" t="s">
        <v>105</v>
      </c>
      <c r="N54" s="55">
        <v>1295.99</v>
      </c>
      <c r="O54" s="34">
        <f>O42</f>
        <v>11</v>
      </c>
      <c r="P54" s="35">
        <f t="shared" si="0"/>
        <v>14255.89</v>
      </c>
      <c r="Q54" s="36" t="s">
        <v>106</v>
      </c>
      <c r="R54" s="50" t="s">
        <v>715</v>
      </c>
      <c r="S54" s="75">
        <v>1295.99</v>
      </c>
      <c r="T54" s="37">
        <f t="shared" si="1"/>
        <v>14255.89</v>
      </c>
      <c r="U54" s="37" t="s">
        <v>133</v>
      </c>
      <c r="V54" s="74" t="s">
        <v>134</v>
      </c>
    </row>
    <row r="55" spans="1:26" ht="15.75" customHeight="1">
      <c r="A55" s="69"/>
      <c r="B55" s="70"/>
      <c r="C55" s="71"/>
      <c r="D55" s="72"/>
      <c r="E55" s="30"/>
      <c r="F55" s="30"/>
      <c r="G55" s="73"/>
      <c r="H55" s="28"/>
      <c r="J55" s="30"/>
      <c r="K55" s="44" t="s">
        <v>91</v>
      </c>
      <c r="L55" s="40" t="s">
        <v>137</v>
      </c>
      <c r="M55" s="41" t="s">
        <v>105</v>
      </c>
      <c r="N55" s="147">
        <v>7500</v>
      </c>
      <c r="O55" s="34">
        <f>'Measurement Sheet_FINAL'!H644</f>
        <v>2</v>
      </c>
      <c r="P55" s="35">
        <f t="shared" si="0"/>
        <v>15000</v>
      </c>
      <c r="Q55" s="36" t="s">
        <v>713</v>
      </c>
      <c r="R55" s="48" t="s">
        <v>135</v>
      </c>
      <c r="S55" s="75">
        <v>10975</v>
      </c>
      <c r="T55" s="37">
        <f t="shared" si="1"/>
        <v>21950</v>
      </c>
      <c r="U55" s="37" t="s">
        <v>716</v>
      </c>
      <c r="V55" s="74" t="s">
        <v>136</v>
      </c>
    </row>
    <row r="56" spans="1:26" ht="15.75" customHeight="1">
      <c r="A56" s="69"/>
      <c r="B56" s="70"/>
      <c r="C56" s="71"/>
      <c r="D56" s="72"/>
      <c r="E56" s="30"/>
      <c r="F56" s="30"/>
      <c r="G56" s="73"/>
      <c r="H56" s="28"/>
      <c r="J56" s="30"/>
      <c r="K56" s="44" t="s">
        <v>91</v>
      </c>
      <c r="L56" s="40" t="s">
        <v>138</v>
      </c>
      <c r="M56" s="41" t="s">
        <v>105</v>
      </c>
      <c r="N56" s="147">
        <v>5500</v>
      </c>
      <c r="O56" s="34">
        <f>O55</f>
        <v>2</v>
      </c>
      <c r="P56" s="35">
        <f t="shared" si="0"/>
        <v>11000</v>
      </c>
      <c r="Q56" s="36" t="s">
        <v>713</v>
      </c>
      <c r="R56" s="75"/>
      <c r="S56" s="75"/>
      <c r="T56" s="75"/>
      <c r="U56" s="75"/>
      <c r="V56" s="74"/>
    </row>
    <row r="57" spans="1:26" ht="15.75" customHeight="1">
      <c r="A57" s="69"/>
      <c r="B57" s="70"/>
      <c r="C57" s="71"/>
      <c r="D57" s="72"/>
      <c r="E57" s="30"/>
      <c r="F57" s="30"/>
      <c r="G57" s="73"/>
      <c r="H57" s="28"/>
      <c r="J57" s="30"/>
      <c r="K57" s="44" t="s">
        <v>91</v>
      </c>
      <c r="L57" s="40" t="s">
        <v>139</v>
      </c>
      <c r="M57" s="41" t="s">
        <v>105</v>
      </c>
      <c r="N57" s="147">
        <v>4200</v>
      </c>
      <c r="O57" s="34">
        <f>O55</f>
        <v>2</v>
      </c>
      <c r="P57" s="35">
        <f t="shared" si="0"/>
        <v>8400</v>
      </c>
      <c r="Q57" s="36" t="s">
        <v>713</v>
      </c>
      <c r="R57" s="75"/>
      <c r="S57" s="75"/>
      <c r="T57" s="75"/>
      <c r="U57" s="75"/>
      <c r="V57" s="74"/>
    </row>
    <row r="58" spans="1:26" ht="297.75" customHeight="1">
      <c r="A58" s="69"/>
      <c r="B58" s="70"/>
      <c r="C58" s="71"/>
      <c r="D58" s="72"/>
      <c r="E58" s="30"/>
      <c r="F58" s="30"/>
      <c r="G58" s="73"/>
      <c r="H58" s="28"/>
      <c r="J58" s="30"/>
      <c r="K58" s="57">
        <v>22.7</v>
      </c>
      <c r="L58" s="40" t="s">
        <v>140</v>
      </c>
      <c r="M58" s="41" t="s">
        <v>39</v>
      </c>
      <c r="N58" s="33">
        <v>1522.95</v>
      </c>
      <c r="O58" s="34"/>
      <c r="P58" s="35"/>
      <c r="Q58" s="36"/>
      <c r="R58" s="48" t="s">
        <v>717</v>
      </c>
      <c r="S58" s="75"/>
      <c r="T58" s="37"/>
      <c r="U58" s="37"/>
      <c r="V58" s="74"/>
    </row>
    <row r="59" spans="1:26" ht="15.75" customHeight="1">
      <c r="A59" s="69"/>
      <c r="B59" s="70"/>
      <c r="C59" s="71"/>
      <c r="D59" s="72"/>
      <c r="E59" s="30"/>
      <c r="F59" s="30"/>
      <c r="G59" s="73"/>
      <c r="H59" s="28"/>
      <c r="J59" s="30"/>
      <c r="K59" s="41" t="s">
        <v>141</v>
      </c>
      <c r="L59" s="32" t="s">
        <v>142</v>
      </c>
      <c r="M59" s="41" t="s">
        <v>39</v>
      </c>
      <c r="N59" s="55">
        <v>1522.95</v>
      </c>
      <c r="O59" s="34">
        <f>'Measurement Sheet_FINAL'!H650</f>
        <v>64.096757710888156</v>
      </c>
      <c r="P59" s="35">
        <f t="shared" ref="P59:P78" si="2">O59*N59</f>
        <v>97616.157155797118</v>
      </c>
      <c r="Q59" s="36" t="s">
        <v>143</v>
      </c>
      <c r="R59" s="75"/>
      <c r="S59" s="75">
        <v>1522.95</v>
      </c>
      <c r="T59" s="37">
        <f>S59*O59</f>
        <v>97616.157155797118</v>
      </c>
      <c r="U59" s="37" t="s">
        <v>718</v>
      </c>
      <c r="V59" s="74" t="s">
        <v>144</v>
      </c>
    </row>
    <row r="60" spans="1:26" ht="15.75" hidden="1" customHeight="1">
      <c r="A60" s="69">
        <v>2</v>
      </c>
      <c r="B60" s="70" t="s">
        <v>145</v>
      </c>
      <c r="C60" s="71" t="s">
        <v>102</v>
      </c>
      <c r="D60" s="72"/>
      <c r="E60" s="30">
        <v>1</v>
      </c>
      <c r="F60" s="30" t="s">
        <v>103</v>
      </c>
      <c r="G60" s="73"/>
      <c r="H60" s="28">
        <f>G60*E60</f>
        <v>0</v>
      </c>
      <c r="J60" s="30"/>
      <c r="K60" s="41"/>
      <c r="L60" s="32"/>
      <c r="M60" s="32"/>
      <c r="N60" s="33"/>
      <c r="O60" s="34"/>
      <c r="P60" s="35">
        <f t="shared" si="2"/>
        <v>0</v>
      </c>
      <c r="Q60" s="36"/>
      <c r="R60" s="75"/>
      <c r="S60" s="75"/>
      <c r="T60" s="75"/>
      <c r="U60" s="75"/>
      <c r="V60" s="74"/>
    </row>
    <row r="61" spans="1:26" ht="15.75" hidden="1" customHeight="1">
      <c r="A61" s="69">
        <v>3</v>
      </c>
      <c r="B61" s="70" t="s">
        <v>146</v>
      </c>
      <c r="C61" s="71" t="s">
        <v>102</v>
      </c>
      <c r="D61" s="72"/>
      <c r="E61" s="30">
        <v>1</v>
      </c>
      <c r="F61" s="30" t="s">
        <v>103</v>
      </c>
      <c r="G61" s="73"/>
      <c r="H61" s="28">
        <f>G61*E61</f>
        <v>0</v>
      </c>
      <c r="J61" s="30"/>
      <c r="K61" s="41"/>
      <c r="L61" s="32"/>
      <c r="M61" s="32"/>
      <c r="N61" s="33"/>
      <c r="O61" s="34"/>
      <c r="P61" s="35">
        <f t="shared" si="2"/>
        <v>0</v>
      </c>
      <c r="Q61" s="36"/>
      <c r="R61" s="75"/>
      <c r="S61" s="75"/>
      <c r="T61" s="75"/>
      <c r="U61" s="75"/>
      <c r="V61" s="74"/>
    </row>
    <row r="62" spans="1:26" ht="15.75" hidden="1" customHeight="1">
      <c r="A62" s="77" t="s">
        <v>147</v>
      </c>
      <c r="B62" s="78"/>
      <c r="C62" s="79"/>
      <c r="D62" s="79"/>
      <c r="E62" s="80"/>
      <c r="F62" s="79"/>
      <c r="G62" s="81"/>
      <c r="H62" s="82"/>
      <c r="J62" s="30"/>
      <c r="K62" s="41"/>
      <c r="L62" s="32"/>
      <c r="M62" s="32"/>
      <c r="N62" s="33"/>
      <c r="O62" s="34"/>
      <c r="P62" s="35">
        <f t="shared" si="2"/>
        <v>0</v>
      </c>
      <c r="Q62" s="36"/>
      <c r="R62" s="75"/>
      <c r="S62" s="75"/>
      <c r="T62" s="75"/>
      <c r="U62" s="75"/>
      <c r="V62" s="74"/>
    </row>
    <row r="63" spans="1:26" ht="15.75" customHeight="1">
      <c r="A63" s="23">
        <v>1</v>
      </c>
      <c r="B63" s="24" t="s">
        <v>148</v>
      </c>
      <c r="C63" s="25" t="s">
        <v>149</v>
      </c>
      <c r="D63" s="30"/>
      <c r="E63" s="30"/>
      <c r="F63" s="30"/>
      <c r="G63" s="73"/>
      <c r="H63" s="28">
        <f t="shared" ref="H63:H76" si="3">G63*E63</f>
        <v>0</v>
      </c>
      <c r="I63" s="29"/>
      <c r="J63" s="30"/>
      <c r="K63" s="39" t="s">
        <v>91</v>
      </c>
      <c r="L63" s="40" t="s">
        <v>150</v>
      </c>
      <c r="M63" s="41" t="s">
        <v>39</v>
      </c>
      <c r="N63" s="55">
        <v>8390</v>
      </c>
      <c r="O63" s="34">
        <f>'Measurement Sheet_FINAL'!H678</f>
        <v>15</v>
      </c>
      <c r="P63" s="35">
        <f t="shared" si="2"/>
        <v>125850</v>
      </c>
      <c r="Q63" s="36"/>
      <c r="R63" s="50" t="s">
        <v>150</v>
      </c>
      <c r="S63" s="37">
        <v>8390</v>
      </c>
      <c r="T63" s="37">
        <f>S63*O63</f>
        <v>125850</v>
      </c>
      <c r="U63" s="37" t="s">
        <v>151</v>
      </c>
      <c r="V63" s="38" t="s">
        <v>152</v>
      </c>
      <c r="W63" s="29"/>
      <c r="X63" s="29"/>
      <c r="Y63" s="29"/>
      <c r="Z63" s="29"/>
    </row>
    <row r="64" spans="1:26" ht="15.75" hidden="1" customHeight="1">
      <c r="A64" s="69"/>
      <c r="B64" s="72" t="s">
        <v>153</v>
      </c>
      <c r="C64" s="71"/>
      <c r="D64" s="72" t="s">
        <v>154</v>
      </c>
      <c r="E64" s="30">
        <v>1</v>
      </c>
      <c r="F64" s="26" t="s">
        <v>103</v>
      </c>
      <c r="G64" s="83"/>
      <c r="H64" s="28">
        <f t="shared" si="3"/>
        <v>0</v>
      </c>
      <c r="J64" s="30"/>
      <c r="K64" s="84"/>
      <c r="L64" s="32"/>
      <c r="M64" s="32"/>
      <c r="N64" s="33"/>
      <c r="O64" s="34"/>
      <c r="P64" s="35">
        <f t="shared" si="2"/>
        <v>0</v>
      </c>
      <c r="Q64" s="36"/>
      <c r="R64" s="75"/>
      <c r="S64" s="75"/>
      <c r="T64" s="75"/>
      <c r="U64" s="75"/>
      <c r="V64" s="74"/>
    </row>
    <row r="65" spans="1:22" ht="15.75" hidden="1" customHeight="1">
      <c r="A65" s="69"/>
      <c r="B65" s="72" t="s">
        <v>155</v>
      </c>
      <c r="C65" s="71"/>
      <c r="D65" s="72" t="s">
        <v>154</v>
      </c>
      <c r="E65" s="30">
        <v>1</v>
      </c>
      <c r="F65" s="26" t="s">
        <v>103</v>
      </c>
      <c r="G65" s="83"/>
      <c r="H65" s="28">
        <f t="shared" si="3"/>
        <v>0</v>
      </c>
      <c r="J65" s="30"/>
      <c r="K65" s="84"/>
      <c r="L65" s="32"/>
      <c r="M65" s="32"/>
      <c r="N65" s="33"/>
      <c r="O65" s="34"/>
      <c r="P65" s="35">
        <f t="shared" si="2"/>
        <v>0</v>
      </c>
      <c r="Q65" s="36"/>
      <c r="R65" s="75"/>
      <c r="S65" s="75"/>
      <c r="T65" s="75"/>
      <c r="U65" s="75"/>
      <c r="V65" s="74"/>
    </row>
    <row r="66" spans="1:22" ht="15.75" hidden="1" customHeight="1">
      <c r="A66" s="69"/>
      <c r="B66" s="72" t="s">
        <v>156</v>
      </c>
      <c r="C66" s="71"/>
      <c r="D66" s="72" t="s">
        <v>154</v>
      </c>
      <c r="E66" s="30">
        <v>1</v>
      </c>
      <c r="F66" s="26" t="s">
        <v>103</v>
      </c>
      <c r="G66" s="83"/>
      <c r="H66" s="28">
        <f t="shared" si="3"/>
        <v>0</v>
      </c>
      <c r="J66" s="30"/>
      <c r="K66" s="84"/>
      <c r="L66" s="32"/>
      <c r="M66" s="32"/>
      <c r="N66" s="33"/>
      <c r="O66" s="34"/>
      <c r="P66" s="35">
        <f t="shared" si="2"/>
        <v>0</v>
      </c>
      <c r="Q66" s="36"/>
      <c r="R66" s="75"/>
      <c r="S66" s="75"/>
      <c r="T66" s="75"/>
      <c r="U66" s="75"/>
      <c r="V66" s="74"/>
    </row>
    <row r="67" spans="1:22" ht="15.75" hidden="1" customHeight="1">
      <c r="A67" s="69"/>
      <c r="B67" s="72" t="s">
        <v>157</v>
      </c>
      <c r="C67" s="71"/>
      <c r="D67" s="72" t="s">
        <v>154</v>
      </c>
      <c r="E67" s="30">
        <v>1</v>
      </c>
      <c r="F67" s="26" t="s">
        <v>103</v>
      </c>
      <c r="G67" s="83"/>
      <c r="H67" s="28">
        <f t="shared" si="3"/>
        <v>0</v>
      </c>
      <c r="J67" s="30"/>
      <c r="K67" s="84"/>
      <c r="L67" s="32"/>
      <c r="M67" s="32"/>
      <c r="N67" s="33"/>
      <c r="O67" s="34"/>
      <c r="P67" s="35">
        <f t="shared" si="2"/>
        <v>0</v>
      </c>
      <c r="Q67" s="36"/>
      <c r="R67" s="75"/>
      <c r="S67" s="75"/>
      <c r="T67" s="75"/>
      <c r="U67" s="75"/>
      <c r="V67" s="74"/>
    </row>
    <row r="68" spans="1:22" ht="15.75" hidden="1" customHeight="1">
      <c r="A68" s="69"/>
      <c r="B68" s="72" t="s">
        <v>158</v>
      </c>
      <c r="C68" s="71"/>
      <c r="D68" s="72" t="s">
        <v>154</v>
      </c>
      <c r="E68" s="30">
        <v>1</v>
      </c>
      <c r="F68" s="26" t="s">
        <v>103</v>
      </c>
      <c r="G68" s="83"/>
      <c r="H68" s="28">
        <f t="shared" si="3"/>
        <v>0</v>
      </c>
      <c r="J68" s="30"/>
      <c r="K68" s="84"/>
      <c r="L68" s="32"/>
      <c r="M68" s="32"/>
      <c r="N68" s="33"/>
      <c r="O68" s="34"/>
      <c r="P68" s="35">
        <f t="shared" si="2"/>
        <v>0</v>
      </c>
      <c r="Q68" s="36"/>
      <c r="R68" s="75"/>
      <c r="S68" s="75"/>
      <c r="T68" s="75"/>
      <c r="U68" s="75"/>
      <c r="V68" s="74"/>
    </row>
    <row r="69" spans="1:22" ht="15.75" hidden="1" customHeight="1">
      <c r="A69" s="69"/>
      <c r="B69" s="72" t="s">
        <v>159</v>
      </c>
      <c r="C69" s="71"/>
      <c r="D69" s="72" t="s">
        <v>154</v>
      </c>
      <c r="E69" s="30">
        <v>1</v>
      </c>
      <c r="F69" s="26" t="s">
        <v>103</v>
      </c>
      <c r="G69" s="83"/>
      <c r="H69" s="28">
        <f t="shared" si="3"/>
        <v>0</v>
      </c>
      <c r="J69" s="30"/>
      <c r="K69" s="84"/>
      <c r="L69" s="32"/>
      <c r="M69" s="32"/>
      <c r="N69" s="33"/>
      <c r="O69" s="34"/>
      <c r="P69" s="35">
        <f t="shared" si="2"/>
        <v>0</v>
      </c>
      <c r="Q69" s="36"/>
      <c r="R69" s="75"/>
      <c r="S69" s="75"/>
      <c r="T69" s="75"/>
      <c r="U69" s="75"/>
      <c r="V69" s="74"/>
    </row>
    <row r="70" spans="1:22" ht="15.75" customHeight="1">
      <c r="A70" s="69">
        <v>2</v>
      </c>
      <c r="B70" s="70" t="s">
        <v>160</v>
      </c>
      <c r="C70" s="25" t="s">
        <v>161</v>
      </c>
      <c r="D70" s="72"/>
      <c r="E70" s="30"/>
      <c r="F70" s="30"/>
      <c r="G70" s="83"/>
      <c r="H70" s="28">
        <f t="shared" si="3"/>
        <v>0</v>
      </c>
      <c r="J70" s="30"/>
      <c r="K70" s="39" t="s">
        <v>91</v>
      </c>
      <c r="L70" s="40" t="s">
        <v>162</v>
      </c>
      <c r="M70" s="41" t="s">
        <v>39</v>
      </c>
      <c r="N70" s="55">
        <v>6441</v>
      </c>
      <c r="O70" s="34">
        <f>'Measurement Sheet_FINAL'!H712</f>
        <v>95.503530286138982</v>
      </c>
      <c r="P70" s="35">
        <f t="shared" si="2"/>
        <v>615138.23857302114</v>
      </c>
      <c r="Q70" s="36"/>
      <c r="R70" s="50" t="s">
        <v>162</v>
      </c>
      <c r="S70" s="149">
        <v>6441</v>
      </c>
      <c r="T70" s="37">
        <f>S70*O70</f>
        <v>615138.23857302114</v>
      </c>
      <c r="U70" s="37" t="s">
        <v>163</v>
      </c>
      <c r="V70" s="74" t="s">
        <v>164</v>
      </c>
    </row>
    <row r="71" spans="1:22" ht="15.75" hidden="1" customHeight="1">
      <c r="A71" s="69"/>
      <c r="B71" s="72" t="s">
        <v>165</v>
      </c>
      <c r="C71" s="71"/>
      <c r="D71" s="72" t="s">
        <v>166</v>
      </c>
      <c r="E71" s="30">
        <v>71</v>
      </c>
      <c r="F71" s="26" t="s">
        <v>34</v>
      </c>
      <c r="G71" s="83"/>
      <c r="H71" s="28">
        <f t="shared" si="3"/>
        <v>0</v>
      </c>
      <c r="J71" s="30"/>
      <c r="K71" s="41"/>
      <c r="L71" s="32"/>
      <c r="M71" s="32"/>
      <c r="N71" s="33"/>
      <c r="O71" s="34"/>
      <c r="P71" s="35">
        <f t="shared" si="2"/>
        <v>0</v>
      </c>
      <c r="Q71" s="36"/>
      <c r="R71" s="75"/>
      <c r="S71" s="75"/>
      <c r="T71" s="75"/>
      <c r="U71" s="75"/>
      <c r="V71" s="74"/>
    </row>
    <row r="72" spans="1:22" ht="15.75" hidden="1" customHeight="1">
      <c r="A72" s="69"/>
      <c r="B72" s="72" t="s">
        <v>167</v>
      </c>
      <c r="C72" s="71"/>
      <c r="D72" s="72" t="s">
        <v>166</v>
      </c>
      <c r="E72" s="30">
        <v>149</v>
      </c>
      <c r="F72" s="30" t="s">
        <v>34</v>
      </c>
      <c r="G72" s="83"/>
      <c r="H72" s="28">
        <f t="shared" si="3"/>
        <v>0</v>
      </c>
      <c r="J72" s="30"/>
      <c r="K72" s="41"/>
      <c r="L72" s="32"/>
      <c r="M72" s="32"/>
      <c r="N72" s="33"/>
      <c r="O72" s="34"/>
      <c r="P72" s="35">
        <f t="shared" si="2"/>
        <v>0</v>
      </c>
      <c r="Q72" s="36"/>
      <c r="R72" s="75"/>
      <c r="S72" s="75"/>
      <c r="T72" s="75"/>
      <c r="U72" s="75"/>
      <c r="V72" s="74"/>
    </row>
    <row r="73" spans="1:22" ht="15.75" hidden="1" customHeight="1">
      <c r="A73" s="69"/>
      <c r="B73" s="72" t="s">
        <v>168</v>
      </c>
      <c r="C73" s="71"/>
      <c r="D73" s="72" t="s">
        <v>166</v>
      </c>
      <c r="E73" s="30">
        <v>73</v>
      </c>
      <c r="F73" s="30" t="s">
        <v>34</v>
      </c>
      <c r="G73" s="83"/>
      <c r="H73" s="28">
        <f t="shared" si="3"/>
        <v>0</v>
      </c>
      <c r="J73" s="30"/>
      <c r="K73" s="41"/>
      <c r="L73" s="32"/>
      <c r="M73" s="32"/>
      <c r="N73" s="33"/>
      <c r="O73" s="34"/>
      <c r="P73" s="35">
        <f t="shared" si="2"/>
        <v>0</v>
      </c>
      <c r="Q73" s="36"/>
      <c r="R73" s="75"/>
      <c r="S73" s="75"/>
      <c r="T73" s="75"/>
      <c r="U73" s="75"/>
      <c r="V73" s="74"/>
    </row>
    <row r="74" spans="1:22" ht="15.75" hidden="1" customHeight="1">
      <c r="A74" s="69"/>
      <c r="B74" s="72" t="s">
        <v>169</v>
      </c>
      <c r="C74" s="71"/>
      <c r="D74" s="72" t="s">
        <v>166</v>
      </c>
      <c r="E74" s="30">
        <v>73</v>
      </c>
      <c r="F74" s="30" t="s">
        <v>34</v>
      </c>
      <c r="G74" s="83"/>
      <c r="H74" s="28">
        <f t="shared" si="3"/>
        <v>0</v>
      </c>
      <c r="J74" s="30"/>
      <c r="K74" s="41"/>
      <c r="L74" s="32"/>
      <c r="M74" s="32"/>
      <c r="N74" s="33"/>
      <c r="O74" s="34"/>
      <c r="P74" s="35">
        <f t="shared" si="2"/>
        <v>0</v>
      </c>
      <c r="Q74" s="36"/>
      <c r="R74" s="75"/>
      <c r="S74" s="75"/>
      <c r="T74" s="75"/>
      <c r="U74" s="75"/>
      <c r="V74" s="74"/>
    </row>
    <row r="75" spans="1:22" ht="15.75" hidden="1" customHeight="1">
      <c r="A75" s="69"/>
      <c r="B75" s="72" t="s">
        <v>170</v>
      </c>
      <c r="C75" s="71"/>
      <c r="D75" s="72" t="s">
        <v>166</v>
      </c>
      <c r="E75" s="30">
        <v>73</v>
      </c>
      <c r="F75" s="30" t="s">
        <v>34</v>
      </c>
      <c r="G75" s="83"/>
      <c r="H75" s="28">
        <f t="shared" si="3"/>
        <v>0</v>
      </c>
      <c r="J75" s="30"/>
      <c r="K75" s="41"/>
      <c r="L75" s="32"/>
      <c r="M75" s="32"/>
      <c r="N75" s="33"/>
      <c r="O75" s="34"/>
      <c r="P75" s="35">
        <f t="shared" si="2"/>
        <v>0</v>
      </c>
      <c r="Q75" s="36"/>
      <c r="R75" s="75"/>
      <c r="S75" s="75"/>
      <c r="T75" s="75"/>
      <c r="U75" s="75"/>
      <c r="V75" s="74"/>
    </row>
    <row r="76" spans="1:22" ht="15.75" hidden="1" customHeight="1">
      <c r="A76" s="69"/>
      <c r="B76" s="72" t="s">
        <v>171</v>
      </c>
      <c r="C76" s="71"/>
      <c r="D76" s="72" t="s">
        <v>166</v>
      </c>
      <c r="E76" s="30">
        <v>45</v>
      </c>
      <c r="F76" s="30" t="s">
        <v>34</v>
      </c>
      <c r="G76" s="83"/>
      <c r="H76" s="28">
        <f t="shared" si="3"/>
        <v>0</v>
      </c>
      <c r="J76" s="30"/>
      <c r="K76" s="41"/>
      <c r="L76" s="32"/>
      <c r="M76" s="32"/>
      <c r="N76" s="33"/>
      <c r="O76" s="34"/>
      <c r="P76" s="35">
        <f t="shared" si="2"/>
        <v>0</v>
      </c>
      <c r="Q76" s="36"/>
      <c r="R76" s="75"/>
      <c r="S76" s="75"/>
      <c r="T76" s="75"/>
      <c r="U76" s="75"/>
      <c r="V76" s="74"/>
    </row>
    <row r="77" spans="1:22" ht="114.75" customHeight="1">
      <c r="A77" s="85"/>
      <c r="B77" s="86"/>
      <c r="C77" s="87"/>
      <c r="D77" s="86"/>
      <c r="E77" s="88"/>
      <c r="F77" s="88"/>
      <c r="G77" s="89"/>
      <c r="H77" s="90"/>
      <c r="J77" s="30"/>
      <c r="K77" s="41">
        <v>9.1539999999999999</v>
      </c>
      <c r="L77" s="40" t="s">
        <v>176</v>
      </c>
      <c r="M77" s="32" t="s">
        <v>172</v>
      </c>
      <c r="N77" s="147">
        <v>133.35</v>
      </c>
      <c r="O77" s="34" t="e">
        <f>'Measurement Sheet_FINAL'!#REF!</f>
        <v>#REF!</v>
      </c>
      <c r="P77" s="35" t="e">
        <f t="shared" si="2"/>
        <v>#REF!</v>
      </c>
      <c r="Q77" s="36" t="s">
        <v>173</v>
      </c>
      <c r="R77" s="48" t="s">
        <v>719</v>
      </c>
      <c r="S77" s="75">
        <v>151.16999999999999</v>
      </c>
      <c r="T77" s="37" t="e">
        <f>S77*O77</f>
        <v>#REF!</v>
      </c>
      <c r="U77" s="37" t="s">
        <v>174</v>
      </c>
      <c r="V77" s="74" t="s">
        <v>175</v>
      </c>
    </row>
    <row r="78" spans="1:22" ht="15.75" customHeight="1">
      <c r="A78" s="85"/>
      <c r="B78" s="86"/>
      <c r="C78" s="87"/>
      <c r="D78" s="86"/>
      <c r="E78" s="88"/>
      <c r="F78" s="88"/>
      <c r="G78" s="89"/>
      <c r="H78" s="90"/>
      <c r="J78" s="30"/>
      <c r="K78" s="44" t="s">
        <v>91</v>
      </c>
      <c r="L78" s="40" t="s">
        <v>180</v>
      </c>
      <c r="M78" s="41" t="s">
        <v>39</v>
      </c>
      <c r="N78" s="147">
        <v>850</v>
      </c>
      <c r="O78" s="34">
        <f>O80</f>
        <v>393.6559364548495</v>
      </c>
      <c r="P78" s="35">
        <f t="shared" si="2"/>
        <v>334607.54598662205</v>
      </c>
      <c r="Q78" s="42" t="s">
        <v>177</v>
      </c>
      <c r="R78" s="31" t="s">
        <v>720</v>
      </c>
      <c r="S78" s="75">
        <v>518.08000000000004</v>
      </c>
      <c r="T78" s="37">
        <f>S78*O78</f>
        <v>203945.26755852843</v>
      </c>
      <c r="U78" s="37" t="s">
        <v>178</v>
      </c>
      <c r="V78" s="74" t="s">
        <v>179</v>
      </c>
    </row>
    <row r="79" spans="1:22" ht="15.75" customHeight="1">
      <c r="A79" s="85"/>
      <c r="B79" s="86"/>
      <c r="C79" s="87"/>
      <c r="D79" s="86"/>
      <c r="E79" s="88"/>
      <c r="F79" s="88"/>
      <c r="G79" s="89"/>
      <c r="H79" s="90"/>
      <c r="J79" s="30"/>
      <c r="K79" s="57" t="s">
        <v>181</v>
      </c>
      <c r="L79" s="40" t="s">
        <v>182</v>
      </c>
      <c r="M79" s="32"/>
      <c r="N79" s="33"/>
      <c r="O79" s="34"/>
      <c r="P79" s="35"/>
      <c r="Q79" s="42"/>
      <c r="R79" s="75"/>
      <c r="S79" s="75"/>
      <c r="T79" s="75"/>
      <c r="U79" s="75"/>
      <c r="V79" s="74"/>
    </row>
    <row r="80" spans="1:22" ht="15.75" customHeight="1">
      <c r="A80" s="85"/>
      <c r="B80" s="86"/>
      <c r="C80" s="87"/>
      <c r="D80" s="86"/>
      <c r="E80" s="88"/>
      <c r="F80" s="88"/>
      <c r="G80" s="89"/>
      <c r="H80" s="90"/>
      <c r="J80" s="30"/>
      <c r="K80" s="57" t="s">
        <v>183</v>
      </c>
      <c r="L80" s="40" t="s">
        <v>184</v>
      </c>
      <c r="M80" s="32" t="s">
        <v>185</v>
      </c>
      <c r="N80" s="33">
        <v>921.35</v>
      </c>
      <c r="O80" s="34">
        <f>'Measurement Sheet_FINAL'!H738</f>
        <v>393.6559364548495</v>
      </c>
      <c r="P80" s="35">
        <f t="shared" ref="P80:P85" si="4">O80*N80</f>
        <v>362694.8970526756</v>
      </c>
      <c r="Q80" s="91" t="s">
        <v>186</v>
      </c>
      <c r="R80" s="75"/>
      <c r="S80" s="75"/>
      <c r="T80" s="75"/>
      <c r="U80" s="75"/>
      <c r="V80" s="74"/>
    </row>
    <row r="81" spans="1:22" ht="15.75" hidden="1" customHeight="1">
      <c r="A81" s="77" t="s">
        <v>187</v>
      </c>
      <c r="B81" s="78"/>
      <c r="C81" s="79"/>
      <c r="D81" s="79"/>
      <c r="E81" s="80"/>
      <c r="F81" s="79"/>
      <c r="G81" s="81"/>
      <c r="H81" s="82"/>
      <c r="J81" s="30"/>
      <c r="K81" s="41"/>
      <c r="L81" s="40"/>
      <c r="M81" s="32"/>
      <c r="N81" s="33"/>
      <c r="O81" s="34"/>
      <c r="P81" s="35">
        <f t="shared" si="4"/>
        <v>0</v>
      </c>
      <c r="Q81" s="42"/>
      <c r="R81" s="75"/>
      <c r="S81" s="75"/>
      <c r="T81" s="75"/>
      <c r="U81" s="75"/>
      <c r="V81" s="74"/>
    </row>
    <row r="82" spans="1:22" ht="15.75" hidden="1" customHeight="1">
      <c r="A82" s="69">
        <v>1</v>
      </c>
      <c r="B82" s="70" t="s">
        <v>188</v>
      </c>
      <c r="C82" s="71" t="s">
        <v>189</v>
      </c>
      <c r="D82" s="72" t="s">
        <v>190</v>
      </c>
      <c r="E82" s="30">
        <v>1500</v>
      </c>
      <c r="F82" s="30" t="s">
        <v>34</v>
      </c>
      <c r="G82" s="83"/>
      <c r="H82" s="28">
        <f>G82*E82</f>
        <v>0</v>
      </c>
      <c r="J82" s="30"/>
      <c r="K82" s="41"/>
      <c r="L82" s="32"/>
      <c r="M82" s="32"/>
      <c r="N82" s="33"/>
      <c r="O82" s="34"/>
      <c r="P82" s="35">
        <f t="shared" si="4"/>
        <v>0</v>
      </c>
      <c r="Q82" s="36"/>
      <c r="R82" s="75"/>
      <c r="S82" s="75"/>
      <c r="T82" s="75"/>
      <c r="U82" s="75"/>
      <c r="V82" s="74"/>
    </row>
    <row r="83" spans="1:22" ht="15.75" hidden="1" customHeight="1">
      <c r="A83" s="69"/>
      <c r="B83" s="70"/>
      <c r="C83" s="71" t="s">
        <v>191</v>
      </c>
      <c r="D83" s="72" t="s">
        <v>192</v>
      </c>
      <c r="E83" s="30">
        <v>150</v>
      </c>
      <c r="F83" s="30" t="s">
        <v>34</v>
      </c>
      <c r="G83" s="83"/>
      <c r="H83" s="28">
        <f>G83*E83</f>
        <v>0</v>
      </c>
      <c r="J83" s="30"/>
      <c r="K83" s="41"/>
      <c r="L83" s="32"/>
      <c r="M83" s="32"/>
      <c r="N83" s="33"/>
      <c r="O83" s="34"/>
      <c r="P83" s="35">
        <f t="shared" si="4"/>
        <v>0</v>
      </c>
      <c r="Q83" s="36"/>
      <c r="R83" s="75"/>
      <c r="S83" s="75"/>
      <c r="T83" s="75"/>
      <c r="U83" s="75"/>
      <c r="V83" s="74"/>
    </row>
    <row r="84" spans="1:22" ht="15.75" customHeight="1">
      <c r="A84" s="69">
        <v>2</v>
      </c>
      <c r="B84" s="70" t="s">
        <v>193</v>
      </c>
      <c r="C84" s="71" t="s">
        <v>194</v>
      </c>
      <c r="D84" s="72" t="s">
        <v>195</v>
      </c>
      <c r="E84" s="30">
        <v>43</v>
      </c>
      <c r="F84" s="30" t="s">
        <v>34</v>
      </c>
      <c r="G84" s="83"/>
      <c r="H84" s="28">
        <f>G84*E84</f>
        <v>0</v>
      </c>
      <c r="J84" s="30"/>
      <c r="K84" s="41" t="s">
        <v>196</v>
      </c>
      <c r="L84" s="40" t="s">
        <v>197</v>
      </c>
      <c r="M84" s="32" t="s">
        <v>39</v>
      </c>
      <c r="N84" s="147">
        <v>3086.1</v>
      </c>
      <c r="O84" s="34">
        <f>'Measurement Sheet_FINAL'!H810</f>
        <v>20</v>
      </c>
      <c r="P84" s="35">
        <f t="shared" si="4"/>
        <v>61722</v>
      </c>
      <c r="Q84" s="36" t="s">
        <v>198</v>
      </c>
      <c r="R84" s="31" t="s">
        <v>721</v>
      </c>
      <c r="S84" s="148">
        <v>2461.0300000000002</v>
      </c>
      <c r="T84" s="37">
        <f>S84*O84</f>
        <v>49220.600000000006</v>
      </c>
      <c r="U84" s="37" t="s">
        <v>199</v>
      </c>
      <c r="V84" s="74" t="s">
        <v>200</v>
      </c>
    </row>
    <row r="85" spans="1:22" ht="15.75" customHeight="1">
      <c r="A85" s="69"/>
      <c r="B85" s="70"/>
      <c r="C85" s="71" t="s">
        <v>201</v>
      </c>
      <c r="D85" s="72" t="s">
        <v>195</v>
      </c>
      <c r="E85" s="30">
        <v>30</v>
      </c>
      <c r="F85" s="30" t="s">
        <v>34</v>
      </c>
      <c r="G85" s="83"/>
      <c r="H85" s="28">
        <f>G85*E85</f>
        <v>0</v>
      </c>
      <c r="J85" s="30"/>
      <c r="K85" s="41">
        <v>9.23</v>
      </c>
      <c r="L85" s="40" t="s">
        <v>202</v>
      </c>
      <c r="M85" s="32" t="s">
        <v>39</v>
      </c>
      <c r="N85" s="147">
        <v>401.4</v>
      </c>
      <c r="O85" s="34">
        <f>O84</f>
        <v>20</v>
      </c>
      <c r="P85" s="35">
        <f t="shared" si="4"/>
        <v>8028</v>
      </c>
      <c r="Q85" s="36" t="s">
        <v>198</v>
      </c>
      <c r="R85" s="49" t="s">
        <v>722</v>
      </c>
      <c r="S85" s="49">
        <v>358.39</v>
      </c>
      <c r="T85" s="37">
        <f>S85*O85</f>
        <v>7167.7999999999993</v>
      </c>
      <c r="U85" s="37" t="s">
        <v>203</v>
      </c>
      <c r="V85" s="74" t="s">
        <v>204</v>
      </c>
    </row>
    <row r="86" spans="1:22" ht="15.75" customHeight="1">
      <c r="A86" s="69"/>
      <c r="B86" s="70"/>
      <c r="C86" s="71"/>
      <c r="D86" s="72"/>
      <c r="E86" s="30"/>
      <c r="F86" s="30"/>
      <c r="G86" s="83"/>
      <c r="H86" s="28"/>
      <c r="J86" s="30"/>
      <c r="K86" s="41">
        <v>9.24</v>
      </c>
      <c r="L86" s="40" t="s">
        <v>205</v>
      </c>
      <c r="M86" s="32"/>
      <c r="N86" s="33"/>
      <c r="O86" s="34"/>
      <c r="P86" s="35"/>
      <c r="Q86" s="36"/>
      <c r="R86" s="75"/>
      <c r="S86" s="75"/>
      <c r="T86" s="75"/>
      <c r="U86" s="75"/>
      <c r="V86" s="74"/>
    </row>
    <row r="87" spans="1:22" ht="15.75" customHeight="1">
      <c r="A87" s="69"/>
      <c r="B87" s="70"/>
      <c r="C87" s="71"/>
      <c r="D87" s="72"/>
      <c r="E87" s="30"/>
      <c r="F87" s="30"/>
      <c r="G87" s="83"/>
      <c r="H87" s="28"/>
      <c r="J87" s="30"/>
      <c r="K87" s="41" t="s">
        <v>206</v>
      </c>
      <c r="L87" s="40" t="s">
        <v>207</v>
      </c>
      <c r="M87" s="32" t="s">
        <v>39</v>
      </c>
      <c r="N87" s="33">
        <v>173.95</v>
      </c>
      <c r="O87" s="34" t="e">
        <f>'Measurement Sheet_FINAL'!#REF!</f>
        <v>#REF!</v>
      </c>
      <c r="P87" s="35" t="e">
        <f>O87*N87</f>
        <v>#REF!</v>
      </c>
      <c r="Q87" s="36" t="s">
        <v>208</v>
      </c>
      <c r="R87" s="75"/>
      <c r="S87" s="75"/>
      <c r="T87" s="75"/>
      <c r="U87" s="75"/>
      <c r="V87" s="74"/>
    </row>
    <row r="88" spans="1:22" ht="15.75" customHeight="1">
      <c r="A88" s="69"/>
      <c r="B88" s="70"/>
      <c r="C88" s="71"/>
      <c r="D88" s="72"/>
      <c r="E88" s="30"/>
      <c r="F88" s="30"/>
      <c r="G88" s="83"/>
      <c r="H88" s="28"/>
      <c r="J88" s="30"/>
      <c r="K88" s="41" t="s">
        <v>209</v>
      </c>
      <c r="L88" s="40" t="s">
        <v>210</v>
      </c>
      <c r="M88" s="32" t="s">
        <v>39</v>
      </c>
      <c r="N88" s="33">
        <v>180.6</v>
      </c>
      <c r="O88" s="34" t="e">
        <f>'Measurement Sheet_FINAL'!#REF!</f>
        <v>#REF!</v>
      </c>
      <c r="P88" s="35" t="e">
        <f>O88*N88</f>
        <v>#REF!</v>
      </c>
      <c r="Q88" s="36" t="s">
        <v>211</v>
      </c>
      <c r="R88" s="75"/>
      <c r="S88" s="75"/>
      <c r="T88" s="75"/>
      <c r="U88" s="75"/>
      <c r="V88" s="74"/>
    </row>
    <row r="89" spans="1:22" ht="15.75" customHeight="1">
      <c r="A89" s="69"/>
      <c r="B89" s="70"/>
      <c r="C89" s="71"/>
      <c r="D89" s="72"/>
      <c r="E89" s="30"/>
      <c r="F89" s="30"/>
      <c r="G89" s="83"/>
      <c r="H89" s="28"/>
      <c r="J89" s="30"/>
      <c r="K89" s="41">
        <v>9.26</v>
      </c>
      <c r="L89" s="40" t="s">
        <v>212</v>
      </c>
      <c r="M89" s="32" t="s">
        <v>39</v>
      </c>
      <c r="N89" s="33">
        <v>93.65</v>
      </c>
      <c r="O89" s="34" t="e">
        <f>'Measurement Sheet_FINAL'!#REF!</f>
        <v>#REF!</v>
      </c>
      <c r="P89" s="35" t="e">
        <f>O89*N89</f>
        <v>#REF!</v>
      </c>
      <c r="Q89" s="36"/>
      <c r="R89" s="75"/>
      <c r="S89" s="75"/>
      <c r="T89" s="75"/>
      <c r="U89" s="75"/>
      <c r="V89" s="74"/>
    </row>
    <row r="90" spans="1:22" ht="15.75" customHeight="1">
      <c r="A90" s="69"/>
      <c r="B90" s="70"/>
      <c r="C90" s="71"/>
      <c r="D90" s="72"/>
      <c r="E90" s="30"/>
      <c r="F90" s="30"/>
      <c r="G90" s="83"/>
      <c r="H90" s="28"/>
      <c r="J90" s="30"/>
      <c r="K90" s="41">
        <v>9.7200000000000006</v>
      </c>
      <c r="L90" s="40" t="s">
        <v>213</v>
      </c>
      <c r="M90" s="32"/>
      <c r="N90" s="33"/>
      <c r="O90" s="34"/>
      <c r="P90" s="35"/>
      <c r="Q90" s="36"/>
      <c r="R90" s="75"/>
      <c r="S90" s="75"/>
      <c r="T90" s="75"/>
      <c r="U90" s="75"/>
      <c r="V90" s="74"/>
    </row>
    <row r="91" spans="1:22" ht="15.75" customHeight="1">
      <c r="A91" s="69"/>
      <c r="B91" s="70"/>
      <c r="C91" s="71"/>
      <c r="D91" s="72"/>
      <c r="E91" s="30"/>
      <c r="F91" s="30"/>
      <c r="G91" s="83"/>
      <c r="H91" s="28"/>
      <c r="J91" s="30"/>
      <c r="K91" s="41" t="s">
        <v>214</v>
      </c>
      <c r="L91" s="40" t="s">
        <v>215</v>
      </c>
      <c r="M91" s="32" t="s">
        <v>216</v>
      </c>
      <c r="N91" s="33">
        <v>157.44999999999999</v>
      </c>
      <c r="O91" s="34" t="e">
        <f>'Measurement Sheet_FINAL'!#REF!</f>
        <v>#REF!</v>
      </c>
      <c r="P91" s="35" t="e">
        <f>O91*N91</f>
        <v>#REF!</v>
      </c>
      <c r="Q91" s="36" t="s">
        <v>217</v>
      </c>
      <c r="R91" s="75"/>
      <c r="S91" s="75"/>
      <c r="T91" s="75"/>
      <c r="U91" s="75"/>
      <c r="V91" s="74"/>
    </row>
    <row r="92" spans="1:22" ht="15.75" customHeight="1">
      <c r="A92" s="69"/>
      <c r="B92" s="70"/>
      <c r="C92" s="71" t="s">
        <v>218</v>
      </c>
      <c r="D92" s="72" t="s">
        <v>195</v>
      </c>
      <c r="E92" s="30">
        <v>22</v>
      </c>
      <c r="F92" s="30" t="s">
        <v>34</v>
      </c>
      <c r="G92" s="83"/>
      <c r="H92" s="28">
        <f>G92*E92</f>
        <v>0</v>
      </c>
      <c r="J92" s="30"/>
      <c r="K92" s="41">
        <v>9.74</v>
      </c>
      <c r="L92" s="40" t="s">
        <v>219</v>
      </c>
      <c r="M92" s="32"/>
      <c r="N92" s="33"/>
      <c r="O92" s="34"/>
      <c r="P92" s="35"/>
      <c r="Q92" s="36"/>
      <c r="R92" s="31" t="s">
        <v>723</v>
      </c>
      <c r="S92" s="75"/>
      <c r="T92" s="75"/>
      <c r="U92" s="75"/>
      <c r="V92" s="74"/>
    </row>
    <row r="93" spans="1:22" ht="15.75" customHeight="1">
      <c r="A93" s="69"/>
      <c r="B93" s="70"/>
      <c r="C93" s="71"/>
      <c r="D93" s="72"/>
      <c r="E93" s="30"/>
      <c r="F93" s="30"/>
      <c r="G93" s="83"/>
      <c r="H93" s="28"/>
      <c r="J93" s="30"/>
      <c r="K93" s="41" t="s">
        <v>220</v>
      </c>
      <c r="L93" s="40" t="s">
        <v>221</v>
      </c>
      <c r="M93" s="32" t="s">
        <v>216</v>
      </c>
      <c r="N93" s="147">
        <v>374.35</v>
      </c>
      <c r="O93" s="34" t="e">
        <f>'Measurement Sheet_FINAL'!#REF!</f>
        <v>#REF!</v>
      </c>
      <c r="P93" s="35" t="e">
        <f t="shared" ref="P93:P118" si="5">O93*N93</f>
        <v>#REF!</v>
      </c>
      <c r="Q93" s="36" t="s">
        <v>222</v>
      </c>
      <c r="R93" s="49" t="s">
        <v>221</v>
      </c>
      <c r="S93" s="75">
        <v>92.46</v>
      </c>
      <c r="T93" s="37" t="e">
        <f>S93*O93</f>
        <v>#REF!</v>
      </c>
      <c r="U93" s="75" t="s">
        <v>724</v>
      </c>
      <c r="V93" s="74" t="s">
        <v>725</v>
      </c>
    </row>
    <row r="94" spans="1:22" ht="15.75" customHeight="1">
      <c r="A94" s="69"/>
      <c r="B94" s="70"/>
      <c r="C94" s="71" t="s">
        <v>694</v>
      </c>
      <c r="D94" s="72" t="s">
        <v>195</v>
      </c>
      <c r="E94" s="30">
        <v>26</v>
      </c>
      <c r="F94" s="30" t="s">
        <v>34</v>
      </c>
      <c r="G94" s="83"/>
      <c r="H94" s="28">
        <f t="shared" ref="H94:H105" si="6">G94*E94</f>
        <v>0</v>
      </c>
      <c r="J94" s="30" t="s">
        <v>36</v>
      </c>
      <c r="K94" s="57">
        <v>9.77</v>
      </c>
      <c r="L94" s="40" t="s">
        <v>682</v>
      </c>
      <c r="M94" s="32" t="s">
        <v>216</v>
      </c>
      <c r="N94" s="147">
        <v>603.4</v>
      </c>
      <c r="O94" s="34" t="e">
        <f>'Measurement Sheet_FINAL'!#REF!</f>
        <v>#REF!</v>
      </c>
      <c r="P94" s="35" t="e">
        <f t="shared" si="5"/>
        <v>#REF!</v>
      </c>
      <c r="Q94" s="36" t="s">
        <v>223</v>
      </c>
      <c r="R94" s="31" t="s">
        <v>726</v>
      </c>
      <c r="S94" s="75">
        <v>720.04</v>
      </c>
      <c r="T94" s="37" t="e">
        <f>S94*O94</f>
        <v>#REF!</v>
      </c>
      <c r="U94" s="75" t="s">
        <v>224</v>
      </c>
      <c r="V94" s="74" t="s">
        <v>225</v>
      </c>
    </row>
    <row r="95" spans="1:22" ht="15.75" customHeight="1">
      <c r="A95" s="69"/>
      <c r="B95" s="70"/>
      <c r="C95" s="71" t="s">
        <v>226</v>
      </c>
      <c r="D95" s="72" t="s">
        <v>195</v>
      </c>
      <c r="E95" s="30">
        <v>22</v>
      </c>
      <c r="F95" s="30" t="s">
        <v>34</v>
      </c>
      <c r="G95" s="83"/>
      <c r="H95" s="28">
        <f t="shared" si="6"/>
        <v>0</v>
      </c>
      <c r="J95" s="30" t="s">
        <v>36</v>
      </c>
      <c r="K95" s="57">
        <v>9.84</v>
      </c>
      <c r="L95" s="40" t="s">
        <v>227</v>
      </c>
      <c r="M95" s="32" t="s">
        <v>216</v>
      </c>
      <c r="N95" s="55">
        <v>856.3</v>
      </c>
      <c r="O95" s="34" t="e">
        <f>O94</f>
        <v>#REF!</v>
      </c>
      <c r="P95" s="35" t="e">
        <f t="shared" si="5"/>
        <v>#REF!</v>
      </c>
      <c r="Q95" s="36" t="s">
        <v>223</v>
      </c>
      <c r="R95" s="48" t="s">
        <v>727</v>
      </c>
      <c r="S95" s="75">
        <v>856.3</v>
      </c>
      <c r="T95" s="37" t="e">
        <f>S95*O95</f>
        <v>#REF!</v>
      </c>
      <c r="U95" s="37" t="s">
        <v>228</v>
      </c>
      <c r="V95" s="74" t="s">
        <v>229</v>
      </c>
    </row>
    <row r="96" spans="1:22" ht="15.75" customHeight="1">
      <c r="A96" s="69"/>
      <c r="B96" s="70"/>
      <c r="C96" s="71" t="s">
        <v>230</v>
      </c>
      <c r="D96" s="72" t="s">
        <v>195</v>
      </c>
      <c r="E96" s="30">
        <v>30</v>
      </c>
      <c r="F96" s="30" t="s">
        <v>34</v>
      </c>
      <c r="G96" s="83"/>
      <c r="H96" s="28">
        <f t="shared" si="6"/>
        <v>0</v>
      </c>
      <c r="J96" s="30"/>
      <c r="K96" s="39" t="s">
        <v>91</v>
      </c>
      <c r="L96" s="40" t="s">
        <v>231</v>
      </c>
      <c r="M96" s="32" t="s">
        <v>232</v>
      </c>
      <c r="N96" s="55">
        <v>2092.73</v>
      </c>
      <c r="O96" s="34" t="e">
        <f>'Measurement Sheet_FINAL'!#REF!</f>
        <v>#REF!</v>
      </c>
      <c r="P96" s="35" t="e">
        <f t="shared" si="5"/>
        <v>#REF!</v>
      </c>
      <c r="Q96" s="36" t="s">
        <v>233</v>
      </c>
      <c r="R96" s="31" t="s">
        <v>231</v>
      </c>
      <c r="S96" s="75">
        <v>2092.73</v>
      </c>
      <c r="T96" s="37" t="e">
        <f>S96*O96</f>
        <v>#REF!</v>
      </c>
      <c r="U96" s="75" t="s">
        <v>234</v>
      </c>
      <c r="V96" s="74" t="s">
        <v>235</v>
      </c>
    </row>
    <row r="97" spans="1:26" ht="15.75" hidden="1" customHeight="1">
      <c r="A97" s="23">
        <v>4</v>
      </c>
      <c r="B97" s="24" t="s">
        <v>236</v>
      </c>
      <c r="C97" s="92" t="s">
        <v>237</v>
      </c>
      <c r="D97" s="30" t="s">
        <v>238</v>
      </c>
      <c r="E97" s="30">
        <v>124</v>
      </c>
      <c r="F97" s="30" t="s">
        <v>34</v>
      </c>
      <c r="G97" s="83"/>
      <c r="H97" s="28">
        <f t="shared" si="6"/>
        <v>0</v>
      </c>
      <c r="I97" s="29"/>
      <c r="J97" s="30"/>
      <c r="K97" s="57" t="s">
        <v>91</v>
      </c>
      <c r="L97" s="93" t="s">
        <v>239</v>
      </c>
      <c r="M97" s="92"/>
      <c r="N97" s="33">
        <v>6500</v>
      </c>
      <c r="O97" s="34"/>
      <c r="P97" s="35">
        <f t="shared" si="5"/>
        <v>0</v>
      </c>
      <c r="Q97" s="36"/>
      <c r="R97" s="37"/>
      <c r="S97" s="37"/>
      <c r="T97" s="37"/>
      <c r="U97" s="37"/>
      <c r="V97" s="38"/>
      <c r="W97" s="29"/>
      <c r="X97" s="29"/>
      <c r="Y97" s="29"/>
      <c r="Z97" s="29"/>
    </row>
    <row r="98" spans="1:26" ht="15.75" hidden="1" customHeight="1">
      <c r="A98" s="23">
        <v>5</v>
      </c>
      <c r="B98" s="24" t="s">
        <v>240</v>
      </c>
      <c r="C98" s="94" t="s">
        <v>241</v>
      </c>
      <c r="D98" s="30" t="s">
        <v>195</v>
      </c>
      <c r="E98" s="30">
        <v>27</v>
      </c>
      <c r="F98" s="30" t="s">
        <v>34</v>
      </c>
      <c r="G98" s="83"/>
      <c r="H98" s="28">
        <f t="shared" si="6"/>
        <v>0</v>
      </c>
      <c r="I98" s="29"/>
      <c r="J98" s="30"/>
      <c r="K98" s="57" t="s">
        <v>91</v>
      </c>
      <c r="L98" s="94" t="s">
        <v>241</v>
      </c>
      <c r="M98" s="92"/>
      <c r="N98" s="33"/>
      <c r="O98" s="34"/>
      <c r="P98" s="35">
        <f t="shared" si="5"/>
        <v>0</v>
      </c>
      <c r="Q98" s="36" t="s">
        <v>242</v>
      </c>
      <c r="R98" s="37"/>
      <c r="S98" s="37"/>
      <c r="T98" s="37"/>
      <c r="U98" s="37"/>
      <c r="V98" s="38"/>
      <c r="W98" s="29"/>
      <c r="X98" s="29"/>
      <c r="Y98" s="29"/>
      <c r="Z98" s="29"/>
    </row>
    <row r="99" spans="1:26" ht="15.75" hidden="1" customHeight="1">
      <c r="A99" s="69">
        <v>6</v>
      </c>
      <c r="B99" s="70" t="s">
        <v>54</v>
      </c>
      <c r="C99" s="71" t="s">
        <v>243</v>
      </c>
      <c r="D99" s="72" t="s">
        <v>244</v>
      </c>
      <c r="E99" s="30">
        <v>20</v>
      </c>
      <c r="F99" s="30" t="s">
        <v>34</v>
      </c>
      <c r="G99" s="83"/>
      <c r="H99" s="28">
        <f t="shared" si="6"/>
        <v>0</v>
      </c>
      <c r="J99" s="30"/>
      <c r="K99" s="57" t="s">
        <v>91</v>
      </c>
      <c r="L99" s="71" t="s">
        <v>243</v>
      </c>
      <c r="M99" s="32"/>
      <c r="N99" s="33"/>
      <c r="O99" s="34"/>
      <c r="P99" s="35">
        <f t="shared" si="5"/>
        <v>0</v>
      </c>
      <c r="Q99" s="36" t="s">
        <v>242</v>
      </c>
      <c r="R99" s="75"/>
      <c r="S99" s="75"/>
      <c r="T99" s="75"/>
      <c r="U99" s="75"/>
      <c r="V99" s="74"/>
    </row>
    <row r="100" spans="1:26" ht="15.75" hidden="1" customHeight="1">
      <c r="A100" s="69"/>
      <c r="B100" s="70"/>
      <c r="C100" s="71" t="s">
        <v>245</v>
      </c>
      <c r="D100" s="72" t="s">
        <v>244</v>
      </c>
      <c r="E100" s="30">
        <v>24</v>
      </c>
      <c r="F100" s="30" t="s">
        <v>34</v>
      </c>
      <c r="G100" s="83"/>
      <c r="H100" s="28">
        <f t="shared" si="6"/>
        <v>0</v>
      </c>
      <c r="J100" s="30"/>
      <c r="K100" s="57" t="s">
        <v>91</v>
      </c>
      <c r="L100" s="71" t="s">
        <v>245</v>
      </c>
      <c r="M100" s="32"/>
      <c r="N100" s="33"/>
      <c r="O100" s="34"/>
      <c r="P100" s="35">
        <f t="shared" si="5"/>
        <v>0</v>
      </c>
      <c r="Q100" s="36" t="s">
        <v>242</v>
      </c>
      <c r="R100" s="75"/>
      <c r="S100" s="75"/>
      <c r="T100" s="75"/>
      <c r="U100" s="75"/>
      <c r="V100" s="74"/>
    </row>
    <row r="101" spans="1:26" ht="15.75" hidden="1" customHeight="1">
      <c r="A101" s="69">
        <v>7</v>
      </c>
      <c r="B101" s="70" t="s">
        <v>246</v>
      </c>
      <c r="C101" s="71" t="s">
        <v>247</v>
      </c>
      <c r="D101" s="72" t="s">
        <v>195</v>
      </c>
      <c r="E101" s="30">
        <v>162</v>
      </c>
      <c r="F101" s="30" t="s">
        <v>34</v>
      </c>
      <c r="G101" s="83"/>
      <c r="H101" s="28">
        <f t="shared" si="6"/>
        <v>0</v>
      </c>
      <c r="J101" s="30"/>
      <c r="K101" s="57" t="s">
        <v>91</v>
      </c>
      <c r="L101" s="71" t="s">
        <v>247</v>
      </c>
      <c r="M101" s="32"/>
      <c r="N101" s="33"/>
      <c r="O101" s="34"/>
      <c r="P101" s="35">
        <f t="shared" si="5"/>
        <v>0</v>
      </c>
      <c r="Q101" s="36" t="s">
        <v>242</v>
      </c>
      <c r="R101" s="75"/>
      <c r="S101" s="75"/>
      <c r="T101" s="75"/>
      <c r="U101" s="75"/>
      <c r="V101" s="74"/>
    </row>
    <row r="102" spans="1:26" ht="15.75" hidden="1" customHeight="1">
      <c r="A102" s="69">
        <v>8</v>
      </c>
      <c r="B102" s="70" t="s">
        <v>248</v>
      </c>
      <c r="C102" s="71" t="s">
        <v>249</v>
      </c>
      <c r="D102" s="72" t="s">
        <v>195</v>
      </c>
      <c r="E102" s="30">
        <v>60</v>
      </c>
      <c r="F102" s="30" t="s">
        <v>34</v>
      </c>
      <c r="G102" s="83"/>
      <c r="H102" s="28">
        <f t="shared" si="6"/>
        <v>0</v>
      </c>
      <c r="J102" s="30"/>
      <c r="K102" s="57" t="s">
        <v>91</v>
      </c>
      <c r="L102" s="71" t="s">
        <v>249</v>
      </c>
      <c r="M102" s="32"/>
      <c r="N102" s="33"/>
      <c r="O102" s="34"/>
      <c r="P102" s="35">
        <f t="shared" si="5"/>
        <v>0</v>
      </c>
      <c r="Q102" s="36" t="s">
        <v>242</v>
      </c>
      <c r="R102" s="75"/>
      <c r="S102" s="75"/>
      <c r="T102" s="75"/>
      <c r="U102" s="75"/>
      <c r="V102" s="74"/>
    </row>
    <row r="103" spans="1:26" ht="15.75" hidden="1" customHeight="1">
      <c r="A103" s="23"/>
      <c r="B103" s="24"/>
      <c r="C103" s="94" t="s">
        <v>250</v>
      </c>
      <c r="D103" s="30" t="s">
        <v>251</v>
      </c>
      <c r="E103" s="30">
        <v>55</v>
      </c>
      <c r="F103" s="30" t="s">
        <v>34</v>
      </c>
      <c r="G103" s="83"/>
      <c r="H103" s="28">
        <f t="shared" si="6"/>
        <v>0</v>
      </c>
      <c r="I103" s="29"/>
      <c r="J103" s="30"/>
      <c r="K103" s="57" t="s">
        <v>91</v>
      </c>
      <c r="L103" s="94" t="s">
        <v>250</v>
      </c>
      <c r="M103" s="92"/>
      <c r="N103" s="33"/>
      <c r="O103" s="34"/>
      <c r="P103" s="35">
        <f t="shared" si="5"/>
        <v>0</v>
      </c>
      <c r="Q103" s="36" t="s">
        <v>242</v>
      </c>
      <c r="R103" s="37"/>
      <c r="S103" s="37"/>
      <c r="T103" s="37"/>
      <c r="U103" s="37"/>
      <c r="V103" s="38"/>
      <c r="W103" s="29"/>
      <c r="X103" s="29"/>
      <c r="Y103" s="29"/>
      <c r="Z103" s="29"/>
    </row>
    <row r="104" spans="1:26" ht="15.75" hidden="1" customHeight="1">
      <c r="A104" s="69">
        <v>9</v>
      </c>
      <c r="B104" s="70" t="s">
        <v>252</v>
      </c>
      <c r="C104" s="71" t="s">
        <v>253</v>
      </c>
      <c r="D104" s="72" t="s">
        <v>251</v>
      </c>
      <c r="E104" s="30">
        <v>26</v>
      </c>
      <c r="F104" s="30" t="s">
        <v>34</v>
      </c>
      <c r="G104" s="83"/>
      <c r="H104" s="28">
        <f t="shared" si="6"/>
        <v>0</v>
      </c>
      <c r="J104" s="30"/>
      <c r="K104" s="57" t="s">
        <v>91</v>
      </c>
      <c r="L104" s="71" t="s">
        <v>253</v>
      </c>
      <c r="M104" s="32"/>
      <c r="N104" s="33"/>
      <c r="O104" s="34"/>
      <c r="P104" s="35">
        <f t="shared" si="5"/>
        <v>0</v>
      </c>
      <c r="Q104" s="36" t="s">
        <v>242</v>
      </c>
      <c r="R104" s="75"/>
      <c r="S104" s="75"/>
      <c r="T104" s="75"/>
      <c r="U104" s="75"/>
      <c r="V104" s="74"/>
    </row>
    <row r="105" spans="1:26" ht="15.75" hidden="1" customHeight="1">
      <c r="A105" s="69"/>
      <c r="B105" s="70"/>
      <c r="C105" s="71" t="s">
        <v>254</v>
      </c>
      <c r="D105" s="72" t="s">
        <v>251</v>
      </c>
      <c r="E105" s="30">
        <v>11</v>
      </c>
      <c r="F105" s="30" t="s">
        <v>34</v>
      </c>
      <c r="G105" s="83"/>
      <c r="H105" s="28">
        <f t="shared" si="6"/>
        <v>0</v>
      </c>
      <c r="J105" s="30"/>
      <c r="K105" s="57" t="s">
        <v>91</v>
      </c>
      <c r="L105" s="71" t="s">
        <v>254</v>
      </c>
      <c r="M105" s="32"/>
      <c r="N105" s="33"/>
      <c r="O105" s="34"/>
      <c r="P105" s="35">
        <f t="shared" si="5"/>
        <v>0</v>
      </c>
      <c r="Q105" s="36" t="s">
        <v>242</v>
      </c>
      <c r="R105" s="75"/>
      <c r="S105" s="75"/>
      <c r="T105" s="75"/>
      <c r="U105" s="75"/>
      <c r="V105" s="74"/>
    </row>
    <row r="106" spans="1:26" ht="15.75" hidden="1" customHeight="1">
      <c r="A106" s="77" t="s">
        <v>255</v>
      </c>
      <c r="B106" s="78"/>
      <c r="C106" s="79"/>
      <c r="D106" s="79"/>
      <c r="E106" s="80"/>
      <c r="F106" s="79"/>
      <c r="G106" s="81"/>
      <c r="H106" s="82"/>
      <c r="J106" s="30"/>
      <c r="K106" s="41"/>
      <c r="L106" s="79"/>
      <c r="M106" s="32"/>
      <c r="N106" s="33"/>
      <c r="O106" s="34"/>
      <c r="P106" s="35">
        <f t="shared" si="5"/>
        <v>0</v>
      </c>
      <c r="Q106" s="36"/>
      <c r="R106" s="75"/>
      <c r="S106" s="75"/>
      <c r="T106" s="75"/>
      <c r="U106" s="75"/>
      <c r="V106" s="74"/>
    </row>
    <row r="107" spans="1:26" ht="15.75" hidden="1" customHeight="1">
      <c r="A107" s="69">
        <v>1</v>
      </c>
      <c r="B107" s="70" t="s">
        <v>246</v>
      </c>
      <c r="C107" s="71" t="s">
        <v>256</v>
      </c>
      <c r="D107" s="72" t="s">
        <v>257</v>
      </c>
      <c r="E107" s="30">
        <v>12</v>
      </c>
      <c r="F107" s="30" t="s">
        <v>103</v>
      </c>
      <c r="G107" s="83"/>
      <c r="H107" s="28">
        <f t="shared" ref="H107:H118" si="7">G107*E107</f>
        <v>0</v>
      </c>
      <c r="J107" s="30"/>
      <c r="K107" s="57" t="s">
        <v>91</v>
      </c>
      <c r="L107" s="71" t="s">
        <v>256</v>
      </c>
      <c r="M107" s="32"/>
      <c r="N107" s="33"/>
      <c r="O107" s="34"/>
      <c r="P107" s="35">
        <f t="shared" si="5"/>
        <v>0</v>
      </c>
      <c r="Q107" s="36" t="s">
        <v>242</v>
      </c>
      <c r="R107" s="75"/>
      <c r="S107" s="75"/>
      <c r="T107" s="75"/>
      <c r="U107" s="75"/>
      <c r="V107" s="74"/>
    </row>
    <row r="108" spans="1:26" ht="15.75" hidden="1" customHeight="1">
      <c r="A108" s="69"/>
      <c r="B108" s="70"/>
      <c r="C108" s="71" t="s">
        <v>258</v>
      </c>
      <c r="D108" s="72" t="s">
        <v>257</v>
      </c>
      <c r="E108" s="30">
        <v>20</v>
      </c>
      <c r="F108" s="30" t="s">
        <v>34</v>
      </c>
      <c r="G108" s="83"/>
      <c r="H108" s="28">
        <f t="shared" si="7"/>
        <v>0</v>
      </c>
      <c r="J108" s="30"/>
      <c r="K108" s="57" t="s">
        <v>91</v>
      </c>
      <c r="L108" s="71" t="s">
        <v>258</v>
      </c>
      <c r="M108" s="32"/>
      <c r="N108" s="33"/>
      <c r="O108" s="34"/>
      <c r="P108" s="35">
        <f t="shared" si="5"/>
        <v>0</v>
      </c>
      <c r="Q108" s="36" t="s">
        <v>242</v>
      </c>
      <c r="R108" s="75"/>
      <c r="S108" s="75"/>
      <c r="T108" s="75"/>
      <c r="U108" s="75"/>
      <c r="V108" s="74"/>
    </row>
    <row r="109" spans="1:26" ht="15.75" hidden="1" customHeight="1">
      <c r="A109" s="69"/>
      <c r="B109" s="70"/>
      <c r="C109" s="71" t="s">
        <v>259</v>
      </c>
      <c r="D109" s="72" t="s">
        <v>257</v>
      </c>
      <c r="E109" s="30">
        <v>12</v>
      </c>
      <c r="F109" s="30" t="s">
        <v>34</v>
      </c>
      <c r="G109" s="83"/>
      <c r="H109" s="28">
        <f t="shared" si="7"/>
        <v>0</v>
      </c>
      <c r="J109" s="30"/>
      <c r="K109" s="41"/>
      <c r="L109" s="71" t="s">
        <v>260</v>
      </c>
      <c r="M109" s="32"/>
      <c r="N109" s="33"/>
      <c r="O109" s="34"/>
      <c r="P109" s="35">
        <f t="shared" si="5"/>
        <v>0</v>
      </c>
      <c r="Q109" s="36"/>
      <c r="R109" s="75"/>
      <c r="S109" s="75"/>
      <c r="T109" s="75"/>
      <c r="U109" s="75"/>
      <c r="V109" s="74"/>
    </row>
    <row r="110" spans="1:26" ht="15.75" hidden="1" customHeight="1">
      <c r="A110" s="69">
        <v>2</v>
      </c>
      <c r="B110" s="70" t="s">
        <v>261</v>
      </c>
      <c r="C110" s="71" t="s">
        <v>262</v>
      </c>
      <c r="D110" s="72" t="s">
        <v>257</v>
      </c>
      <c r="E110" s="30">
        <v>1</v>
      </c>
      <c r="F110" s="30" t="s">
        <v>103</v>
      </c>
      <c r="G110" s="83"/>
      <c r="H110" s="28">
        <f t="shared" si="7"/>
        <v>0</v>
      </c>
      <c r="J110" s="30"/>
      <c r="K110" s="57" t="s">
        <v>91</v>
      </c>
      <c r="L110" s="71" t="s">
        <v>262</v>
      </c>
      <c r="M110" s="32"/>
      <c r="N110" s="33"/>
      <c r="O110" s="34"/>
      <c r="P110" s="35">
        <f t="shared" si="5"/>
        <v>0</v>
      </c>
      <c r="Q110" s="36" t="s">
        <v>242</v>
      </c>
      <c r="R110" s="75"/>
      <c r="S110" s="75"/>
      <c r="T110" s="75"/>
      <c r="U110" s="75"/>
      <c r="V110" s="74"/>
    </row>
    <row r="111" spans="1:26" ht="15.75" hidden="1" customHeight="1">
      <c r="A111" s="69"/>
      <c r="B111" s="70"/>
      <c r="C111" s="71" t="s">
        <v>263</v>
      </c>
      <c r="D111" s="72" t="s">
        <v>195</v>
      </c>
      <c r="E111" s="30">
        <v>9</v>
      </c>
      <c r="F111" s="30" t="s">
        <v>34</v>
      </c>
      <c r="G111" s="83"/>
      <c r="H111" s="28">
        <f t="shared" si="7"/>
        <v>0</v>
      </c>
      <c r="J111" s="30"/>
      <c r="K111" s="57" t="s">
        <v>91</v>
      </c>
      <c r="L111" s="71" t="s">
        <v>263</v>
      </c>
      <c r="M111" s="32"/>
      <c r="N111" s="33"/>
      <c r="O111" s="34"/>
      <c r="P111" s="35">
        <f t="shared" si="5"/>
        <v>0</v>
      </c>
      <c r="Q111" s="36" t="s">
        <v>242</v>
      </c>
      <c r="R111" s="75"/>
      <c r="S111" s="75"/>
      <c r="T111" s="75"/>
      <c r="U111" s="75"/>
      <c r="V111" s="74"/>
    </row>
    <row r="112" spans="1:26" ht="15.75" hidden="1" customHeight="1">
      <c r="A112" s="69">
        <v>3</v>
      </c>
      <c r="B112" s="70" t="s">
        <v>264</v>
      </c>
      <c r="C112" s="71" t="s">
        <v>262</v>
      </c>
      <c r="D112" s="72" t="s">
        <v>257</v>
      </c>
      <c r="E112" s="30">
        <v>1</v>
      </c>
      <c r="F112" s="30" t="s">
        <v>103</v>
      </c>
      <c r="G112" s="83"/>
      <c r="H112" s="28">
        <f t="shared" si="7"/>
        <v>0</v>
      </c>
      <c r="J112" s="30"/>
      <c r="K112" s="57" t="s">
        <v>91</v>
      </c>
      <c r="L112" s="71" t="s">
        <v>262</v>
      </c>
      <c r="M112" s="32"/>
      <c r="N112" s="33"/>
      <c r="O112" s="34"/>
      <c r="P112" s="35">
        <f t="shared" si="5"/>
        <v>0</v>
      </c>
      <c r="Q112" s="36" t="s">
        <v>242</v>
      </c>
      <c r="R112" s="75"/>
      <c r="S112" s="75"/>
      <c r="T112" s="75"/>
      <c r="U112" s="75"/>
      <c r="V112" s="74"/>
    </row>
    <row r="113" spans="1:22" ht="15.75" hidden="1" customHeight="1">
      <c r="A113" s="69"/>
      <c r="B113" s="70"/>
      <c r="C113" s="71" t="s">
        <v>263</v>
      </c>
      <c r="D113" s="72" t="s">
        <v>195</v>
      </c>
      <c r="E113" s="30">
        <v>9</v>
      </c>
      <c r="F113" s="30" t="s">
        <v>34</v>
      </c>
      <c r="G113" s="83"/>
      <c r="H113" s="28">
        <f t="shared" si="7"/>
        <v>0</v>
      </c>
      <c r="J113" s="30"/>
      <c r="K113" s="57" t="s">
        <v>91</v>
      </c>
      <c r="L113" s="71" t="s">
        <v>263</v>
      </c>
      <c r="M113" s="32"/>
      <c r="N113" s="33"/>
      <c r="O113" s="34"/>
      <c r="P113" s="35">
        <f t="shared" si="5"/>
        <v>0</v>
      </c>
      <c r="Q113" s="36" t="s">
        <v>242</v>
      </c>
      <c r="R113" s="75"/>
      <c r="S113" s="75"/>
      <c r="T113" s="75"/>
      <c r="U113" s="75"/>
      <c r="V113" s="74"/>
    </row>
    <row r="114" spans="1:22" ht="15.75" hidden="1" customHeight="1">
      <c r="A114" s="69">
        <v>4</v>
      </c>
      <c r="B114" s="70" t="s">
        <v>265</v>
      </c>
      <c r="C114" s="71" t="s">
        <v>262</v>
      </c>
      <c r="D114" s="72" t="s">
        <v>257</v>
      </c>
      <c r="E114" s="30">
        <v>1</v>
      </c>
      <c r="F114" s="30" t="s">
        <v>103</v>
      </c>
      <c r="G114" s="83"/>
      <c r="H114" s="28">
        <f t="shared" si="7"/>
        <v>0</v>
      </c>
      <c r="J114" s="30"/>
      <c r="K114" s="57" t="s">
        <v>91</v>
      </c>
      <c r="L114" s="71" t="s">
        <v>262</v>
      </c>
      <c r="M114" s="32"/>
      <c r="N114" s="33"/>
      <c r="O114" s="34"/>
      <c r="P114" s="35">
        <f t="shared" si="5"/>
        <v>0</v>
      </c>
      <c r="Q114" s="36" t="s">
        <v>242</v>
      </c>
      <c r="R114" s="75"/>
      <c r="S114" s="75"/>
      <c r="T114" s="75"/>
      <c r="U114" s="75"/>
      <c r="V114" s="74"/>
    </row>
    <row r="115" spans="1:22" ht="15.75" hidden="1" customHeight="1">
      <c r="A115" s="69"/>
      <c r="B115" s="70"/>
      <c r="C115" s="71" t="s">
        <v>263</v>
      </c>
      <c r="D115" s="72" t="s">
        <v>195</v>
      </c>
      <c r="E115" s="30">
        <v>9</v>
      </c>
      <c r="F115" s="30" t="s">
        <v>34</v>
      </c>
      <c r="G115" s="83"/>
      <c r="H115" s="28">
        <f t="shared" si="7"/>
        <v>0</v>
      </c>
      <c r="J115" s="30"/>
      <c r="K115" s="57" t="s">
        <v>91</v>
      </c>
      <c r="L115" s="71" t="s">
        <v>263</v>
      </c>
      <c r="M115" s="32"/>
      <c r="N115" s="33"/>
      <c r="O115" s="34"/>
      <c r="P115" s="35">
        <f t="shared" si="5"/>
        <v>0</v>
      </c>
      <c r="Q115" s="36" t="s">
        <v>242</v>
      </c>
      <c r="R115" s="75"/>
      <c r="S115" s="75"/>
      <c r="T115" s="75"/>
      <c r="U115" s="75"/>
      <c r="V115" s="74"/>
    </row>
    <row r="116" spans="1:22" ht="15.75" hidden="1" customHeight="1">
      <c r="A116" s="69">
        <v>5</v>
      </c>
      <c r="B116" s="70" t="s">
        <v>266</v>
      </c>
      <c r="C116" s="71" t="s">
        <v>262</v>
      </c>
      <c r="D116" s="72" t="s">
        <v>257</v>
      </c>
      <c r="E116" s="30">
        <v>1</v>
      </c>
      <c r="F116" s="30" t="s">
        <v>103</v>
      </c>
      <c r="G116" s="83"/>
      <c r="H116" s="28">
        <f t="shared" si="7"/>
        <v>0</v>
      </c>
      <c r="J116" s="30"/>
      <c r="K116" s="57" t="s">
        <v>91</v>
      </c>
      <c r="L116" s="71" t="s">
        <v>262</v>
      </c>
      <c r="M116" s="32"/>
      <c r="N116" s="33"/>
      <c r="O116" s="34"/>
      <c r="P116" s="35">
        <f t="shared" si="5"/>
        <v>0</v>
      </c>
      <c r="Q116" s="36" t="s">
        <v>242</v>
      </c>
      <c r="R116" s="75"/>
      <c r="S116" s="75"/>
      <c r="T116" s="75"/>
      <c r="U116" s="75"/>
      <c r="V116" s="74"/>
    </row>
    <row r="117" spans="1:22" ht="15.75" hidden="1" customHeight="1">
      <c r="A117" s="69"/>
      <c r="B117" s="70"/>
      <c r="C117" s="71" t="s">
        <v>263</v>
      </c>
      <c r="D117" s="72" t="s">
        <v>195</v>
      </c>
      <c r="E117" s="30">
        <v>9</v>
      </c>
      <c r="F117" s="30" t="s">
        <v>34</v>
      </c>
      <c r="G117" s="83"/>
      <c r="H117" s="28">
        <f t="shared" si="7"/>
        <v>0</v>
      </c>
      <c r="J117" s="30"/>
      <c r="K117" s="57" t="s">
        <v>91</v>
      </c>
      <c r="L117" s="71" t="s">
        <v>263</v>
      </c>
      <c r="M117" s="32"/>
      <c r="N117" s="33"/>
      <c r="O117" s="34"/>
      <c r="P117" s="35">
        <f t="shared" si="5"/>
        <v>0</v>
      </c>
      <c r="Q117" s="36" t="s">
        <v>242</v>
      </c>
      <c r="R117" s="75"/>
      <c r="S117" s="75"/>
      <c r="T117" s="75"/>
      <c r="U117" s="75"/>
      <c r="V117" s="74"/>
    </row>
    <row r="118" spans="1:22" ht="15.75" hidden="1" customHeight="1">
      <c r="A118" s="69">
        <v>6</v>
      </c>
      <c r="B118" s="70" t="s">
        <v>267</v>
      </c>
      <c r="C118" s="71" t="s">
        <v>268</v>
      </c>
      <c r="D118" s="72" t="s">
        <v>195</v>
      </c>
      <c r="E118" s="30">
        <v>23</v>
      </c>
      <c r="F118" s="30" t="s">
        <v>34</v>
      </c>
      <c r="G118" s="83"/>
      <c r="H118" s="28">
        <f t="shared" si="7"/>
        <v>0</v>
      </c>
      <c r="J118" s="30"/>
      <c r="K118" s="57" t="s">
        <v>91</v>
      </c>
      <c r="L118" s="71" t="s">
        <v>268</v>
      </c>
      <c r="M118" s="32"/>
      <c r="N118" s="33"/>
      <c r="O118" s="34"/>
      <c r="P118" s="35">
        <f t="shared" si="5"/>
        <v>0</v>
      </c>
      <c r="Q118" s="36" t="s">
        <v>242</v>
      </c>
      <c r="R118" s="75"/>
      <c r="S118" s="75"/>
      <c r="T118" s="75"/>
      <c r="U118" s="75"/>
      <c r="V118" s="74"/>
    </row>
    <row r="119" spans="1:22" ht="15.75" hidden="1" customHeight="1">
      <c r="A119" s="77" t="s">
        <v>269</v>
      </c>
      <c r="B119" s="78"/>
      <c r="C119" s="79"/>
      <c r="D119" s="79"/>
      <c r="E119" s="80"/>
      <c r="F119" s="79"/>
      <c r="G119" s="81"/>
      <c r="H119" s="82"/>
      <c r="J119" s="30"/>
      <c r="K119" s="41"/>
      <c r="L119" s="79"/>
      <c r="M119" s="32"/>
      <c r="N119" s="33"/>
      <c r="O119" s="34"/>
      <c r="P119" s="35"/>
      <c r="Q119" s="36"/>
      <c r="R119" s="75"/>
      <c r="S119" s="75"/>
      <c r="T119" s="75"/>
      <c r="U119" s="75"/>
      <c r="V119" s="74"/>
    </row>
    <row r="120" spans="1:22" ht="15.75" hidden="1" customHeight="1">
      <c r="A120" s="69">
        <v>1</v>
      </c>
      <c r="B120" s="70" t="s">
        <v>240</v>
      </c>
      <c r="C120" s="71" t="s">
        <v>270</v>
      </c>
      <c r="D120" s="72"/>
      <c r="E120" s="30">
        <v>2</v>
      </c>
      <c r="F120" s="30" t="s">
        <v>103</v>
      </c>
      <c r="G120" s="73"/>
      <c r="H120" s="28">
        <f>G120*E120</f>
        <v>0</v>
      </c>
      <c r="J120" s="30"/>
      <c r="K120" s="57" t="s">
        <v>91</v>
      </c>
      <c r="L120" s="71" t="s">
        <v>270</v>
      </c>
      <c r="M120" s="32"/>
      <c r="N120" s="33"/>
      <c r="O120" s="34"/>
      <c r="P120" s="35">
        <f>O120*N120</f>
        <v>0</v>
      </c>
      <c r="Q120" s="36" t="s">
        <v>242</v>
      </c>
      <c r="R120" s="75"/>
      <c r="S120" s="75"/>
      <c r="T120" s="75"/>
      <c r="U120" s="75"/>
      <c r="V120" s="74"/>
    </row>
    <row r="121" spans="1:22" ht="15.75" hidden="1" customHeight="1">
      <c r="A121" s="69"/>
      <c r="B121" s="70"/>
      <c r="C121" s="71" t="s">
        <v>271</v>
      </c>
      <c r="D121" s="72"/>
      <c r="E121" s="30">
        <v>2</v>
      </c>
      <c r="F121" s="30" t="s">
        <v>103</v>
      </c>
      <c r="G121" s="73"/>
      <c r="H121" s="28">
        <f>G121*E121</f>
        <v>0</v>
      </c>
      <c r="J121" s="30"/>
      <c r="K121" s="57" t="s">
        <v>91</v>
      </c>
      <c r="L121" s="71" t="s">
        <v>271</v>
      </c>
      <c r="M121" s="32"/>
      <c r="N121" s="33"/>
      <c r="O121" s="34"/>
      <c r="P121" s="35">
        <f>O121*N121</f>
        <v>0</v>
      </c>
      <c r="Q121" s="36" t="s">
        <v>242</v>
      </c>
      <c r="R121" s="75"/>
      <c r="S121" s="75"/>
      <c r="T121" s="75"/>
      <c r="U121" s="75"/>
      <c r="V121" s="74"/>
    </row>
    <row r="122" spans="1:22" ht="15.75" hidden="1" customHeight="1">
      <c r="A122" s="69">
        <v>2</v>
      </c>
      <c r="B122" s="70" t="s">
        <v>252</v>
      </c>
      <c r="C122" s="71" t="s">
        <v>270</v>
      </c>
      <c r="D122" s="72"/>
      <c r="E122" s="30">
        <v>1</v>
      </c>
      <c r="F122" s="30" t="s">
        <v>103</v>
      </c>
      <c r="G122" s="73"/>
      <c r="H122" s="28">
        <f>G122*E122</f>
        <v>0</v>
      </c>
      <c r="J122" s="30"/>
      <c r="K122" s="57" t="s">
        <v>91</v>
      </c>
      <c r="L122" s="71" t="s">
        <v>270</v>
      </c>
      <c r="M122" s="32"/>
      <c r="N122" s="33"/>
      <c r="O122" s="34"/>
      <c r="P122" s="35">
        <f>O122*N122</f>
        <v>0</v>
      </c>
      <c r="Q122" s="36" t="s">
        <v>242</v>
      </c>
      <c r="R122" s="75"/>
      <c r="S122" s="75"/>
      <c r="T122" s="75"/>
      <c r="U122" s="75"/>
      <c r="V122" s="74"/>
    </row>
    <row r="123" spans="1:22" ht="15.75" hidden="1" customHeight="1">
      <c r="A123" s="69"/>
      <c r="B123" s="70"/>
      <c r="C123" s="71" t="s">
        <v>272</v>
      </c>
      <c r="D123" s="72"/>
      <c r="E123" s="30">
        <v>1</v>
      </c>
      <c r="F123" s="30" t="s">
        <v>103</v>
      </c>
      <c r="G123" s="73"/>
      <c r="H123" s="28">
        <f>G123*E123</f>
        <v>0</v>
      </c>
      <c r="J123" s="30"/>
      <c r="K123" s="57" t="s">
        <v>91</v>
      </c>
      <c r="L123" s="71" t="s">
        <v>272</v>
      </c>
      <c r="M123" s="32"/>
      <c r="N123" s="33"/>
      <c r="O123" s="34"/>
      <c r="P123" s="35">
        <f>O123*N123</f>
        <v>0</v>
      </c>
      <c r="Q123" s="36" t="s">
        <v>242</v>
      </c>
      <c r="R123" s="75"/>
      <c r="S123" s="75"/>
      <c r="T123" s="75"/>
      <c r="U123" s="75"/>
      <c r="V123" s="74"/>
    </row>
    <row r="124" spans="1:22" ht="15.75" hidden="1" customHeight="1">
      <c r="A124" s="77" t="s">
        <v>273</v>
      </c>
      <c r="B124" s="78"/>
      <c r="C124" s="79"/>
      <c r="D124" s="79"/>
      <c r="E124" s="80"/>
      <c r="F124" s="79"/>
      <c r="G124" s="81"/>
      <c r="H124" s="82"/>
      <c r="J124" s="30"/>
      <c r="K124" s="41"/>
      <c r="L124" s="79"/>
      <c r="M124" s="32"/>
      <c r="N124" s="33"/>
      <c r="O124" s="34"/>
      <c r="P124" s="35"/>
      <c r="Q124" s="36"/>
      <c r="R124" s="75"/>
      <c r="S124" s="75"/>
      <c r="T124" s="75"/>
      <c r="U124" s="75"/>
      <c r="V124" s="74"/>
    </row>
    <row r="125" spans="1:22" ht="15.75" hidden="1" customHeight="1">
      <c r="A125" s="69">
        <v>1</v>
      </c>
      <c r="B125" s="70" t="s">
        <v>274</v>
      </c>
      <c r="C125" s="71"/>
      <c r="D125" s="72"/>
      <c r="E125" s="30">
        <v>4</v>
      </c>
      <c r="F125" s="30" t="s">
        <v>103</v>
      </c>
      <c r="G125" s="83"/>
      <c r="H125" s="28">
        <f>G125*E125</f>
        <v>0</v>
      </c>
      <c r="J125" s="30"/>
      <c r="K125" s="57" t="s">
        <v>91</v>
      </c>
      <c r="L125" s="95" t="s">
        <v>274</v>
      </c>
      <c r="M125" s="32"/>
      <c r="N125" s="33"/>
      <c r="O125" s="34"/>
      <c r="P125" s="35">
        <f>O125*N125</f>
        <v>0</v>
      </c>
      <c r="Q125" s="36" t="s">
        <v>242</v>
      </c>
      <c r="R125" s="75"/>
      <c r="S125" s="75"/>
      <c r="T125" s="75"/>
      <c r="U125" s="75"/>
      <c r="V125" s="74"/>
    </row>
    <row r="126" spans="1:22" ht="15.75" hidden="1" customHeight="1">
      <c r="A126" s="69">
        <v>2</v>
      </c>
      <c r="B126" s="70" t="s">
        <v>275</v>
      </c>
      <c r="C126" s="71"/>
      <c r="D126" s="72"/>
      <c r="E126" s="30">
        <v>38</v>
      </c>
      <c r="F126" s="30" t="s">
        <v>103</v>
      </c>
      <c r="G126" s="83"/>
      <c r="H126" s="28">
        <f>G126*E126</f>
        <v>0</v>
      </c>
      <c r="J126" s="30"/>
      <c r="K126" s="57" t="s">
        <v>91</v>
      </c>
      <c r="L126" s="95" t="s">
        <v>275</v>
      </c>
      <c r="M126" s="32"/>
      <c r="N126" s="33"/>
      <c r="O126" s="34"/>
      <c r="P126" s="35">
        <f>O126*N126</f>
        <v>0</v>
      </c>
      <c r="Q126" s="36" t="s">
        <v>242</v>
      </c>
      <c r="R126" s="75"/>
      <c r="S126" s="75"/>
      <c r="T126" s="75"/>
      <c r="U126" s="75"/>
      <c r="V126" s="74"/>
    </row>
    <row r="127" spans="1:22" ht="15.75" hidden="1" customHeight="1">
      <c r="A127" s="69">
        <v>3</v>
      </c>
      <c r="B127" s="70" t="s">
        <v>276</v>
      </c>
      <c r="C127" s="71"/>
      <c r="D127" s="72"/>
      <c r="E127" s="30">
        <v>1</v>
      </c>
      <c r="F127" s="30" t="s">
        <v>103</v>
      </c>
      <c r="G127" s="83"/>
      <c r="H127" s="28">
        <f>G127*E127</f>
        <v>0</v>
      </c>
      <c r="J127" s="30"/>
      <c r="K127" s="57" t="s">
        <v>91</v>
      </c>
      <c r="L127" s="95" t="s">
        <v>276</v>
      </c>
      <c r="M127" s="32"/>
      <c r="N127" s="33"/>
      <c r="O127" s="34"/>
      <c r="P127" s="35">
        <f>O127*N127</f>
        <v>0</v>
      </c>
      <c r="Q127" s="36" t="s">
        <v>242</v>
      </c>
      <c r="R127" s="75"/>
      <c r="S127" s="75"/>
      <c r="T127" s="75"/>
      <c r="U127" s="75"/>
      <c r="V127" s="74"/>
    </row>
    <row r="128" spans="1:22" ht="15.75" hidden="1" customHeight="1">
      <c r="A128" s="69">
        <v>4</v>
      </c>
      <c r="B128" s="70" t="s">
        <v>277</v>
      </c>
      <c r="C128" s="71"/>
      <c r="D128" s="72"/>
      <c r="E128" s="30">
        <v>4</v>
      </c>
      <c r="F128" s="30" t="s">
        <v>103</v>
      </c>
      <c r="G128" s="83"/>
      <c r="H128" s="28">
        <f>G128*E128</f>
        <v>0</v>
      </c>
      <c r="J128" s="30"/>
      <c r="K128" s="57" t="s">
        <v>91</v>
      </c>
      <c r="L128" s="95" t="s">
        <v>277</v>
      </c>
      <c r="M128" s="32"/>
      <c r="N128" s="33"/>
      <c r="O128" s="34"/>
      <c r="P128" s="35">
        <f>O128*N128</f>
        <v>0</v>
      </c>
      <c r="Q128" s="36" t="s">
        <v>242</v>
      </c>
      <c r="R128" s="75"/>
      <c r="S128" s="75"/>
      <c r="T128" s="75"/>
      <c r="U128" s="75"/>
      <c r="V128" s="74"/>
    </row>
    <row r="129" spans="1:26" ht="15.75" hidden="1" customHeight="1">
      <c r="A129" s="77" t="s">
        <v>278</v>
      </c>
      <c r="B129" s="78"/>
      <c r="C129" s="79"/>
      <c r="D129" s="79"/>
      <c r="E129" s="80"/>
      <c r="F129" s="79"/>
      <c r="G129" s="81"/>
      <c r="H129" s="82"/>
      <c r="J129" s="30"/>
      <c r="K129" s="41"/>
      <c r="L129" s="79"/>
      <c r="M129" s="32"/>
      <c r="N129" s="33"/>
      <c r="O129" s="34"/>
      <c r="P129" s="35"/>
      <c r="Q129" s="36"/>
      <c r="R129" s="75"/>
      <c r="S129" s="75"/>
      <c r="T129" s="75"/>
      <c r="U129" s="75"/>
      <c r="V129" s="74"/>
    </row>
    <row r="130" spans="1:26" ht="15.75" hidden="1" customHeight="1">
      <c r="A130" s="69">
        <v>1</v>
      </c>
      <c r="B130" s="70" t="s">
        <v>240</v>
      </c>
      <c r="C130" s="71" t="s">
        <v>279</v>
      </c>
      <c r="D130" s="72" t="s">
        <v>280</v>
      </c>
      <c r="E130" s="30">
        <v>15</v>
      </c>
      <c r="F130" s="30" t="s">
        <v>45</v>
      </c>
      <c r="G130" s="83"/>
      <c r="H130" s="28">
        <f>G130*E130</f>
        <v>0</v>
      </c>
      <c r="J130" s="30"/>
      <c r="K130" s="57" t="s">
        <v>91</v>
      </c>
      <c r="L130" s="71" t="s">
        <v>279</v>
      </c>
      <c r="M130" s="32"/>
      <c r="N130" s="33"/>
      <c r="O130" s="34"/>
      <c r="P130" s="35">
        <f t="shared" ref="P130:P140" si="8">O130*N130</f>
        <v>0</v>
      </c>
      <c r="Q130" s="36" t="s">
        <v>242</v>
      </c>
      <c r="R130" s="75"/>
      <c r="S130" s="75"/>
      <c r="T130" s="75"/>
      <c r="U130" s="75"/>
      <c r="V130" s="74"/>
    </row>
    <row r="131" spans="1:26" ht="15.75" hidden="1" customHeight="1">
      <c r="A131" s="69"/>
      <c r="B131" s="70"/>
      <c r="C131" s="71" t="s">
        <v>281</v>
      </c>
      <c r="D131" s="72" t="s">
        <v>280</v>
      </c>
      <c r="E131" s="30">
        <v>2</v>
      </c>
      <c r="F131" s="30" t="s">
        <v>103</v>
      </c>
      <c r="G131" s="83"/>
      <c r="H131" s="28">
        <f>G131*E131</f>
        <v>0</v>
      </c>
      <c r="J131" s="30"/>
      <c r="K131" s="57" t="s">
        <v>91</v>
      </c>
      <c r="L131" s="71" t="s">
        <v>281</v>
      </c>
      <c r="M131" s="32"/>
      <c r="N131" s="33"/>
      <c r="O131" s="34"/>
      <c r="P131" s="35">
        <f t="shared" si="8"/>
        <v>0</v>
      </c>
      <c r="Q131" s="36" t="s">
        <v>242</v>
      </c>
      <c r="R131" s="75"/>
      <c r="S131" s="75"/>
      <c r="T131" s="75"/>
      <c r="U131" s="75"/>
      <c r="V131" s="74"/>
    </row>
    <row r="132" spans="1:26" ht="15.75" hidden="1" customHeight="1">
      <c r="A132" s="69">
        <v>2</v>
      </c>
      <c r="B132" s="70" t="s">
        <v>252</v>
      </c>
      <c r="C132" s="71" t="s">
        <v>282</v>
      </c>
      <c r="D132" s="72" t="s">
        <v>280</v>
      </c>
      <c r="E132" s="30">
        <v>8</v>
      </c>
      <c r="F132" s="30" t="s">
        <v>45</v>
      </c>
      <c r="G132" s="83"/>
      <c r="H132" s="28">
        <f>G132*E132</f>
        <v>0</v>
      </c>
      <c r="J132" s="30"/>
      <c r="K132" s="57" t="s">
        <v>91</v>
      </c>
      <c r="L132" s="71" t="s">
        <v>282</v>
      </c>
      <c r="M132" s="32"/>
      <c r="N132" s="33"/>
      <c r="O132" s="34"/>
      <c r="P132" s="35">
        <f t="shared" si="8"/>
        <v>0</v>
      </c>
      <c r="Q132" s="36" t="s">
        <v>242</v>
      </c>
      <c r="R132" s="75"/>
      <c r="S132" s="75"/>
      <c r="T132" s="75"/>
      <c r="U132" s="75"/>
      <c r="V132" s="74"/>
    </row>
    <row r="133" spans="1:26" ht="15.75" hidden="1" customHeight="1">
      <c r="A133" s="69"/>
      <c r="B133" s="70"/>
      <c r="C133" s="71" t="s">
        <v>283</v>
      </c>
      <c r="D133" s="72" t="s">
        <v>280</v>
      </c>
      <c r="E133" s="30">
        <v>2</v>
      </c>
      <c r="F133" s="30" t="s">
        <v>103</v>
      </c>
      <c r="G133" s="83"/>
      <c r="H133" s="28">
        <f>G133*E133</f>
        <v>0</v>
      </c>
      <c r="J133" s="30"/>
      <c r="K133" s="57" t="s">
        <v>91</v>
      </c>
      <c r="L133" s="71" t="s">
        <v>283</v>
      </c>
      <c r="M133" s="32"/>
      <c r="N133" s="33"/>
      <c r="O133" s="34"/>
      <c r="P133" s="35">
        <f t="shared" si="8"/>
        <v>0</v>
      </c>
      <c r="Q133" s="36" t="s">
        <v>242</v>
      </c>
      <c r="R133" s="75"/>
      <c r="S133" s="75"/>
      <c r="T133" s="75"/>
      <c r="U133" s="75"/>
      <c r="V133" s="74"/>
    </row>
    <row r="134" spans="1:26" ht="15.75" hidden="1" customHeight="1">
      <c r="A134" s="77" t="s">
        <v>284</v>
      </c>
      <c r="B134" s="78"/>
      <c r="C134" s="79"/>
      <c r="D134" s="79"/>
      <c r="E134" s="80"/>
      <c r="F134" s="79"/>
      <c r="G134" s="81"/>
      <c r="H134" s="82"/>
      <c r="J134" s="30"/>
      <c r="K134" s="41"/>
      <c r="L134" s="79"/>
      <c r="M134" s="32"/>
      <c r="N134" s="33"/>
      <c r="O134" s="34"/>
      <c r="P134" s="35">
        <f t="shared" si="8"/>
        <v>0</v>
      </c>
      <c r="Q134" s="36"/>
      <c r="R134" s="75"/>
      <c r="S134" s="75"/>
      <c r="T134" s="75"/>
      <c r="U134" s="75"/>
      <c r="V134" s="74"/>
    </row>
    <row r="135" spans="1:26" ht="15.75" hidden="1" customHeight="1">
      <c r="A135" s="69">
        <v>1</v>
      </c>
      <c r="B135" s="70" t="s">
        <v>240</v>
      </c>
      <c r="C135" s="71" t="s">
        <v>285</v>
      </c>
      <c r="D135" s="72"/>
      <c r="E135" s="30">
        <v>1</v>
      </c>
      <c r="F135" s="30" t="s">
        <v>103</v>
      </c>
      <c r="G135" s="83"/>
      <c r="H135" s="28">
        <f>G135*E135</f>
        <v>0</v>
      </c>
      <c r="J135" s="30"/>
      <c r="K135" s="57" t="s">
        <v>91</v>
      </c>
      <c r="L135" s="71" t="s">
        <v>285</v>
      </c>
      <c r="M135" s="32"/>
      <c r="N135" s="33"/>
      <c r="O135" s="34"/>
      <c r="P135" s="35">
        <f t="shared" si="8"/>
        <v>0</v>
      </c>
      <c r="Q135" s="36" t="s">
        <v>286</v>
      </c>
      <c r="R135" s="75"/>
      <c r="S135" s="75"/>
      <c r="T135" s="75"/>
      <c r="U135" s="75"/>
      <c r="V135" s="74"/>
    </row>
    <row r="136" spans="1:26" ht="15.75" hidden="1" customHeight="1">
      <c r="A136" s="69">
        <v>2</v>
      </c>
      <c r="B136" s="70" t="s">
        <v>246</v>
      </c>
      <c r="C136" s="71" t="s">
        <v>287</v>
      </c>
      <c r="D136" s="72"/>
      <c r="E136" s="30">
        <v>1</v>
      </c>
      <c r="F136" s="30" t="s">
        <v>103</v>
      </c>
      <c r="G136" s="83"/>
      <c r="H136" s="28">
        <f>G136*E136</f>
        <v>0</v>
      </c>
      <c r="J136" s="30"/>
      <c r="K136" s="57" t="s">
        <v>91</v>
      </c>
      <c r="L136" s="71" t="s">
        <v>287</v>
      </c>
      <c r="M136" s="32"/>
      <c r="N136" s="33"/>
      <c r="O136" s="34"/>
      <c r="P136" s="35">
        <f t="shared" si="8"/>
        <v>0</v>
      </c>
      <c r="Q136" s="36" t="s">
        <v>286</v>
      </c>
      <c r="R136" s="75"/>
      <c r="S136" s="75"/>
      <c r="T136" s="75"/>
      <c r="U136" s="75"/>
      <c r="V136" s="74"/>
    </row>
    <row r="137" spans="1:26" ht="15.75" hidden="1" customHeight="1">
      <c r="A137" s="69">
        <v>3</v>
      </c>
      <c r="B137" s="70" t="s">
        <v>252</v>
      </c>
      <c r="C137" s="71" t="s">
        <v>288</v>
      </c>
      <c r="D137" s="72"/>
      <c r="E137" s="30">
        <v>1</v>
      </c>
      <c r="F137" s="30" t="s">
        <v>103</v>
      </c>
      <c r="G137" s="83"/>
      <c r="H137" s="28">
        <f>G137*E137</f>
        <v>0</v>
      </c>
      <c r="J137" s="30"/>
      <c r="K137" s="57" t="s">
        <v>91</v>
      </c>
      <c r="L137" s="71" t="s">
        <v>288</v>
      </c>
      <c r="M137" s="32"/>
      <c r="N137" s="33"/>
      <c r="O137" s="34"/>
      <c r="P137" s="35">
        <f t="shared" si="8"/>
        <v>0</v>
      </c>
      <c r="Q137" s="36" t="s">
        <v>286</v>
      </c>
      <c r="R137" s="75"/>
      <c r="S137" s="75"/>
      <c r="T137" s="75"/>
      <c r="U137" s="75"/>
      <c r="V137" s="74"/>
    </row>
    <row r="138" spans="1:26" ht="15.75" hidden="1" customHeight="1">
      <c r="A138" s="69"/>
      <c r="B138" s="70"/>
      <c r="C138" s="71" t="s">
        <v>289</v>
      </c>
      <c r="D138" s="72"/>
      <c r="E138" s="30">
        <v>1</v>
      </c>
      <c r="F138" s="30" t="s">
        <v>103</v>
      </c>
      <c r="G138" s="83"/>
      <c r="H138" s="28">
        <f>G138*E138</f>
        <v>0</v>
      </c>
      <c r="J138" s="30"/>
      <c r="K138" s="57" t="s">
        <v>91</v>
      </c>
      <c r="L138" s="71" t="s">
        <v>289</v>
      </c>
      <c r="M138" s="32"/>
      <c r="N138" s="33"/>
      <c r="O138" s="34"/>
      <c r="P138" s="35">
        <f t="shared" si="8"/>
        <v>0</v>
      </c>
      <c r="Q138" s="36" t="s">
        <v>286</v>
      </c>
      <c r="R138" s="75"/>
      <c r="S138" s="75"/>
      <c r="T138" s="75"/>
      <c r="U138" s="75"/>
      <c r="V138" s="74"/>
    </row>
    <row r="139" spans="1:26" ht="15.75" hidden="1" customHeight="1">
      <c r="A139" s="77" t="s">
        <v>290</v>
      </c>
      <c r="B139" s="78"/>
      <c r="C139" s="79"/>
      <c r="D139" s="79"/>
      <c r="E139" s="80"/>
      <c r="F139" s="79"/>
      <c r="G139" s="81"/>
      <c r="H139" s="82"/>
      <c r="J139" s="30"/>
      <c r="K139" s="41"/>
      <c r="L139" s="32"/>
      <c r="M139" s="32"/>
      <c r="N139" s="33"/>
      <c r="O139" s="34"/>
      <c r="P139" s="35">
        <f t="shared" si="8"/>
        <v>0</v>
      </c>
      <c r="Q139" s="150"/>
      <c r="R139" s="75"/>
      <c r="S139" s="75"/>
      <c r="T139" s="75"/>
      <c r="U139" s="75"/>
      <c r="V139" s="74"/>
    </row>
    <row r="140" spans="1:26" ht="15.75" customHeight="1">
      <c r="A140" s="30"/>
      <c r="B140" s="30"/>
      <c r="C140" s="30"/>
      <c r="D140" s="79"/>
      <c r="E140" s="80"/>
      <c r="F140" s="79"/>
      <c r="G140" s="81"/>
      <c r="H140" s="96"/>
      <c r="J140" s="30"/>
      <c r="K140" s="41">
        <v>13.8</v>
      </c>
      <c r="L140" s="40" t="s">
        <v>291</v>
      </c>
      <c r="M140" s="32" t="s">
        <v>39</v>
      </c>
      <c r="N140" s="55">
        <v>123.85</v>
      </c>
      <c r="O140" s="34">
        <f>'Measurement Sheet_FINAL'!H121</f>
        <v>583.98364920104052</v>
      </c>
      <c r="P140" s="35">
        <f t="shared" si="8"/>
        <v>72326.374953548861</v>
      </c>
      <c r="Q140" s="36" t="s">
        <v>292</v>
      </c>
      <c r="R140" s="48" t="s">
        <v>728</v>
      </c>
      <c r="S140" s="75">
        <v>123.85</v>
      </c>
      <c r="T140" s="37">
        <f>S140*O140</f>
        <v>72326.374953548861</v>
      </c>
      <c r="U140" s="37" t="s">
        <v>293</v>
      </c>
      <c r="V140" s="74" t="s">
        <v>294</v>
      </c>
    </row>
    <row r="141" spans="1:26" ht="15.75" customHeight="1">
      <c r="A141" s="23">
        <v>1</v>
      </c>
      <c r="B141" s="24" t="s">
        <v>295</v>
      </c>
      <c r="C141" s="25" t="s">
        <v>729</v>
      </c>
      <c r="D141" s="30" t="s">
        <v>296</v>
      </c>
      <c r="E141" s="30">
        <v>600</v>
      </c>
      <c r="F141" s="30" t="s">
        <v>34</v>
      </c>
      <c r="G141" s="83"/>
      <c r="H141" s="28">
        <f>G141*E141</f>
        <v>0</v>
      </c>
      <c r="I141" s="29"/>
      <c r="J141" s="30"/>
      <c r="K141" s="41">
        <v>13.83</v>
      </c>
      <c r="L141" s="40" t="s">
        <v>297</v>
      </c>
      <c r="M141" s="32"/>
      <c r="N141" s="33"/>
      <c r="O141" s="34"/>
      <c r="P141" s="35"/>
      <c r="Q141" s="36"/>
      <c r="R141" s="54" t="s">
        <v>730</v>
      </c>
      <c r="S141" s="37"/>
      <c r="T141" s="37"/>
      <c r="U141" s="37"/>
      <c r="V141" s="38"/>
      <c r="W141" s="29"/>
      <c r="X141" s="29"/>
      <c r="Y141" s="29"/>
      <c r="Z141" s="29"/>
    </row>
    <row r="142" spans="1:26" ht="15.75" customHeight="1">
      <c r="A142" s="97"/>
      <c r="B142" s="98"/>
      <c r="C142" s="25"/>
      <c r="D142" s="99"/>
      <c r="E142" s="99"/>
      <c r="F142" s="30"/>
      <c r="G142" s="100"/>
      <c r="H142" s="28"/>
      <c r="I142" s="29"/>
      <c r="J142" s="30"/>
      <c r="K142" s="41" t="s">
        <v>298</v>
      </c>
      <c r="L142" s="101" t="s">
        <v>299</v>
      </c>
      <c r="M142" s="32" t="s">
        <v>39</v>
      </c>
      <c r="N142" s="55">
        <v>121.55</v>
      </c>
      <c r="O142" s="34">
        <f>'Measurement Sheet_FINAL'!H121</f>
        <v>583.98364920104052</v>
      </c>
      <c r="P142" s="35">
        <f>O142*N142</f>
        <v>70983.21256038647</v>
      </c>
      <c r="Q142" s="36" t="s">
        <v>300</v>
      </c>
      <c r="R142" s="54" t="s">
        <v>731</v>
      </c>
      <c r="S142" s="37">
        <v>121.55</v>
      </c>
      <c r="T142" s="37">
        <f>S142*O142</f>
        <v>70983.21256038647</v>
      </c>
      <c r="U142" s="37" t="s">
        <v>301</v>
      </c>
      <c r="V142" s="38" t="s">
        <v>302</v>
      </c>
      <c r="W142" s="29"/>
      <c r="X142" s="29"/>
      <c r="Y142" s="29"/>
      <c r="Z142" s="29"/>
    </row>
    <row r="143" spans="1:26" ht="39.75" customHeight="1">
      <c r="A143" s="97">
        <v>2</v>
      </c>
      <c r="B143" s="98" t="s">
        <v>303</v>
      </c>
      <c r="C143" s="25" t="s">
        <v>732</v>
      </c>
      <c r="D143" s="99" t="s">
        <v>296</v>
      </c>
      <c r="E143" s="99">
        <v>3000</v>
      </c>
      <c r="F143" s="30" t="s">
        <v>34</v>
      </c>
      <c r="G143" s="100"/>
      <c r="H143" s="28">
        <f t="shared" ref="H143:H148" si="9">G143*E143</f>
        <v>0</v>
      </c>
      <c r="I143" s="29"/>
      <c r="J143" s="30"/>
      <c r="K143" s="57">
        <v>13.85</v>
      </c>
      <c r="L143" s="40" t="s">
        <v>304</v>
      </c>
      <c r="M143" s="32"/>
      <c r="N143" s="33"/>
      <c r="O143" s="34"/>
      <c r="P143" s="35"/>
      <c r="Q143" s="42"/>
      <c r="R143" s="54" t="s">
        <v>305</v>
      </c>
      <c r="S143" s="37"/>
      <c r="T143" s="37"/>
      <c r="U143" s="37"/>
      <c r="V143" s="38"/>
      <c r="W143" s="29"/>
      <c r="X143" s="29"/>
      <c r="Y143" s="29"/>
      <c r="Z143" s="29"/>
    </row>
    <row r="144" spans="1:26" ht="15.75" customHeight="1">
      <c r="A144" s="69">
        <v>3</v>
      </c>
      <c r="B144" s="70" t="s">
        <v>306</v>
      </c>
      <c r="C144" s="71" t="s">
        <v>307</v>
      </c>
      <c r="D144" s="72" t="s">
        <v>308</v>
      </c>
      <c r="E144" s="30">
        <v>500</v>
      </c>
      <c r="F144" s="30" t="s">
        <v>34</v>
      </c>
      <c r="G144" s="83"/>
      <c r="H144" s="28">
        <f t="shared" si="9"/>
        <v>0</v>
      </c>
      <c r="J144" s="30"/>
      <c r="K144" s="41" t="s">
        <v>309</v>
      </c>
      <c r="L144" s="40" t="s">
        <v>310</v>
      </c>
      <c r="M144" s="32" t="s">
        <v>39</v>
      </c>
      <c r="N144" s="55">
        <v>64.45</v>
      </c>
      <c r="O144" s="34" t="e">
        <f>'Measurement Sheet_FINAL'!H9+('Measurement Sheet_FINAL'!H116*0.3)+('Measurement Sheet_FINAL'!#REF!*0.3)</f>
        <v>#REF!</v>
      </c>
      <c r="P144" s="35" t="e">
        <f t="shared" ref="P144:P149" si="10">O144*N144</f>
        <v>#REF!</v>
      </c>
      <c r="Q144" s="42" t="s">
        <v>311</v>
      </c>
      <c r="R144" s="48" t="s">
        <v>733</v>
      </c>
      <c r="S144" s="75">
        <v>64.45</v>
      </c>
      <c r="T144" s="37" t="e">
        <f>S144*O144</f>
        <v>#REF!</v>
      </c>
      <c r="U144" s="37" t="s">
        <v>312</v>
      </c>
      <c r="V144" s="74" t="s">
        <v>313</v>
      </c>
    </row>
    <row r="145" spans="1:26" ht="15.75" customHeight="1">
      <c r="A145" s="23">
        <v>1</v>
      </c>
      <c r="B145" s="24" t="s">
        <v>695</v>
      </c>
      <c r="C145" s="102" t="s">
        <v>683</v>
      </c>
      <c r="D145" s="30" t="s">
        <v>696</v>
      </c>
      <c r="E145" s="30">
        <v>66</v>
      </c>
      <c r="F145" s="30" t="s">
        <v>34</v>
      </c>
      <c r="G145" s="83"/>
      <c r="H145" s="140">
        <f t="shared" si="9"/>
        <v>0</v>
      </c>
      <c r="I145" s="47"/>
      <c r="J145" s="30"/>
      <c r="K145" s="44" t="s">
        <v>91</v>
      </c>
      <c r="L145" s="102" t="s">
        <v>683</v>
      </c>
      <c r="M145" s="32" t="s">
        <v>39</v>
      </c>
      <c r="N145" s="147">
        <v>3000</v>
      </c>
      <c r="O145" s="34">
        <f>'Measurement Sheet_FINAL'!H854</f>
        <v>394.14367335562991</v>
      </c>
      <c r="P145" s="35">
        <f t="shared" si="10"/>
        <v>1182431.0200668897</v>
      </c>
      <c r="Q145" s="36" t="s">
        <v>315</v>
      </c>
      <c r="R145" s="31" t="s">
        <v>314</v>
      </c>
      <c r="S145" s="38">
        <v>1136</v>
      </c>
      <c r="T145" s="37">
        <f>S145*O145</f>
        <v>447747.21293199557</v>
      </c>
      <c r="U145" s="37" t="s">
        <v>316</v>
      </c>
      <c r="V145" s="38" t="s">
        <v>317</v>
      </c>
      <c r="W145" s="47"/>
      <c r="X145" s="47"/>
      <c r="Y145" s="47"/>
      <c r="Z145" s="47"/>
    </row>
    <row r="146" spans="1:26" ht="15.75" customHeight="1">
      <c r="A146" s="69">
        <v>2</v>
      </c>
      <c r="B146" s="70" t="s">
        <v>318</v>
      </c>
      <c r="C146" s="95" t="s">
        <v>319</v>
      </c>
      <c r="D146" s="72" t="s">
        <v>320</v>
      </c>
      <c r="E146" s="30">
        <v>81</v>
      </c>
      <c r="F146" s="30" t="s">
        <v>34</v>
      </c>
      <c r="G146" s="83"/>
      <c r="H146" s="28">
        <f t="shared" si="9"/>
        <v>0</v>
      </c>
      <c r="J146" s="30"/>
      <c r="K146" s="39" t="s">
        <v>91</v>
      </c>
      <c r="L146" s="102" t="s">
        <v>321</v>
      </c>
      <c r="M146" s="30" t="s">
        <v>34</v>
      </c>
      <c r="N146" s="147">
        <v>3556</v>
      </c>
      <c r="O146" s="34" t="e">
        <f>'Measurement Sheet_FINAL'!#REF!</f>
        <v>#REF!</v>
      </c>
      <c r="P146" s="35" t="e">
        <f t="shared" si="10"/>
        <v>#REF!</v>
      </c>
      <c r="Q146" s="36" t="s">
        <v>322</v>
      </c>
      <c r="R146" s="50" t="s">
        <v>734</v>
      </c>
      <c r="S146" s="149">
        <v>3556</v>
      </c>
      <c r="T146" s="37" t="e">
        <f>S146*O146</f>
        <v>#REF!</v>
      </c>
      <c r="U146" s="37" t="s">
        <v>323</v>
      </c>
      <c r="V146" s="38" t="s">
        <v>324</v>
      </c>
    </row>
    <row r="147" spans="1:26" ht="15.75" customHeight="1">
      <c r="A147" s="69">
        <v>3</v>
      </c>
      <c r="B147" s="70" t="s">
        <v>437</v>
      </c>
      <c r="C147" s="71"/>
      <c r="D147" s="72"/>
      <c r="E147" s="30">
        <v>9</v>
      </c>
      <c r="F147" s="30" t="s">
        <v>103</v>
      </c>
      <c r="G147" s="83"/>
      <c r="H147" s="28">
        <f t="shared" si="9"/>
        <v>0</v>
      </c>
      <c r="J147" s="30"/>
      <c r="K147" s="57" t="s">
        <v>91</v>
      </c>
      <c r="L147" s="95" t="s">
        <v>437</v>
      </c>
      <c r="M147" s="32"/>
      <c r="N147" s="33"/>
      <c r="O147" s="34"/>
      <c r="P147" s="35">
        <f t="shared" si="10"/>
        <v>0</v>
      </c>
      <c r="Q147" s="36" t="s">
        <v>286</v>
      </c>
      <c r="R147" s="75"/>
      <c r="S147" s="75"/>
      <c r="T147" s="75"/>
      <c r="U147" s="75"/>
      <c r="V147" s="74"/>
    </row>
    <row r="148" spans="1:26" ht="15.75" customHeight="1">
      <c r="A148" s="69">
        <v>5</v>
      </c>
      <c r="B148" s="70" t="s">
        <v>438</v>
      </c>
      <c r="C148" s="71"/>
      <c r="D148" s="72"/>
      <c r="E148" s="30">
        <v>20</v>
      </c>
      <c r="F148" s="30" t="s">
        <v>103</v>
      </c>
      <c r="G148" s="83"/>
      <c r="H148" s="28">
        <f t="shared" si="9"/>
        <v>0</v>
      </c>
      <c r="J148" s="30"/>
      <c r="K148" s="57" t="s">
        <v>91</v>
      </c>
      <c r="L148" s="95" t="s">
        <v>438</v>
      </c>
      <c r="M148" s="32"/>
      <c r="N148" s="33"/>
      <c r="O148" s="34"/>
      <c r="P148" s="35">
        <f t="shared" si="10"/>
        <v>0</v>
      </c>
      <c r="Q148" s="36" t="s">
        <v>286</v>
      </c>
      <c r="R148" s="75"/>
      <c r="S148" s="75"/>
      <c r="T148" s="75"/>
      <c r="U148" s="75"/>
      <c r="V148" s="74"/>
    </row>
    <row r="149" spans="1:26" ht="15.75" customHeight="1">
      <c r="A149" s="69">
        <v>6</v>
      </c>
      <c r="B149" s="70" t="s">
        <v>439</v>
      </c>
      <c r="C149" s="71"/>
      <c r="D149" s="72"/>
      <c r="E149" s="30"/>
      <c r="F149" s="30"/>
      <c r="G149" s="73"/>
      <c r="H149" s="113"/>
      <c r="J149" s="30"/>
      <c r="K149" s="57" t="s">
        <v>91</v>
      </c>
      <c r="L149" s="95" t="s">
        <v>439</v>
      </c>
      <c r="M149" s="32"/>
      <c r="N149" s="33"/>
      <c r="O149" s="34"/>
      <c r="P149" s="35">
        <f t="shared" si="10"/>
        <v>0</v>
      </c>
      <c r="Q149" s="36" t="s">
        <v>286</v>
      </c>
      <c r="R149" s="75"/>
      <c r="S149" s="75"/>
      <c r="T149" s="75"/>
      <c r="U149" s="75"/>
      <c r="V149" s="74"/>
    </row>
    <row r="150" spans="1:26" ht="15.75" customHeight="1">
      <c r="A150" s="141"/>
      <c r="B150" s="142"/>
      <c r="C150" s="143"/>
      <c r="D150" s="144"/>
      <c r="E150" s="145"/>
      <c r="F150" s="145"/>
      <c r="G150" s="144"/>
      <c r="H150" s="146"/>
      <c r="J150" s="30"/>
      <c r="K150" s="30"/>
      <c r="L150" s="32"/>
      <c r="M150" s="32"/>
      <c r="N150" s="33"/>
      <c r="O150" s="34"/>
      <c r="P150" s="35"/>
      <c r="Q150" s="36"/>
      <c r="R150" s="75"/>
      <c r="S150" s="75"/>
      <c r="T150" s="75"/>
      <c r="U150" s="75"/>
      <c r="V150" s="74"/>
    </row>
    <row r="151" spans="1:26" ht="15.75" customHeight="1">
      <c r="A151" s="133" t="s">
        <v>604</v>
      </c>
      <c r="B151" s="134"/>
      <c r="C151" s="135"/>
      <c r="D151" s="135"/>
      <c r="E151" s="135"/>
      <c r="F151" s="135"/>
      <c r="G151" s="136"/>
      <c r="H151" s="137">
        <f>SUM(H13:H149)</f>
        <v>0</v>
      </c>
      <c r="J151" s="701" t="s">
        <v>604</v>
      </c>
      <c r="K151" s="689"/>
      <c r="L151" s="689"/>
      <c r="M151" s="689"/>
      <c r="N151" s="689"/>
      <c r="O151" s="692"/>
      <c r="P151" s="138" t="e">
        <f>SUM(P13:P149)</f>
        <v>#REF!</v>
      </c>
      <c r="Q151" s="36"/>
      <c r="R151" s="75"/>
      <c r="S151" s="75"/>
      <c r="T151" s="75"/>
      <c r="U151" s="75"/>
      <c r="V151" s="74"/>
    </row>
    <row r="152" spans="1:26" ht="15.75" customHeight="1">
      <c r="A152" s="151"/>
      <c r="B152" s="152"/>
      <c r="C152" s="151"/>
      <c r="D152" s="151"/>
      <c r="E152" s="151"/>
      <c r="F152" s="151"/>
      <c r="G152" s="151"/>
      <c r="H152" s="153"/>
      <c r="J152" s="154"/>
      <c r="K152" s="154"/>
      <c r="L152" s="154"/>
      <c r="M152" s="154"/>
      <c r="N152" s="154"/>
      <c r="O152" s="154"/>
      <c r="P152" s="155"/>
      <c r="Q152" s="36"/>
      <c r="R152" s="75"/>
      <c r="S152" s="75"/>
      <c r="T152" s="75"/>
      <c r="U152" s="75"/>
      <c r="V152" s="74"/>
    </row>
    <row r="153" spans="1:26" ht="15.75" customHeight="1">
      <c r="A153" s="1"/>
      <c r="B153" s="103"/>
      <c r="C153" s="4"/>
      <c r="D153" s="1"/>
      <c r="E153" s="47"/>
      <c r="F153" s="47"/>
      <c r="G153" s="1"/>
      <c r="H153" s="1"/>
      <c r="J153" s="688" t="s">
        <v>325</v>
      </c>
      <c r="K153" s="689"/>
      <c r="L153" s="689"/>
      <c r="M153" s="689"/>
      <c r="N153" s="689"/>
      <c r="O153" s="689"/>
      <c r="P153" s="689"/>
      <c r="Q153" s="690"/>
      <c r="R153" s="75"/>
      <c r="S153" s="75"/>
      <c r="T153" s="75"/>
      <c r="U153" s="75"/>
      <c r="V153" s="74"/>
    </row>
    <row r="154" spans="1:26" ht="15.75" customHeight="1">
      <c r="A154" s="12" t="s">
        <v>15</v>
      </c>
      <c r="B154" s="13" t="s">
        <v>16</v>
      </c>
      <c r="C154" s="14" t="s">
        <v>17</v>
      </c>
      <c r="D154" s="14" t="s">
        <v>18</v>
      </c>
      <c r="E154" s="14" t="s">
        <v>19</v>
      </c>
      <c r="F154" s="14" t="s">
        <v>20</v>
      </c>
      <c r="G154" s="14" t="s">
        <v>21</v>
      </c>
      <c r="H154" s="15" t="s">
        <v>22</v>
      </c>
      <c r="J154" s="16" t="s">
        <v>23</v>
      </c>
      <c r="K154" s="17" t="s">
        <v>24</v>
      </c>
      <c r="L154" s="18" t="s">
        <v>25</v>
      </c>
      <c r="M154" s="18" t="s">
        <v>26</v>
      </c>
      <c r="N154" s="19" t="s">
        <v>27</v>
      </c>
      <c r="O154" s="20" t="s">
        <v>28</v>
      </c>
      <c r="P154" s="21" t="s">
        <v>22</v>
      </c>
      <c r="Q154" s="156" t="s">
        <v>29</v>
      </c>
      <c r="R154" s="75"/>
      <c r="S154" s="75"/>
      <c r="T154" s="75"/>
      <c r="U154" s="75"/>
      <c r="V154" s="74"/>
    </row>
    <row r="155" spans="1:26" ht="15.75" customHeight="1">
      <c r="A155" s="1"/>
      <c r="B155" s="103"/>
      <c r="C155" s="104"/>
      <c r="E155" s="29"/>
      <c r="F155" s="47"/>
      <c r="J155" s="66"/>
      <c r="K155" s="76"/>
      <c r="N155" s="66"/>
      <c r="O155" s="115"/>
      <c r="P155" s="116"/>
      <c r="Q155" s="66"/>
      <c r="R155" s="75"/>
      <c r="S155" s="75"/>
      <c r="T155" s="75"/>
      <c r="U155" s="75"/>
      <c r="V155" s="74"/>
    </row>
    <row r="156" spans="1:26" ht="15.75" customHeight="1">
      <c r="A156" s="1"/>
      <c r="B156" s="103"/>
      <c r="C156" s="104"/>
      <c r="E156" s="29"/>
      <c r="F156" s="47"/>
      <c r="J156" s="32" t="s">
        <v>326</v>
      </c>
      <c r="K156" s="108">
        <v>12.28</v>
      </c>
      <c r="L156" s="105" t="s">
        <v>327</v>
      </c>
      <c r="M156" s="106" t="s">
        <v>328</v>
      </c>
      <c r="N156" s="33">
        <v>373</v>
      </c>
      <c r="O156" s="107" t="e">
        <f>'Measurement Sheet_FINAL'!#REF!</f>
        <v>#REF!</v>
      </c>
      <c r="P156" s="35" t="e">
        <f>O156*N156</f>
        <v>#REF!</v>
      </c>
      <c r="Q156" s="36" t="s">
        <v>329</v>
      </c>
      <c r="R156" s="75"/>
      <c r="S156" s="75"/>
      <c r="T156" s="75"/>
      <c r="U156" s="75"/>
      <c r="V156" s="74"/>
    </row>
    <row r="157" spans="1:26" ht="15.75" customHeight="1">
      <c r="A157" s="1"/>
      <c r="B157" s="103"/>
      <c r="C157" s="104"/>
      <c r="E157" s="29"/>
      <c r="F157" s="47"/>
      <c r="J157" s="32"/>
      <c r="K157" s="39" t="s">
        <v>91</v>
      </c>
      <c r="L157" s="105" t="s">
        <v>330</v>
      </c>
      <c r="M157" s="106" t="s">
        <v>328</v>
      </c>
      <c r="N157" s="55">
        <v>8190.71</v>
      </c>
      <c r="O157" s="107">
        <f>'Measurement Sheet_FINAL'!H910</f>
        <v>135.07989594946116</v>
      </c>
      <c r="P157" s="35">
        <f>O157*N157</f>
        <v>1106400.2545522109</v>
      </c>
      <c r="Q157" s="36" t="s">
        <v>331</v>
      </c>
      <c r="R157" s="50" t="s">
        <v>735</v>
      </c>
      <c r="S157" s="149">
        <v>8190.71</v>
      </c>
      <c r="T157" s="75">
        <f>S157*N157</f>
        <v>67087730.304099999</v>
      </c>
      <c r="U157" s="75" t="s">
        <v>332</v>
      </c>
      <c r="V157" s="74" t="s">
        <v>333</v>
      </c>
    </row>
    <row r="158" spans="1:26" ht="15.75" customHeight="1">
      <c r="A158" s="1"/>
      <c r="B158" s="103"/>
      <c r="C158" s="104"/>
      <c r="E158" s="29"/>
      <c r="F158" s="47"/>
      <c r="J158" s="32" t="s">
        <v>326</v>
      </c>
      <c r="K158" s="108">
        <v>8.2799999999999994</v>
      </c>
      <c r="L158" s="105" t="s">
        <v>334</v>
      </c>
      <c r="M158" s="106"/>
      <c r="N158" s="33"/>
      <c r="O158" s="107"/>
      <c r="P158" s="35"/>
      <c r="Q158" s="36"/>
      <c r="R158" s="75"/>
      <c r="S158" s="75"/>
      <c r="T158" s="75"/>
      <c r="U158" s="75"/>
      <c r="V158" s="74"/>
    </row>
    <row r="159" spans="1:26" ht="15.75" customHeight="1">
      <c r="A159" s="1"/>
      <c r="B159" s="103"/>
      <c r="C159" s="104"/>
      <c r="E159" s="29"/>
      <c r="F159" s="47"/>
      <c r="J159" s="32"/>
      <c r="K159" s="109" t="s">
        <v>91</v>
      </c>
      <c r="L159" s="106" t="s">
        <v>335</v>
      </c>
      <c r="M159" s="106" t="s">
        <v>328</v>
      </c>
      <c r="N159" s="110" t="e">
        <f>#REF!</f>
        <v>#REF!</v>
      </c>
      <c r="O159" s="107">
        <f>'Measurement Sheet_FINAL'!H919</f>
        <v>42.842809364548501</v>
      </c>
      <c r="P159" s="35" t="e">
        <f>O159*N159</f>
        <v>#REF!</v>
      </c>
      <c r="Q159" s="36" t="s">
        <v>336</v>
      </c>
      <c r="R159" s="75"/>
      <c r="S159" s="75"/>
      <c r="T159" s="75"/>
      <c r="U159" s="75"/>
      <c r="V159" s="74"/>
    </row>
    <row r="160" spans="1:26" ht="15.75" customHeight="1">
      <c r="A160" s="1"/>
      <c r="B160" s="103"/>
      <c r="C160" s="104"/>
      <c r="E160" s="29"/>
      <c r="F160" s="47"/>
      <c r="J160" s="32"/>
      <c r="K160" s="109" t="s">
        <v>91</v>
      </c>
      <c r="L160" s="106" t="s">
        <v>337</v>
      </c>
      <c r="M160" s="106" t="s">
        <v>328</v>
      </c>
      <c r="N160" s="110">
        <v>5920.2</v>
      </c>
      <c r="O160" s="107">
        <f>'Measurement Sheet_FINAL'!H930</f>
        <v>5.4347826086956523</v>
      </c>
      <c r="P160" s="35">
        <f>O160*N160</f>
        <v>32175</v>
      </c>
      <c r="Q160" s="36" t="s">
        <v>338</v>
      </c>
      <c r="R160" s="75"/>
      <c r="S160" s="75"/>
      <c r="T160" s="75"/>
      <c r="U160" s="75"/>
      <c r="V160" s="74"/>
    </row>
    <row r="161" spans="1:22" ht="15.75" customHeight="1">
      <c r="A161" s="1"/>
      <c r="B161" s="103"/>
      <c r="C161" s="104"/>
      <c r="E161" s="29"/>
      <c r="F161" s="47"/>
      <c r="J161" s="32"/>
      <c r="K161" s="111">
        <v>8.11</v>
      </c>
      <c r="L161" s="105" t="s">
        <v>339</v>
      </c>
      <c r="M161" s="106"/>
      <c r="N161" s="33"/>
      <c r="O161" s="107"/>
      <c r="P161" s="35"/>
      <c r="Q161" s="36"/>
      <c r="R161" s="75"/>
      <c r="S161" s="75"/>
      <c r="T161" s="75"/>
      <c r="U161" s="75"/>
      <c r="V161" s="74"/>
    </row>
    <row r="162" spans="1:22" ht="15.75" customHeight="1">
      <c r="A162" s="1"/>
      <c r="B162" s="103"/>
      <c r="C162" s="104"/>
      <c r="E162" s="29"/>
      <c r="F162" s="47"/>
      <c r="J162" s="32" t="s">
        <v>326</v>
      </c>
      <c r="K162" s="108" t="s">
        <v>340</v>
      </c>
      <c r="L162" s="105" t="s">
        <v>341</v>
      </c>
      <c r="M162" s="106" t="s">
        <v>328</v>
      </c>
      <c r="N162" s="33">
        <v>9278.9500000000007</v>
      </c>
      <c r="O162" s="107" t="e">
        <f>'Measurement Sheet_FINAL'!#REF!</f>
        <v>#REF!</v>
      </c>
      <c r="P162" s="35" t="e">
        <f>O162*N162</f>
        <v>#REF!</v>
      </c>
      <c r="Q162" s="36" t="s">
        <v>342</v>
      </c>
      <c r="R162" s="75"/>
      <c r="S162" s="75"/>
      <c r="T162" s="75"/>
      <c r="U162" s="75"/>
      <c r="V162" s="74"/>
    </row>
    <row r="163" spans="1:22" ht="15.75" customHeight="1">
      <c r="A163" s="1"/>
      <c r="B163" s="103"/>
      <c r="C163" s="104"/>
      <c r="E163" s="29"/>
      <c r="F163" s="47"/>
      <c r="J163" s="32"/>
      <c r="K163" s="109" t="s">
        <v>91</v>
      </c>
      <c r="L163" s="106" t="s">
        <v>343</v>
      </c>
      <c r="M163" s="106" t="s">
        <v>328</v>
      </c>
      <c r="N163" s="110" t="e">
        <f>#REF!</f>
        <v>#REF!</v>
      </c>
      <c r="O163" s="107" t="e">
        <f>O162</f>
        <v>#REF!</v>
      </c>
      <c r="P163" s="35" t="e">
        <f>O163*N163</f>
        <v>#REF!</v>
      </c>
      <c r="Q163" s="36" t="s">
        <v>344</v>
      </c>
      <c r="R163" s="75"/>
      <c r="S163" s="75"/>
      <c r="T163" s="75"/>
      <c r="U163" s="75"/>
      <c r="V163" s="74"/>
    </row>
    <row r="164" spans="1:22" ht="15.75" customHeight="1">
      <c r="A164" s="1"/>
      <c r="B164" s="103"/>
      <c r="C164" s="104"/>
      <c r="E164" s="29"/>
      <c r="F164" s="47"/>
      <c r="J164" s="32" t="s">
        <v>326</v>
      </c>
      <c r="K164" s="108">
        <v>8.2799999999999994</v>
      </c>
      <c r="L164" s="105" t="s">
        <v>334</v>
      </c>
      <c r="M164" s="106"/>
      <c r="N164" s="33"/>
      <c r="O164" s="107"/>
      <c r="P164" s="35"/>
      <c r="Q164" s="36"/>
      <c r="R164" s="75"/>
      <c r="S164" s="75"/>
      <c r="T164" s="75"/>
      <c r="U164" s="75"/>
      <c r="V164" s="74"/>
    </row>
    <row r="165" spans="1:22" ht="15.75" customHeight="1">
      <c r="A165" s="1"/>
      <c r="B165" s="103"/>
      <c r="C165" s="104"/>
      <c r="E165" s="29"/>
      <c r="F165" s="47"/>
      <c r="J165" s="32"/>
      <c r="K165" s="157">
        <v>9.1579999999999995</v>
      </c>
      <c r="L165" s="105" t="s">
        <v>345</v>
      </c>
      <c r="M165" s="106"/>
      <c r="N165" s="33"/>
      <c r="O165" s="107"/>
      <c r="P165" s="35"/>
      <c r="Q165" s="36"/>
      <c r="R165" s="75"/>
      <c r="S165" s="75"/>
      <c r="T165" s="75"/>
      <c r="U165" s="75"/>
      <c r="V165" s="74"/>
    </row>
    <row r="166" spans="1:22" ht="15.75" customHeight="1">
      <c r="A166" s="1"/>
      <c r="B166" s="103"/>
      <c r="C166" s="104"/>
      <c r="E166" s="29"/>
      <c r="F166" s="47"/>
      <c r="J166" s="32" t="s">
        <v>326</v>
      </c>
      <c r="K166" s="157" t="s">
        <v>346</v>
      </c>
      <c r="L166" s="105" t="s">
        <v>347</v>
      </c>
      <c r="M166" s="106" t="s">
        <v>328</v>
      </c>
      <c r="N166" s="33">
        <v>1065.1500000000001</v>
      </c>
      <c r="O166" s="107" t="e">
        <f>'Measurement Sheet_FINAL'!#REF!</f>
        <v>#REF!</v>
      </c>
      <c r="P166" s="35" t="e">
        <f>O166*N166</f>
        <v>#REF!</v>
      </c>
      <c r="Q166" s="36" t="s">
        <v>348</v>
      </c>
      <c r="R166" s="75"/>
      <c r="S166" s="75"/>
      <c r="T166" s="75"/>
      <c r="U166" s="75"/>
      <c r="V166" s="74"/>
    </row>
    <row r="167" spans="1:22" ht="15.75" customHeight="1">
      <c r="A167" s="1"/>
      <c r="B167" s="103"/>
      <c r="C167" s="104"/>
      <c r="E167" s="29"/>
      <c r="F167" s="47"/>
      <c r="J167" s="32" t="s">
        <v>326</v>
      </c>
      <c r="K167" s="157">
        <v>9.1579999999999995</v>
      </c>
      <c r="L167" s="105" t="s">
        <v>345</v>
      </c>
      <c r="M167" s="106"/>
      <c r="N167" s="33"/>
      <c r="O167" s="107"/>
      <c r="P167" s="35"/>
      <c r="Q167" s="36"/>
      <c r="R167" s="75"/>
      <c r="S167" s="75"/>
      <c r="T167" s="75"/>
      <c r="U167" s="75"/>
      <c r="V167" s="74"/>
    </row>
    <row r="168" spans="1:22" ht="15.75" customHeight="1">
      <c r="A168" s="1"/>
      <c r="B168" s="103"/>
      <c r="C168" s="104"/>
      <c r="E168" s="29"/>
      <c r="F168" s="47"/>
      <c r="J168" s="32" t="s">
        <v>326</v>
      </c>
      <c r="K168" s="157" t="s">
        <v>346</v>
      </c>
      <c r="L168" s="105" t="s">
        <v>347</v>
      </c>
      <c r="M168" s="106" t="s">
        <v>328</v>
      </c>
      <c r="N168" s="33">
        <v>1065.1500000000001</v>
      </c>
      <c r="O168" s="107" t="e">
        <f>'Measurement Sheet_FINAL'!#REF!</f>
        <v>#REF!</v>
      </c>
      <c r="P168" s="35" t="e">
        <f>O168*N168</f>
        <v>#REF!</v>
      </c>
      <c r="Q168" s="36" t="s">
        <v>349</v>
      </c>
      <c r="R168" s="75"/>
      <c r="S168" s="75"/>
      <c r="T168" s="75"/>
      <c r="U168" s="75"/>
      <c r="V168" s="74"/>
    </row>
    <row r="169" spans="1:22" ht="15.75" customHeight="1">
      <c r="A169" s="1"/>
      <c r="B169" s="103"/>
      <c r="C169" s="104"/>
      <c r="E169" s="29"/>
      <c r="F169" s="47"/>
      <c r="J169" s="32"/>
      <c r="K169" s="109" t="s">
        <v>91</v>
      </c>
      <c r="L169" s="106" t="s">
        <v>350</v>
      </c>
      <c r="M169" s="106" t="s">
        <v>351</v>
      </c>
      <c r="N169" s="110" t="e">
        <f>#REF!</f>
        <v>#REF!</v>
      </c>
      <c r="O169" s="107" t="e">
        <f>'Measurement Sheet_FINAL'!#REF!</f>
        <v>#REF!</v>
      </c>
      <c r="P169" s="35" t="e">
        <f>O169*N169</f>
        <v>#REF!</v>
      </c>
      <c r="Q169" s="36" t="s">
        <v>352</v>
      </c>
      <c r="R169" s="75"/>
      <c r="S169" s="75"/>
      <c r="T169" s="75"/>
      <c r="U169" s="75"/>
      <c r="V169" s="74"/>
    </row>
    <row r="170" spans="1:22" ht="15.75" customHeight="1">
      <c r="A170" s="1"/>
      <c r="B170" s="103"/>
      <c r="C170" s="104"/>
      <c r="E170" s="29"/>
      <c r="F170" s="47"/>
      <c r="J170" s="32"/>
      <c r="K170" s="109" t="s">
        <v>91</v>
      </c>
      <c r="L170" s="105" t="s">
        <v>353</v>
      </c>
      <c r="M170" s="106" t="s">
        <v>328</v>
      </c>
      <c r="N170" s="110" t="e">
        <f>#REF!</f>
        <v>#REF!</v>
      </c>
      <c r="O170" s="107" t="e">
        <f>O80+O159+O163+O166+O168</f>
        <v>#REF!</v>
      </c>
      <c r="P170" s="35" t="e">
        <f>O170*N170</f>
        <v>#REF!</v>
      </c>
      <c r="Q170" s="36" t="s">
        <v>354</v>
      </c>
      <c r="R170" s="48"/>
      <c r="S170" s="75"/>
      <c r="T170" s="75"/>
      <c r="U170" s="75"/>
      <c r="V170" s="74"/>
    </row>
    <row r="171" spans="1:22" ht="15.75" customHeight="1">
      <c r="A171" s="1"/>
      <c r="B171" s="103"/>
      <c r="C171" s="104"/>
      <c r="E171" s="29"/>
      <c r="F171" s="47"/>
      <c r="J171" s="32" t="s">
        <v>326</v>
      </c>
      <c r="K171" s="157">
        <v>9.1259999999999994</v>
      </c>
      <c r="L171" s="105" t="s">
        <v>355</v>
      </c>
      <c r="M171" s="106"/>
      <c r="N171" s="33"/>
      <c r="O171" s="107"/>
      <c r="P171" s="35"/>
      <c r="Q171" s="36"/>
      <c r="R171" s="75"/>
      <c r="S171" s="75"/>
      <c r="T171" s="75"/>
      <c r="U171" s="75"/>
      <c r="V171" s="74"/>
    </row>
    <row r="172" spans="1:22" ht="15.75" customHeight="1">
      <c r="A172" s="1"/>
      <c r="B172" s="103"/>
      <c r="C172" s="104"/>
      <c r="E172" s="29"/>
      <c r="F172" s="47"/>
      <c r="J172" s="32" t="s">
        <v>326</v>
      </c>
      <c r="K172" s="157" t="s">
        <v>356</v>
      </c>
      <c r="L172" s="105" t="s">
        <v>357</v>
      </c>
      <c r="M172" s="106" t="s">
        <v>328</v>
      </c>
      <c r="N172" s="33">
        <v>2100.4</v>
      </c>
      <c r="O172" s="107" t="e">
        <f>(O80*2)+O159+O168+O169</f>
        <v>#REF!</v>
      </c>
      <c r="P172" s="35" t="e">
        <f>O172*N172</f>
        <v>#REF!</v>
      </c>
      <c r="Q172" s="36" t="s">
        <v>358</v>
      </c>
      <c r="R172" s="48"/>
      <c r="S172" s="75"/>
      <c r="T172" s="75"/>
      <c r="U172" s="75"/>
      <c r="V172" s="74"/>
    </row>
    <row r="173" spans="1:22" ht="15.75" customHeight="1">
      <c r="A173" s="1"/>
      <c r="B173" s="103"/>
      <c r="C173" s="104"/>
      <c r="E173" s="29"/>
      <c r="F173" s="47"/>
      <c r="J173" s="32"/>
      <c r="K173" s="112"/>
      <c r="L173" s="106"/>
      <c r="M173" s="106"/>
      <c r="N173" s="33"/>
      <c r="O173" s="107"/>
      <c r="P173" s="35"/>
      <c r="Q173" s="36" t="s">
        <v>736</v>
      </c>
      <c r="R173" s="75"/>
      <c r="S173" s="75"/>
      <c r="T173" s="75"/>
      <c r="U173" s="75"/>
      <c r="V173" s="74"/>
    </row>
    <row r="174" spans="1:22" ht="15.75" customHeight="1">
      <c r="A174" s="1"/>
      <c r="B174" s="103"/>
      <c r="C174" s="104"/>
      <c r="E174" s="29"/>
      <c r="F174" s="47"/>
      <c r="J174" s="32"/>
      <c r="K174" s="112"/>
      <c r="L174" s="158" t="s">
        <v>737</v>
      </c>
      <c r="M174" s="106"/>
      <c r="N174" s="33"/>
      <c r="O174" s="107"/>
      <c r="P174" s="35"/>
      <c r="Q174" s="36"/>
      <c r="R174" s="75"/>
      <c r="S174" s="75"/>
      <c r="T174" s="75"/>
      <c r="U174" s="75"/>
      <c r="V174" s="74"/>
    </row>
    <row r="175" spans="1:22" ht="15.75" customHeight="1">
      <c r="A175" s="1"/>
      <c r="B175" s="103"/>
      <c r="C175" s="104"/>
      <c r="E175" s="29"/>
      <c r="F175" s="47"/>
      <c r="J175" s="32"/>
      <c r="K175" s="109" t="s">
        <v>91</v>
      </c>
      <c r="L175" s="106" t="s">
        <v>415</v>
      </c>
      <c r="M175" s="106" t="s">
        <v>328</v>
      </c>
      <c r="N175" s="110" t="e">
        <f>#REF!</f>
        <v>#REF!</v>
      </c>
      <c r="O175" s="107" t="e">
        <f>'Measurement Sheet_FINAL'!#REF!</f>
        <v>#REF!</v>
      </c>
      <c r="P175" s="35" t="e">
        <f>O175*N175</f>
        <v>#REF!</v>
      </c>
      <c r="Q175" s="36" t="s">
        <v>416</v>
      </c>
      <c r="R175" s="75"/>
      <c r="S175" s="75"/>
      <c r="T175" s="75"/>
      <c r="U175" s="75"/>
      <c r="V175" s="74"/>
    </row>
    <row r="176" spans="1:22" ht="15.75" customHeight="1">
      <c r="A176" s="1"/>
      <c r="B176" s="103"/>
      <c r="C176" s="104"/>
      <c r="E176" s="29"/>
      <c r="F176" s="47"/>
      <c r="J176" s="32"/>
      <c r="K176" s="109" t="s">
        <v>91</v>
      </c>
      <c r="L176" s="106" t="s">
        <v>417</v>
      </c>
      <c r="M176" s="106" t="s">
        <v>328</v>
      </c>
      <c r="N176" s="110" t="e">
        <f>#REF!</f>
        <v>#REF!</v>
      </c>
      <c r="O176" s="107" t="e">
        <f>'Measurement Sheet_FINAL'!#REF!</f>
        <v>#REF!</v>
      </c>
      <c r="P176" s="35" t="e">
        <f>O176*N176</f>
        <v>#REF!</v>
      </c>
      <c r="Q176" s="36" t="s">
        <v>418</v>
      </c>
      <c r="R176" s="75"/>
      <c r="S176" s="75"/>
      <c r="T176" s="75"/>
      <c r="U176" s="75"/>
      <c r="V176" s="74"/>
    </row>
    <row r="177" spans="1:22" ht="15.75" customHeight="1">
      <c r="A177" s="1"/>
      <c r="B177" s="103"/>
      <c r="C177" s="104"/>
      <c r="E177" s="29"/>
      <c r="F177" s="47"/>
      <c r="J177" s="32" t="s">
        <v>326</v>
      </c>
      <c r="K177" s="157">
        <v>9.1999999999999993</v>
      </c>
      <c r="L177" s="105" t="s">
        <v>419</v>
      </c>
      <c r="M177" s="106"/>
      <c r="N177" s="33"/>
      <c r="O177" s="107"/>
      <c r="P177" s="35"/>
      <c r="Q177" s="36"/>
      <c r="R177" s="75"/>
      <c r="S177" s="75"/>
      <c r="T177" s="75"/>
      <c r="U177" s="75"/>
      <c r="V177" s="74"/>
    </row>
    <row r="178" spans="1:22" ht="15.75" customHeight="1">
      <c r="A178" s="1"/>
      <c r="B178" s="103"/>
      <c r="C178" s="104"/>
      <c r="E178" s="29"/>
      <c r="F178" s="47"/>
      <c r="J178" s="32" t="s">
        <v>326</v>
      </c>
      <c r="K178" s="157" t="s">
        <v>420</v>
      </c>
      <c r="L178" s="105" t="s">
        <v>421</v>
      </c>
      <c r="M178" s="106" t="s">
        <v>328</v>
      </c>
      <c r="N178" s="33">
        <v>2512.35</v>
      </c>
      <c r="O178" s="107" t="e">
        <f>'Measurement Sheet_FINAL'!#REF!</f>
        <v>#REF!</v>
      </c>
      <c r="P178" s="35" t="e">
        <f t="shared" ref="P178:P189" si="11">O178*N178</f>
        <v>#REF!</v>
      </c>
      <c r="Q178" s="36" t="s">
        <v>422</v>
      </c>
      <c r="R178" s="75"/>
      <c r="S178" s="75"/>
      <c r="T178" s="75"/>
      <c r="U178" s="75"/>
      <c r="V178" s="74"/>
    </row>
    <row r="179" spans="1:22" ht="15.75" customHeight="1">
      <c r="A179" s="1"/>
      <c r="B179" s="103"/>
      <c r="C179" s="104"/>
      <c r="E179" s="29"/>
      <c r="F179" s="47"/>
      <c r="J179" s="32" t="s">
        <v>326</v>
      </c>
      <c r="K179" s="157" t="s">
        <v>423</v>
      </c>
      <c r="L179" s="105" t="s">
        <v>424</v>
      </c>
      <c r="M179" s="106" t="s">
        <v>328</v>
      </c>
      <c r="N179" s="33">
        <v>1215.75</v>
      </c>
      <c r="O179" s="107" t="e">
        <f>'Measurement Sheet_FINAL'!#REF!</f>
        <v>#REF!</v>
      </c>
      <c r="P179" s="35" t="e">
        <f t="shared" si="11"/>
        <v>#REF!</v>
      </c>
      <c r="Q179" s="36" t="s">
        <v>425</v>
      </c>
      <c r="R179" s="75"/>
      <c r="S179" s="75"/>
      <c r="T179" s="75"/>
      <c r="U179" s="75"/>
      <c r="V179" s="74"/>
    </row>
    <row r="180" spans="1:22" ht="15.75" customHeight="1">
      <c r="A180" s="1"/>
      <c r="B180" s="103"/>
      <c r="C180" s="104"/>
      <c r="E180" s="29"/>
      <c r="F180" s="47"/>
      <c r="J180" s="32" t="s">
        <v>326</v>
      </c>
      <c r="K180" s="157">
        <v>9.1669999999999998</v>
      </c>
      <c r="L180" s="105" t="s">
        <v>426</v>
      </c>
      <c r="M180" s="106" t="s">
        <v>328</v>
      </c>
      <c r="N180" s="33">
        <v>902.55</v>
      </c>
      <c r="O180" s="107" t="e">
        <f>O179</f>
        <v>#REF!</v>
      </c>
      <c r="P180" s="35" t="e">
        <f t="shared" si="11"/>
        <v>#REF!</v>
      </c>
      <c r="Q180" s="36" t="s">
        <v>425</v>
      </c>
      <c r="R180" s="75"/>
      <c r="S180" s="75"/>
      <c r="T180" s="75"/>
      <c r="U180" s="75"/>
      <c r="V180" s="74"/>
    </row>
    <row r="181" spans="1:22" ht="15.75" customHeight="1">
      <c r="A181" s="1"/>
      <c r="B181" s="103"/>
      <c r="C181" s="104"/>
      <c r="E181" s="29"/>
      <c r="F181" s="47"/>
      <c r="J181" s="32" t="s">
        <v>326</v>
      </c>
      <c r="K181" s="157">
        <v>9.1679999999999993</v>
      </c>
      <c r="L181" s="105" t="s">
        <v>427</v>
      </c>
      <c r="M181" s="106" t="s">
        <v>328</v>
      </c>
      <c r="N181" s="33">
        <v>2563.75</v>
      </c>
      <c r="O181" s="107" t="e">
        <f>O179</f>
        <v>#REF!</v>
      </c>
      <c r="P181" s="35" t="e">
        <f t="shared" si="11"/>
        <v>#REF!</v>
      </c>
      <c r="Q181" s="36" t="s">
        <v>425</v>
      </c>
      <c r="R181" s="75"/>
      <c r="S181" s="75"/>
      <c r="T181" s="75"/>
      <c r="U181" s="75"/>
      <c r="V181" s="74"/>
    </row>
    <row r="182" spans="1:22" ht="15.75" customHeight="1">
      <c r="A182" s="1"/>
      <c r="B182" s="103"/>
      <c r="C182" s="104"/>
      <c r="E182" s="29"/>
      <c r="F182" s="47"/>
      <c r="J182" s="32" t="s">
        <v>326</v>
      </c>
      <c r="K182" s="157" t="s">
        <v>428</v>
      </c>
      <c r="L182" s="105" t="s">
        <v>429</v>
      </c>
      <c r="M182" s="106" t="s">
        <v>216</v>
      </c>
      <c r="N182" s="33">
        <v>153.15</v>
      </c>
      <c r="O182" s="107">
        <f>17+7</f>
        <v>24</v>
      </c>
      <c r="P182" s="35">
        <f t="shared" si="11"/>
        <v>3675.6000000000004</v>
      </c>
      <c r="Q182" s="36" t="s">
        <v>425</v>
      </c>
      <c r="R182" s="75"/>
      <c r="S182" s="75"/>
      <c r="T182" s="75"/>
      <c r="U182" s="75"/>
      <c r="V182" s="74"/>
    </row>
    <row r="183" spans="1:22" ht="15.75" customHeight="1">
      <c r="A183" s="1"/>
      <c r="B183" s="103"/>
      <c r="C183" s="104"/>
      <c r="E183" s="29"/>
      <c r="F183" s="47"/>
      <c r="J183" s="32" t="s">
        <v>326</v>
      </c>
      <c r="K183" s="157">
        <v>9.1709999999999994</v>
      </c>
      <c r="L183" s="105" t="s">
        <v>430</v>
      </c>
      <c r="M183" s="106" t="s">
        <v>216</v>
      </c>
      <c r="N183" s="33">
        <v>226.75</v>
      </c>
      <c r="O183" s="107">
        <f>17*2</f>
        <v>34</v>
      </c>
      <c r="P183" s="35">
        <f t="shared" si="11"/>
        <v>7709.5</v>
      </c>
      <c r="Q183" s="36" t="s">
        <v>425</v>
      </c>
      <c r="R183" s="75"/>
      <c r="S183" s="75"/>
      <c r="T183" s="75"/>
      <c r="U183" s="75"/>
      <c r="V183" s="74"/>
    </row>
    <row r="184" spans="1:22" ht="15.75" customHeight="1">
      <c r="A184" s="1"/>
      <c r="B184" s="103"/>
      <c r="C184" s="104"/>
      <c r="E184" s="29"/>
      <c r="F184" s="47"/>
      <c r="J184" s="32" t="s">
        <v>326</v>
      </c>
      <c r="K184" s="157">
        <v>9.1720000000000006</v>
      </c>
      <c r="L184" s="105" t="s">
        <v>431</v>
      </c>
      <c r="M184" s="106" t="s">
        <v>232</v>
      </c>
      <c r="N184" s="33">
        <v>749.7</v>
      </c>
      <c r="O184" s="107">
        <v>14</v>
      </c>
      <c r="P184" s="35">
        <f t="shared" si="11"/>
        <v>10495.800000000001</v>
      </c>
      <c r="Q184" s="36" t="s">
        <v>425</v>
      </c>
      <c r="R184" s="75"/>
      <c r="S184" s="75"/>
      <c r="T184" s="75"/>
      <c r="U184" s="75"/>
      <c r="V184" s="74"/>
    </row>
    <row r="185" spans="1:22" ht="15.75" customHeight="1">
      <c r="A185" s="1"/>
      <c r="B185" s="103"/>
      <c r="C185" s="104"/>
      <c r="E185" s="29"/>
      <c r="F185" s="47"/>
      <c r="J185" s="32" t="s">
        <v>326</v>
      </c>
      <c r="K185" s="157" t="s">
        <v>423</v>
      </c>
      <c r="L185" s="105" t="s">
        <v>424</v>
      </c>
      <c r="M185" s="106" t="s">
        <v>328</v>
      </c>
      <c r="N185" s="33">
        <v>1215.75</v>
      </c>
      <c r="O185" s="107" t="e">
        <f>'Measurement Sheet_FINAL'!#REF!</f>
        <v>#REF!</v>
      </c>
      <c r="P185" s="35" t="e">
        <f t="shared" si="11"/>
        <v>#REF!</v>
      </c>
      <c r="Q185" s="36" t="s">
        <v>432</v>
      </c>
      <c r="R185" s="75"/>
      <c r="S185" s="75"/>
      <c r="T185" s="75"/>
      <c r="U185" s="75"/>
      <c r="V185" s="74"/>
    </row>
    <row r="186" spans="1:22" ht="15.75" customHeight="1">
      <c r="A186" s="1"/>
      <c r="B186" s="103"/>
      <c r="C186" s="104"/>
      <c r="E186" s="29"/>
      <c r="F186" s="47"/>
      <c r="J186" s="32" t="s">
        <v>326</v>
      </c>
      <c r="K186" s="157">
        <v>9.1669999999999998</v>
      </c>
      <c r="L186" s="105" t="s">
        <v>426</v>
      </c>
      <c r="M186" s="106" t="s">
        <v>328</v>
      </c>
      <c r="N186" s="33">
        <v>902.55</v>
      </c>
      <c r="O186" s="107" t="e">
        <f>O185</f>
        <v>#REF!</v>
      </c>
      <c r="P186" s="35" t="e">
        <f t="shared" si="11"/>
        <v>#REF!</v>
      </c>
      <c r="Q186" s="36" t="s">
        <v>432</v>
      </c>
      <c r="R186" s="75"/>
      <c r="S186" s="75"/>
      <c r="T186" s="75"/>
      <c r="U186" s="75"/>
      <c r="V186" s="74"/>
    </row>
    <row r="187" spans="1:22" ht="15.75" customHeight="1">
      <c r="A187" s="1"/>
      <c r="B187" s="103"/>
      <c r="C187" s="104"/>
      <c r="E187" s="29"/>
      <c r="F187" s="47"/>
      <c r="J187" s="32" t="s">
        <v>326</v>
      </c>
      <c r="K187" s="157">
        <v>9.1679999999999993</v>
      </c>
      <c r="L187" s="105" t="s">
        <v>427</v>
      </c>
      <c r="M187" s="106" t="s">
        <v>328</v>
      </c>
      <c r="N187" s="33">
        <v>2563.75</v>
      </c>
      <c r="O187" s="107" t="e">
        <f>O185</f>
        <v>#REF!</v>
      </c>
      <c r="P187" s="35" t="e">
        <f t="shared" si="11"/>
        <v>#REF!</v>
      </c>
      <c r="Q187" s="36" t="s">
        <v>432</v>
      </c>
      <c r="R187" s="75"/>
      <c r="S187" s="75"/>
      <c r="T187" s="75"/>
      <c r="U187" s="75"/>
      <c r="V187" s="74"/>
    </row>
    <row r="188" spans="1:22" ht="15.75" customHeight="1">
      <c r="A188" s="1"/>
      <c r="B188" s="103"/>
      <c r="C188" s="104"/>
      <c r="E188" s="29"/>
      <c r="F188" s="47"/>
      <c r="J188" s="32" t="s">
        <v>326</v>
      </c>
      <c r="K188" s="157">
        <v>17.309999999999999</v>
      </c>
      <c r="L188" s="105" t="s">
        <v>433</v>
      </c>
      <c r="M188" s="106" t="s">
        <v>216</v>
      </c>
      <c r="N188" s="33">
        <v>1411.15</v>
      </c>
      <c r="O188" s="107">
        <v>12</v>
      </c>
      <c r="P188" s="35">
        <f t="shared" si="11"/>
        <v>16933.800000000003</v>
      </c>
      <c r="Q188" s="36" t="s">
        <v>434</v>
      </c>
      <c r="R188" s="75"/>
      <c r="S188" s="75"/>
      <c r="T188" s="75"/>
      <c r="U188" s="75"/>
      <c r="V188" s="74"/>
    </row>
    <row r="189" spans="1:22" ht="15.75" customHeight="1">
      <c r="A189" s="1"/>
      <c r="B189" s="103"/>
      <c r="C189" s="104"/>
      <c r="E189" s="29"/>
      <c r="F189" s="47"/>
      <c r="J189" s="32"/>
      <c r="K189" s="44" t="s">
        <v>91</v>
      </c>
      <c r="L189" s="106" t="s">
        <v>435</v>
      </c>
      <c r="M189" s="106" t="s">
        <v>328</v>
      </c>
      <c r="N189" s="33">
        <v>3000</v>
      </c>
      <c r="O189" s="107">
        <f>'Measurement Sheet_FINAL'!H1169</f>
        <v>7.0608324043106654</v>
      </c>
      <c r="P189" s="35">
        <f t="shared" si="11"/>
        <v>21182.497212931998</v>
      </c>
      <c r="Q189" s="36" t="s">
        <v>436</v>
      </c>
      <c r="R189" s="75"/>
      <c r="S189" s="75"/>
      <c r="T189" s="75"/>
      <c r="U189" s="75"/>
      <c r="V189" s="74"/>
    </row>
    <row r="190" spans="1:22" ht="15.75" customHeight="1">
      <c r="A190" s="1"/>
      <c r="B190" s="103"/>
      <c r="C190" s="104"/>
      <c r="E190" s="29"/>
      <c r="F190" s="47"/>
      <c r="J190" s="32"/>
      <c r="K190" s="33"/>
      <c r="L190" s="106"/>
      <c r="M190" s="106"/>
      <c r="N190" s="33"/>
      <c r="O190" s="107"/>
      <c r="P190" s="35"/>
      <c r="Q190" s="36"/>
      <c r="R190" s="75"/>
      <c r="S190" s="75"/>
      <c r="T190" s="75"/>
      <c r="U190" s="75"/>
      <c r="V190" s="74"/>
    </row>
    <row r="191" spans="1:22" ht="15.75" customHeight="1">
      <c r="A191" s="1"/>
      <c r="B191" s="103"/>
      <c r="C191" s="8"/>
      <c r="E191" s="29"/>
      <c r="F191" s="47"/>
      <c r="J191" s="32"/>
      <c r="K191" s="33"/>
      <c r="L191" s="158" t="s">
        <v>738</v>
      </c>
      <c r="M191" s="106"/>
      <c r="N191" s="33"/>
      <c r="O191" s="107"/>
      <c r="P191" s="35"/>
      <c r="Q191" s="36"/>
      <c r="R191" s="75"/>
      <c r="S191" s="75"/>
      <c r="T191" s="75"/>
      <c r="U191" s="75"/>
      <c r="V191" s="74"/>
    </row>
    <row r="192" spans="1:22" ht="15.75" customHeight="1">
      <c r="A192" s="69">
        <v>2</v>
      </c>
      <c r="B192" s="70" t="s">
        <v>261</v>
      </c>
      <c r="C192" s="71" t="s">
        <v>262</v>
      </c>
      <c r="D192" s="72" t="s">
        <v>257</v>
      </c>
      <c r="E192" s="30">
        <v>1</v>
      </c>
      <c r="F192" s="30" t="s">
        <v>103</v>
      </c>
      <c r="G192" s="83"/>
      <c r="H192" s="28">
        <f>G192*E192</f>
        <v>0</v>
      </c>
      <c r="J192" s="30"/>
      <c r="K192" s="57"/>
      <c r="L192" s="71" t="s">
        <v>440</v>
      </c>
      <c r="M192" s="32" t="s">
        <v>441</v>
      </c>
      <c r="N192" s="33"/>
      <c r="O192" s="107">
        <v>8</v>
      </c>
      <c r="P192" s="35">
        <f t="shared" ref="P192:P217" si="12">O192*N192</f>
        <v>0</v>
      </c>
      <c r="Q192" s="36" t="s">
        <v>442</v>
      </c>
      <c r="R192" s="114"/>
      <c r="S192" s="75"/>
      <c r="T192" s="75"/>
      <c r="U192" s="75"/>
      <c r="V192" s="74"/>
    </row>
    <row r="193" spans="1:22" ht="15.75" customHeight="1">
      <c r="A193" s="69"/>
      <c r="B193" s="70"/>
      <c r="C193" s="71" t="s">
        <v>263</v>
      </c>
      <c r="D193" s="72" t="s">
        <v>195</v>
      </c>
      <c r="E193" s="30">
        <v>9</v>
      </c>
      <c r="F193" s="30" t="s">
        <v>34</v>
      </c>
      <c r="G193" s="83"/>
      <c r="H193" s="28">
        <f>G193*E193</f>
        <v>0</v>
      </c>
      <c r="J193" s="30"/>
      <c r="K193" s="57"/>
      <c r="L193" s="71" t="s">
        <v>443</v>
      </c>
      <c r="M193" s="32" t="s">
        <v>441</v>
      </c>
      <c r="N193" s="33"/>
      <c r="O193" s="107">
        <v>8</v>
      </c>
      <c r="P193" s="35">
        <f t="shared" si="12"/>
        <v>0</v>
      </c>
      <c r="Q193" s="36" t="s">
        <v>444</v>
      </c>
      <c r="R193" s="114"/>
      <c r="S193" s="75"/>
      <c r="T193" s="75"/>
      <c r="U193" s="75"/>
      <c r="V193" s="74"/>
    </row>
    <row r="194" spans="1:22" ht="15.75" customHeight="1">
      <c r="A194" s="1"/>
      <c r="B194" s="103"/>
      <c r="C194" s="8"/>
      <c r="E194" s="29"/>
      <c r="F194" s="47"/>
      <c r="J194" s="32"/>
      <c r="K194" s="57"/>
      <c r="L194" s="71" t="s">
        <v>445</v>
      </c>
      <c r="M194" s="32" t="s">
        <v>441</v>
      </c>
      <c r="N194" s="33"/>
      <c r="O194" s="107">
        <v>1</v>
      </c>
      <c r="P194" s="35">
        <f t="shared" si="12"/>
        <v>0</v>
      </c>
      <c r="Q194" s="36" t="s">
        <v>446</v>
      </c>
      <c r="R194" s="114"/>
      <c r="S194" s="75"/>
      <c r="T194" s="75"/>
      <c r="U194" s="75"/>
      <c r="V194" s="74"/>
    </row>
    <row r="195" spans="1:22" ht="15.75" customHeight="1">
      <c r="A195" s="1"/>
      <c r="B195" s="103"/>
      <c r="C195" s="8"/>
      <c r="E195" s="29"/>
      <c r="F195" s="47"/>
      <c r="J195" s="66"/>
      <c r="K195" s="57"/>
      <c r="L195" s="71" t="s">
        <v>447</v>
      </c>
      <c r="M195" s="32" t="s">
        <v>441</v>
      </c>
      <c r="N195" s="33"/>
      <c r="O195" s="107">
        <v>1</v>
      </c>
      <c r="P195" s="35">
        <f t="shared" si="12"/>
        <v>0</v>
      </c>
      <c r="Q195" s="36" t="s">
        <v>448</v>
      </c>
      <c r="R195" s="114"/>
      <c r="S195" s="75"/>
      <c r="T195" s="75"/>
      <c r="U195" s="75"/>
      <c r="V195" s="74"/>
    </row>
    <row r="196" spans="1:22" ht="15.75" customHeight="1">
      <c r="A196" s="69">
        <v>2</v>
      </c>
      <c r="B196" s="70" t="s">
        <v>261</v>
      </c>
      <c r="C196" s="71" t="s">
        <v>262</v>
      </c>
      <c r="D196" s="72" t="s">
        <v>257</v>
      </c>
      <c r="E196" s="30">
        <v>1</v>
      </c>
      <c r="F196" s="30" t="s">
        <v>103</v>
      </c>
      <c r="G196" s="83"/>
      <c r="H196" s="28">
        <f>G196*E196</f>
        <v>0</v>
      </c>
      <c r="J196" s="30"/>
      <c r="K196" s="57"/>
      <c r="L196" s="71" t="s">
        <v>449</v>
      </c>
      <c r="M196" s="32" t="s">
        <v>441</v>
      </c>
      <c r="N196" s="33"/>
      <c r="O196" s="107">
        <v>6</v>
      </c>
      <c r="P196" s="35">
        <f t="shared" si="12"/>
        <v>0</v>
      </c>
      <c r="Q196" s="36" t="s">
        <v>450</v>
      </c>
      <c r="R196" s="114"/>
      <c r="S196" s="75"/>
      <c r="T196" s="75"/>
      <c r="U196" s="75"/>
      <c r="V196" s="74"/>
    </row>
    <row r="197" spans="1:22" ht="15.75" customHeight="1">
      <c r="A197" s="69"/>
      <c r="B197" s="70"/>
      <c r="C197" s="71" t="s">
        <v>263</v>
      </c>
      <c r="D197" s="72" t="s">
        <v>195</v>
      </c>
      <c r="E197" s="30">
        <v>9</v>
      </c>
      <c r="F197" s="30" t="s">
        <v>34</v>
      </c>
      <c r="G197" s="83"/>
      <c r="H197" s="28">
        <f>G197*E197</f>
        <v>0</v>
      </c>
      <c r="J197" s="30"/>
      <c r="K197" s="57"/>
      <c r="L197" s="71" t="s">
        <v>451</v>
      </c>
      <c r="M197" s="32" t="s">
        <v>441</v>
      </c>
      <c r="N197" s="33"/>
      <c r="O197" s="107">
        <v>6</v>
      </c>
      <c r="P197" s="35">
        <f t="shared" si="12"/>
        <v>0</v>
      </c>
      <c r="Q197" s="36" t="s">
        <v>452</v>
      </c>
      <c r="R197" s="114"/>
      <c r="S197" s="75"/>
      <c r="T197" s="75"/>
      <c r="U197" s="75"/>
      <c r="V197" s="74"/>
    </row>
    <row r="198" spans="1:22" ht="15.75" customHeight="1">
      <c r="A198" s="69">
        <v>2</v>
      </c>
      <c r="B198" s="70" t="s">
        <v>261</v>
      </c>
      <c r="C198" s="71" t="s">
        <v>262</v>
      </c>
      <c r="D198" s="72" t="s">
        <v>257</v>
      </c>
      <c r="E198" s="30">
        <v>1</v>
      </c>
      <c r="F198" s="30" t="s">
        <v>103</v>
      </c>
      <c r="G198" s="83"/>
      <c r="H198" s="28">
        <f>G198*E198</f>
        <v>0</v>
      </c>
      <c r="J198" s="30"/>
      <c r="K198" s="57"/>
      <c r="L198" s="71" t="s">
        <v>449</v>
      </c>
      <c r="M198" s="32" t="s">
        <v>441</v>
      </c>
      <c r="N198" s="33"/>
      <c r="O198" s="107">
        <v>1</v>
      </c>
      <c r="P198" s="35">
        <f t="shared" si="12"/>
        <v>0</v>
      </c>
      <c r="Q198" s="36" t="s">
        <v>453</v>
      </c>
      <c r="R198" s="114"/>
      <c r="S198" s="75"/>
      <c r="T198" s="75"/>
      <c r="U198" s="75"/>
      <c r="V198" s="74"/>
    </row>
    <row r="199" spans="1:22" ht="15.75" customHeight="1">
      <c r="A199" s="69"/>
      <c r="B199" s="70"/>
      <c r="C199" s="71" t="s">
        <v>263</v>
      </c>
      <c r="D199" s="72" t="s">
        <v>195</v>
      </c>
      <c r="E199" s="30">
        <v>9</v>
      </c>
      <c r="F199" s="30" t="s">
        <v>34</v>
      </c>
      <c r="G199" s="83"/>
      <c r="H199" s="28">
        <f>G199*E199</f>
        <v>0</v>
      </c>
      <c r="J199" s="30"/>
      <c r="K199" s="57"/>
      <c r="L199" s="71" t="s">
        <v>451</v>
      </c>
      <c r="M199" s="32" t="s">
        <v>441</v>
      </c>
      <c r="N199" s="33"/>
      <c r="O199" s="107">
        <v>1</v>
      </c>
      <c r="P199" s="35">
        <f t="shared" si="12"/>
        <v>0</v>
      </c>
      <c r="Q199" s="36" t="s">
        <v>454</v>
      </c>
      <c r="R199" s="114"/>
      <c r="S199" s="75"/>
      <c r="T199" s="75"/>
      <c r="U199" s="75"/>
      <c r="V199" s="74"/>
    </row>
    <row r="200" spans="1:22" ht="15.75" customHeight="1">
      <c r="A200" s="69"/>
      <c r="B200" s="70"/>
      <c r="C200" s="71" t="s">
        <v>263</v>
      </c>
      <c r="D200" s="72" t="s">
        <v>195</v>
      </c>
      <c r="E200" s="30">
        <v>9</v>
      </c>
      <c r="F200" s="30" t="s">
        <v>34</v>
      </c>
      <c r="G200" s="83"/>
      <c r="H200" s="28">
        <f>G200*E200</f>
        <v>0</v>
      </c>
      <c r="J200" s="30"/>
      <c r="K200" s="57"/>
      <c r="L200" s="71" t="s">
        <v>455</v>
      </c>
      <c r="M200" s="32" t="s">
        <v>441</v>
      </c>
      <c r="N200" s="33"/>
      <c r="O200" s="107">
        <v>1</v>
      </c>
      <c r="P200" s="35">
        <f t="shared" si="12"/>
        <v>0</v>
      </c>
      <c r="Q200" s="36" t="s">
        <v>456</v>
      </c>
      <c r="R200" s="114"/>
      <c r="S200" s="75"/>
      <c r="T200" s="75"/>
      <c r="U200" s="75"/>
      <c r="V200" s="74"/>
    </row>
    <row r="201" spans="1:22" ht="15.75" customHeight="1">
      <c r="A201" s="1"/>
      <c r="B201" s="103"/>
      <c r="C201" s="8"/>
      <c r="E201" s="29"/>
      <c r="F201" s="47"/>
      <c r="J201" s="32"/>
      <c r="K201" s="57"/>
      <c r="L201" s="71" t="s">
        <v>457</v>
      </c>
      <c r="M201" s="32" t="s">
        <v>441</v>
      </c>
      <c r="N201" s="33"/>
      <c r="O201" s="107">
        <v>1</v>
      </c>
      <c r="P201" s="35">
        <f t="shared" si="12"/>
        <v>0</v>
      </c>
      <c r="Q201" s="36" t="s">
        <v>458</v>
      </c>
      <c r="R201" s="114"/>
      <c r="S201" s="75"/>
      <c r="T201" s="75"/>
      <c r="U201" s="75"/>
      <c r="V201" s="74"/>
    </row>
    <row r="202" spans="1:22" ht="15.75" customHeight="1">
      <c r="A202" s="1"/>
      <c r="B202" s="103"/>
      <c r="C202" s="8"/>
      <c r="E202" s="29"/>
      <c r="F202" s="47"/>
      <c r="J202" s="32"/>
      <c r="K202" s="57"/>
      <c r="L202" s="71" t="s">
        <v>459</v>
      </c>
      <c r="M202" s="32" t="s">
        <v>441</v>
      </c>
      <c r="N202" s="33"/>
      <c r="O202" s="107">
        <v>1</v>
      </c>
      <c r="P202" s="35">
        <f t="shared" si="12"/>
        <v>0</v>
      </c>
      <c r="Q202" s="36" t="s">
        <v>460</v>
      </c>
      <c r="R202" s="114"/>
      <c r="S202" s="75"/>
      <c r="T202" s="75"/>
      <c r="U202" s="75"/>
      <c r="V202" s="74"/>
    </row>
    <row r="203" spans="1:22" ht="15.75" customHeight="1">
      <c r="A203" s="1"/>
      <c r="B203" s="103"/>
      <c r="C203" s="8"/>
      <c r="E203" s="29"/>
      <c r="F203" s="47"/>
      <c r="J203" s="32"/>
      <c r="K203" s="57"/>
      <c r="L203" s="71" t="s">
        <v>461</v>
      </c>
      <c r="M203" s="32" t="s">
        <v>441</v>
      </c>
      <c r="N203" s="33"/>
      <c r="O203" s="107">
        <v>1</v>
      </c>
      <c r="P203" s="35">
        <f t="shared" si="12"/>
        <v>0</v>
      </c>
      <c r="Q203" s="36" t="s">
        <v>462</v>
      </c>
      <c r="R203" s="114"/>
      <c r="S203" s="75"/>
      <c r="T203" s="75"/>
      <c r="U203" s="75"/>
      <c r="V203" s="74"/>
    </row>
    <row r="204" spans="1:22" ht="15.75" customHeight="1">
      <c r="A204" s="1"/>
      <c r="B204" s="103"/>
      <c r="C204" s="8"/>
      <c r="E204" s="29"/>
      <c r="F204" s="47"/>
      <c r="J204" s="32"/>
      <c r="K204" s="57"/>
      <c r="L204" s="71" t="s">
        <v>463</v>
      </c>
      <c r="M204" s="32" t="s">
        <v>441</v>
      </c>
      <c r="N204" s="33"/>
      <c r="O204" s="107">
        <f>3+4</f>
        <v>7</v>
      </c>
      <c r="P204" s="35">
        <f t="shared" si="12"/>
        <v>0</v>
      </c>
      <c r="Q204" s="36" t="s">
        <v>464</v>
      </c>
      <c r="R204" s="114"/>
      <c r="S204" s="75"/>
      <c r="T204" s="75"/>
      <c r="U204" s="75"/>
      <c r="V204" s="74"/>
    </row>
    <row r="205" spans="1:22" ht="15.75" customHeight="1">
      <c r="A205" s="69">
        <v>2</v>
      </c>
      <c r="B205" s="70" t="s">
        <v>261</v>
      </c>
      <c r="C205" s="71" t="s">
        <v>262</v>
      </c>
      <c r="D205" s="72" t="s">
        <v>257</v>
      </c>
      <c r="E205" s="30">
        <v>1</v>
      </c>
      <c r="F205" s="30" t="s">
        <v>103</v>
      </c>
      <c r="G205" s="83"/>
      <c r="H205" s="28">
        <f>G205*E205</f>
        <v>0</v>
      </c>
      <c r="J205" s="30"/>
      <c r="K205" s="57"/>
      <c r="L205" s="71" t="s">
        <v>465</v>
      </c>
      <c r="M205" s="32" t="s">
        <v>441</v>
      </c>
      <c r="N205" s="33"/>
      <c r="O205" s="107">
        <v>1</v>
      </c>
      <c r="P205" s="35">
        <f t="shared" si="12"/>
        <v>0</v>
      </c>
      <c r="Q205" s="36" t="s">
        <v>466</v>
      </c>
      <c r="R205" s="114"/>
      <c r="S205" s="75"/>
      <c r="T205" s="75"/>
      <c r="U205" s="75"/>
      <c r="V205" s="74"/>
    </row>
    <row r="206" spans="1:22" ht="15.75" customHeight="1">
      <c r="A206" s="69"/>
      <c r="B206" s="70"/>
      <c r="C206" s="71" t="s">
        <v>263</v>
      </c>
      <c r="D206" s="72" t="s">
        <v>195</v>
      </c>
      <c r="E206" s="30">
        <v>9</v>
      </c>
      <c r="F206" s="30" t="s">
        <v>34</v>
      </c>
      <c r="G206" s="83"/>
      <c r="H206" s="28">
        <f>G206*E206</f>
        <v>0</v>
      </c>
      <c r="J206" s="30"/>
      <c r="K206" s="57"/>
      <c r="L206" s="71" t="s">
        <v>451</v>
      </c>
      <c r="M206" s="32" t="s">
        <v>441</v>
      </c>
      <c r="N206" s="33"/>
      <c r="O206" s="107">
        <v>1</v>
      </c>
      <c r="P206" s="35">
        <f t="shared" si="12"/>
        <v>0</v>
      </c>
      <c r="Q206" s="36" t="s">
        <v>467</v>
      </c>
      <c r="R206" s="114"/>
      <c r="S206" s="75"/>
      <c r="T206" s="75"/>
      <c r="U206" s="75"/>
      <c r="V206" s="74"/>
    </row>
    <row r="207" spans="1:22" ht="15.75" customHeight="1">
      <c r="A207" s="1"/>
      <c r="B207" s="103"/>
      <c r="C207" s="8"/>
      <c r="E207" s="29"/>
      <c r="F207" s="47"/>
      <c r="J207" s="32"/>
      <c r="K207" s="57"/>
      <c r="L207" s="71" t="s">
        <v>461</v>
      </c>
      <c r="M207" s="32" t="s">
        <v>441</v>
      </c>
      <c r="N207" s="33"/>
      <c r="O207" s="107">
        <v>1</v>
      </c>
      <c r="P207" s="35">
        <f t="shared" si="12"/>
        <v>0</v>
      </c>
      <c r="Q207" s="36" t="s">
        <v>468</v>
      </c>
      <c r="R207" s="114"/>
      <c r="S207" s="75"/>
      <c r="T207" s="75"/>
      <c r="U207" s="75"/>
      <c r="V207" s="74"/>
    </row>
    <row r="208" spans="1:22" ht="15.75" customHeight="1">
      <c r="A208" s="1"/>
      <c r="B208" s="103"/>
      <c r="C208" s="8"/>
      <c r="E208" s="29"/>
      <c r="F208" s="47"/>
      <c r="J208" s="32"/>
      <c r="K208" s="33"/>
      <c r="L208" s="71" t="s">
        <v>469</v>
      </c>
      <c r="M208" s="32" t="s">
        <v>441</v>
      </c>
      <c r="N208" s="33"/>
      <c r="O208" s="107">
        <v>1</v>
      </c>
      <c r="P208" s="35">
        <f t="shared" si="12"/>
        <v>0</v>
      </c>
      <c r="Q208" s="36" t="s">
        <v>470</v>
      </c>
      <c r="R208" s="114"/>
      <c r="S208" s="75"/>
      <c r="T208" s="75"/>
      <c r="U208" s="75"/>
      <c r="V208" s="74"/>
    </row>
    <row r="209" spans="1:22" ht="15.75" customHeight="1">
      <c r="A209" s="1"/>
      <c r="B209" s="103"/>
      <c r="C209" s="8"/>
      <c r="E209" s="29"/>
      <c r="F209" s="47"/>
      <c r="J209" s="32"/>
      <c r="K209" s="33"/>
      <c r="L209" s="71" t="s">
        <v>471</v>
      </c>
      <c r="M209" s="32" t="s">
        <v>441</v>
      </c>
      <c r="N209" s="33"/>
      <c r="O209" s="107">
        <v>1</v>
      </c>
      <c r="P209" s="35">
        <f t="shared" si="12"/>
        <v>0</v>
      </c>
      <c r="Q209" s="36" t="s">
        <v>472</v>
      </c>
      <c r="R209" s="114"/>
      <c r="S209" s="75"/>
      <c r="T209" s="75"/>
      <c r="U209" s="75"/>
      <c r="V209" s="74"/>
    </row>
    <row r="210" spans="1:22" ht="15.75" customHeight="1">
      <c r="A210" s="1"/>
      <c r="B210" s="103"/>
      <c r="C210" s="8"/>
      <c r="E210" s="29"/>
      <c r="F210" s="47"/>
      <c r="J210" s="32"/>
      <c r="K210" s="33"/>
      <c r="L210" s="71" t="s">
        <v>473</v>
      </c>
      <c r="M210" s="32" t="s">
        <v>441</v>
      </c>
      <c r="N210" s="33"/>
      <c r="O210" s="107">
        <v>1</v>
      </c>
      <c r="P210" s="35">
        <f t="shared" si="12"/>
        <v>0</v>
      </c>
      <c r="Q210" s="36" t="s">
        <v>474</v>
      </c>
      <c r="R210" s="114"/>
      <c r="S210" s="75"/>
      <c r="T210" s="75"/>
      <c r="U210" s="75"/>
      <c r="V210" s="74"/>
    </row>
    <row r="211" spans="1:22" ht="15.75" customHeight="1">
      <c r="A211" s="69"/>
      <c r="B211" s="70"/>
      <c r="C211" s="71" t="s">
        <v>263</v>
      </c>
      <c r="D211" s="72" t="s">
        <v>195</v>
      </c>
      <c r="E211" s="30">
        <v>9</v>
      </c>
      <c r="F211" s="30" t="s">
        <v>34</v>
      </c>
      <c r="G211" s="83"/>
      <c r="H211" s="28">
        <f>G211*E211</f>
        <v>0</v>
      </c>
      <c r="J211" s="30"/>
      <c r="K211" s="57"/>
      <c r="L211" s="71" t="s">
        <v>475</v>
      </c>
      <c r="M211" s="32" t="s">
        <v>441</v>
      </c>
      <c r="N211" s="33"/>
      <c r="O211" s="107">
        <v>1</v>
      </c>
      <c r="P211" s="35">
        <f t="shared" si="12"/>
        <v>0</v>
      </c>
      <c r="Q211" s="36" t="s">
        <v>476</v>
      </c>
      <c r="R211" s="114"/>
      <c r="S211" s="75"/>
      <c r="T211" s="75"/>
      <c r="U211" s="75"/>
      <c r="V211" s="74"/>
    </row>
    <row r="212" spans="1:22" ht="15.75" customHeight="1">
      <c r="A212" s="1"/>
      <c r="B212" s="103"/>
      <c r="C212" s="8"/>
      <c r="E212" s="29"/>
      <c r="F212" s="47"/>
      <c r="J212" s="32"/>
      <c r="K212" s="33"/>
      <c r="L212" s="71" t="s">
        <v>477</v>
      </c>
      <c r="M212" s="32" t="s">
        <v>441</v>
      </c>
      <c r="N212" s="33"/>
      <c r="O212" s="107">
        <v>1</v>
      </c>
      <c r="P212" s="35">
        <f t="shared" si="12"/>
        <v>0</v>
      </c>
      <c r="Q212" s="36" t="s">
        <v>478</v>
      </c>
      <c r="R212" s="114"/>
      <c r="S212" s="75"/>
      <c r="T212" s="75"/>
      <c r="U212" s="75"/>
      <c r="V212" s="74"/>
    </row>
    <row r="213" spans="1:22" ht="15.75" customHeight="1">
      <c r="A213" s="1"/>
      <c r="B213" s="103"/>
      <c r="C213" s="8"/>
      <c r="E213" s="29"/>
      <c r="F213" s="47"/>
      <c r="J213" s="32"/>
      <c r="K213" s="57"/>
      <c r="L213" s="71" t="s">
        <v>479</v>
      </c>
      <c r="M213" s="32" t="s">
        <v>441</v>
      </c>
      <c r="N213" s="33"/>
      <c r="O213" s="107">
        <v>1</v>
      </c>
      <c r="P213" s="35">
        <f t="shared" si="12"/>
        <v>0</v>
      </c>
      <c r="Q213" s="36" t="s">
        <v>480</v>
      </c>
      <c r="R213" s="114"/>
      <c r="S213" s="75"/>
      <c r="T213" s="75"/>
      <c r="U213" s="75"/>
      <c r="V213" s="74"/>
    </row>
    <row r="214" spans="1:22" ht="15.75" customHeight="1">
      <c r="A214" s="1"/>
      <c r="B214" s="103"/>
      <c r="C214" s="8"/>
      <c r="E214" s="29"/>
      <c r="F214" s="47"/>
      <c r="J214" s="32"/>
      <c r="K214" s="57"/>
      <c r="L214" s="71" t="s">
        <v>481</v>
      </c>
      <c r="M214" s="32" t="s">
        <v>441</v>
      </c>
      <c r="N214" s="33"/>
      <c r="O214" s="107">
        <v>1</v>
      </c>
      <c r="P214" s="35">
        <f t="shared" si="12"/>
        <v>0</v>
      </c>
      <c r="Q214" s="36" t="s">
        <v>482</v>
      </c>
      <c r="R214" s="114"/>
      <c r="S214" s="75"/>
      <c r="T214" s="75"/>
      <c r="U214" s="75"/>
      <c r="V214" s="74"/>
    </row>
    <row r="215" spans="1:22" ht="15.75" customHeight="1">
      <c r="A215" s="69">
        <v>2</v>
      </c>
      <c r="B215" s="70" t="s">
        <v>261</v>
      </c>
      <c r="C215" s="71" t="s">
        <v>262</v>
      </c>
      <c r="D215" s="72" t="s">
        <v>257</v>
      </c>
      <c r="E215" s="30">
        <v>1</v>
      </c>
      <c r="F215" s="30" t="s">
        <v>103</v>
      </c>
      <c r="G215" s="83"/>
      <c r="H215" s="28">
        <f>G215*E215</f>
        <v>0</v>
      </c>
      <c r="J215" s="30"/>
      <c r="K215" s="57"/>
      <c r="L215" s="71" t="s">
        <v>483</v>
      </c>
      <c r="M215" s="32" t="s">
        <v>441</v>
      </c>
      <c r="N215" s="33"/>
      <c r="O215" s="107">
        <v>1</v>
      </c>
      <c r="P215" s="35">
        <f t="shared" si="12"/>
        <v>0</v>
      </c>
      <c r="Q215" s="36" t="s">
        <v>484</v>
      </c>
      <c r="R215" s="114"/>
      <c r="S215" s="75"/>
      <c r="T215" s="75"/>
      <c r="U215" s="75"/>
      <c r="V215" s="74"/>
    </row>
    <row r="216" spans="1:22" ht="15.75" customHeight="1">
      <c r="A216" s="69"/>
      <c r="B216" s="70"/>
      <c r="C216" s="71" t="s">
        <v>263</v>
      </c>
      <c r="D216" s="72" t="s">
        <v>195</v>
      </c>
      <c r="E216" s="30">
        <v>9</v>
      </c>
      <c r="F216" s="30" t="s">
        <v>34</v>
      </c>
      <c r="G216" s="83"/>
      <c r="H216" s="28">
        <f>G216*E216</f>
        <v>0</v>
      </c>
      <c r="J216" s="30"/>
      <c r="K216" s="57"/>
      <c r="L216" s="71" t="s">
        <v>485</v>
      </c>
      <c r="M216" s="32" t="s">
        <v>441</v>
      </c>
      <c r="N216" s="33"/>
      <c r="O216" s="107">
        <v>1</v>
      </c>
      <c r="P216" s="35">
        <f t="shared" si="12"/>
        <v>0</v>
      </c>
      <c r="Q216" s="36" t="s">
        <v>486</v>
      </c>
      <c r="R216" s="114"/>
      <c r="S216" s="75"/>
      <c r="T216" s="75"/>
      <c r="U216" s="75"/>
      <c r="V216" s="74"/>
    </row>
    <row r="217" spans="1:22" ht="15.75" customHeight="1">
      <c r="A217" s="1"/>
      <c r="B217" s="103"/>
      <c r="C217" s="104"/>
      <c r="E217" s="29"/>
      <c r="F217" s="47"/>
      <c r="J217" s="32"/>
      <c r="K217" s="57"/>
      <c r="L217" s="106" t="s">
        <v>487</v>
      </c>
      <c r="M217" s="32" t="s">
        <v>441</v>
      </c>
      <c r="N217" s="33"/>
      <c r="O217" s="107">
        <v>1</v>
      </c>
      <c r="P217" s="35">
        <f t="shared" si="12"/>
        <v>0</v>
      </c>
      <c r="Q217" s="36" t="s">
        <v>488</v>
      </c>
      <c r="R217" s="75"/>
      <c r="S217" s="75"/>
      <c r="T217" s="75"/>
      <c r="U217" s="75"/>
      <c r="V217" s="74"/>
    </row>
    <row r="218" spans="1:22" ht="15.75" customHeight="1">
      <c r="A218" s="1"/>
      <c r="B218" s="103"/>
      <c r="C218" s="8"/>
      <c r="E218" s="29"/>
      <c r="F218" s="47"/>
      <c r="J218" s="66"/>
      <c r="K218" s="76"/>
      <c r="N218" s="66"/>
      <c r="O218" s="115"/>
      <c r="P218" s="116"/>
      <c r="Q218" s="66"/>
      <c r="R218" s="75"/>
      <c r="S218" s="75"/>
      <c r="T218" s="75"/>
      <c r="U218" s="75"/>
      <c r="V218" s="74"/>
    </row>
    <row r="219" spans="1:22" ht="15.75" customHeight="1">
      <c r="A219" s="1"/>
      <c r="B219" s="103"/>
      <c r="C219" s="4"/>
      <c r="D219" s="1"/>
      <c r="E219" s="47"/>
      <c r="F219" s="47"/>
      <c r="G219" s="1"/>
      <c r="H219" s="1"/>
      <c r="J219" s="688" t="s">
        <v>489</v>
      </c>
      <c r="K219" s="689"/>
      <c r="L219" s="689"/>
      <c r="M219" s="689"/>
      <c r="N219" s="689"/>
      <c r="O219" s="689"/>
      <c r="P219" s="689"/>
      <c r="Q219" s="690"/>
      <c r="R219" s="75"/>
      <c r="S219" s="75"/>
      <c r="T219" s="75"/>
      <c r="U219" s="75"/>
      <c r="V219" s="74"/>
    </row>
    <row r="220" spans="1:22" ht="15.75" customHeight="1">
      <c r="A220" s="117" t="s">
        <v>15</v>
      </c>
      <c r="B220" s="118" t="s">
        <v>16</v>
      </c>
      <c r="C220" s="119" t="s">
        <v>17</v>
      </c>
      <c r="D220" s="119" t="s">
        <v>18</v>
      </c>
      <c r="E220" s="119" t="s">
        <v>19</v>
      </c>
      <c r="F220" s="119" t="s">
        <v>20</v>
      </c>
      <c r="G220" s="119" t="s">
        <v>21</v>
      </c>
      <c r="H220" s="120" t="s">
        <v>22</v>
      </c>
      <c r="J220" s="121" t="s">
        <v>23</v>
      </c>
      <c r="K220" s="122" t="s">
        <v>24</v>
      </c>
      <c r="L220" s="123" t="s">
        <v>25</v>
      </c>
      <c r="M220" s="123" t="s">
        <v>26</v>
      </c>
      <c r="N220" s="124" t="s">
        <v>27</v>
      </c>
      <c r="O220" s="125" t="s">
        <v>28</v>
      </c>
      <c r="P220" s="126" t="s">
        <v>22</v>
      </c>
      <c r="Q220" s="127" t="s">
        <v>29</v>
      </c>
      <c r="R220" s="75"/>
      <c r="S220" s="75"/>
      <c r="T220" s="75"/>
      <c r="U220" s="75"/>
      <c r="V220" s="74"/>
    </row>
    <row r="221" spans="1:22" ht="15.75" customHeight="1">
      <c r="A221" s="72"/>
      <c r="B221" s="70"/>
      <c r="C221" s="102"/>
      <c r="D221" s="106"/>
      <c r="E221" s="92"/>
      <c r="F221" s="30"/>
      <c r="G221" s="106"/>
      <c r="H221" s="106"/>
      <c r="I221" s="106"/>
      <c r="J221" s="32"/>
      <c r="K221" s="691" t="s">
        <v>490</v>
      </c>
      <c r="L221" s="692"/>
      <c r="M221" s="106"/>
      <c r="N221" s="32"/>
      <c r="O221" s="34"/>
      <c r="P221" s="35"/>
      <c r="Q221" s="36"/>
      <c r="R221" s="75"/>
      <c r="S221" s="75"/>
      <c r="T221" s="75"/>
      <c r="U221" s="75"/>
      <c r="V221" s="74"/>
    </row>
    <row r="222" spans="1:22" ht="15.75" customHeight="1">
      <c r="A222" s="72"/>
      <c r="B222" s="70"/>
      <c r="C222" s="94"/>
      <c r="D222" s="106"/>
      <c r="E222" s="92"/>
      <c r="F222" s="30"/>
      <c r="G222" s="106"/>
      <c r="H222" s="106"/>
      <c r="I222" s="106"/>
      <c r="J222" s="72"/>
      <c r="K222" s="70" t="s">
        <v>491</v>
      </c>
      <c r="L222" s="102" t="s">
        <v>492</v>
      </c>
      <c r="M222" s="106" t="s">
        <v>493</v>
      </c>
      <c r="N222" s="92">
        <v>1467</v>
      </c>
      <c r="O222" s="30">
        <v>138</v>
      </c>
      <c r="P222" s="106">
        <f>N222*O222</f>
        <v>202446</v>
      </c>
      <c r="Q222" s="36"/>
      <c r="R222" s="75"/>
      <c r="S222" s="75"/>
      <c r="T222" s="75"/>
      <c r="U222" s="75"/>
      <c r="V222" s="74"/>
    </row>
    <row r="223" spans="1:22" ht="15.75" customHeight="1">
      <c r="A223" s="72"/>
      <c r="B223" s="70"/>
      <c r="C223" s="94"/>
      <c r="D223" s="106"/>
      <c r="E223" s="92"/>
      <c r="F223" s="30"/>
      <c r="G223" s="106"/>
      <c r="H223" s="106"/>
      <c r="I223" s="106"/>
      <c r="J223" s="72"/>
      <c r="K223" s="70">
        <v>1.1100000000000001</v>
      </c>
      <c r="L223" s="102" t="s">
        <v>494</v>
      </c>
      <c r="M223" s="106" t="s">
        <v>493</v>
      </c>
      <c r="N223" s="92">
        <v>1562</v>
      </c>
      <c r="O223" s="30">
        <v>5</v>
      </c>
      <c r="P223" s="106">
        <f>N223*O223</f>
        <v>7810</v>
      </c>
      <c r="Q223" s="36"/>
      <c r="R223" s="75"/>
      <c r="S223" s="75"/>
      <c r="T223" s="75"/>
      <c r="U223" s="75"/>
      <c r="V223" s="74"/>
    </row>
    <row r="224" spans="1:22" ht="15.75" customHeight="1">
      <c r="A224" s="72"/>
      <c r="B224" s="70"/>
      <c r="C224" s="94"/>
      <c r="D224" s="106"/>
      <c r="E224" s="92"/>
      <c r="F224" s="30"/>
      <c r="G224" s="106"/>
      <c r="H224" s="106"/>
      <c r="I224" s="106"/>
      <c r="J224" s="72"/>
      <c r="K224" s="70" t="s">
        <v>495</v>
      </c>
      <c r="L224" s="102" t="s">
        <v>496</v>
      </c>
      <c r="M224" s="106" t="s">
        <v>493</v>
      </c>
      <c r="N224" s="92">
        <v>858</v>
      </c>
      <c r="O224" s="30">
        <v>224</v>
      </c>
      <c r="P224" s="106">
        <f>N224*O224</f>
        <v>192192</v>
      </c>
      <c r="Q224" s="36"/>
      <c r="R224" s="75"/>
      <c r="S224" s="75"/>
      <c r="T224" s="75"/>
      <c r="U224" s="75"/>
      <c r="V224" s="74"/>
    </row>
    <row r="225" spans="1:22" ht="15.75" customHeight="1">
      <c r="A225" s="72"/>
      <c r="B225" s="70"/>
      <c r="C225" s="94"/>
      <c r="D225" s="106"/>
      <c r="E225" s="92"/>
      <c r="F225" s="30"/>
      <c r="G225" s="106"/>
      <c r="H225" s="106"/>
      <c r="I225" s="106"/>
      <c r="J225" s="72"/>
      <c r="K225" s="70">
        <v>1.1399999999999999</v>
      </c>
      <c r="L225" s="102" t="s">
        <v>497</v>
      </c>
      <c r="M225" s="106"/>
      <c r="N225" s="92"/>
      <c r="O225" s="30"/>
      <c r="P225" s="106"/>
      <c r="Q225" s="36"/>
      <c r="R225" s="75"/>
      <c r="S225" s="75"/>
      <c r="T225" s="75"/>
      <c r="U225" s="75"/>
      <c r="V225" s="74"/>
    </row>
    <row r="226" spans="1:22" ht="15.75" customHeight="1">
      <c r="A226" s="72"/>
      <c r="B226" s="70"/>
      <c r="C226" s="94"/>
      <c r="D226" s="106"/>
      <c r="E226" s="92"/>
      <c r="F226" s="30"/>
      <c r="G226" s="106"/>
      <c r="H226" s="106"/>
      <c r="I226" s="106"/>
      <c r="J226" s="72"/>
      <c r="K226" s="70" t="s">
        <v>498</v>
      </c>
      <c r="L226" s="102" t="s">
        <v>499</v>
      </c>
      <c r="M226" s="106" t="s">
        <v>500</v>
      </c>
      <c r="N226" s="92">
        <v>233</v>
      </c>
      <c r="O226" s="30">
        <v>840</v>
      </c>
      <c r="P226" s="106">
        <f t="shared" ref="P226:P237" si="13">N226*O226</f>
        <v>195720</v>
      </c>
      <c r="Q226" s="36"/>
      <c r="R226" s="75"/>
      <c r="S226" s="75"/>
      <c r="T226" s="75"/>
      <c r="U226" s="75"/>
      <c r="V226" s="74"/>
    </row>
    <row r="227" spans="1:22" ht="15.75" customHeight="1">
      <c r="A227" s="72"/>
      <c r="B227" s="70"/>
      <c r="C227" s="94"/>
      <c r="D227" s="106"/>
      <c r="E227" s="92"/>
      <c r="F227" s="30"/>
      <c r="G227" s="106"/>
      <c r="H227" s="106"/>
      <c r="I227" s="106"/>
      <c r="J227" s="72"/>
      <c r="K227" s="70" t="s">
        <v>501</v>
      </c>
      <c r="L227" s="102" t="s">
        <v>502</v>
      </c>
      <c r="M227" s="106" t="s">
        <v>500</v>
      </c>
      <c r="N227" s="92">
        <v>275</v>
      </c>
      <c r="O227" s="30">
        <v>1545</v>
      </c>
      <c r="P227" s="106">
        <f t="shared" si="13"/>
        <v>424875</v>
      </c>
      <c r="Q227" s="36"/>
      <c r="R227" s="75"/>
      <c r="S227" s="75"/>
      <c r="T227" s="75"/>
      <c r="U227" s="75"/>
      <c r="V227" s="74"/>
    </row>
    <row r="228" spans="1:22" ht="15.75" customHeight="1">
      <c r="A228" s="72"/>
      <c r="B228" s="70"/>
      <c r="C228" s="94"/>
      <c r="D228" s="106"/>
      <c r="E228" s="92"/>
      <c r="F228" s="30"/>
      <c r="G228" s="106"/>
      <c r="H228" s="106"/>
      <c r="I228" s="106"/>
      <c r="J228" s="72"/>
      <c r="K228" s="70" t="s">
        <v>503</v>
      </c>
      <c r="L228" s="102" t="s">
        <v>504</v>
      </c>
      <c r="M228" s="106" t="s">
        <v>500</v>
      </c>
      <c r="N228" s="92">
        <v>334</v>
      </c>
      <c r="O228" s="30">
        <v>1126</v>
      </c>
      <c r="P228" s="106">
        <f t="shared" si="13"/>
        <v>376084</v>
      </c>
      <c r="Q228" s="36"/>
      <c r="R228" s="75"/>
      <c r="S228" s="75"/>
      <c r="T228" s="75"/>
      <c r="U228" s="75"/>
      <c r="V228" s="74"/>
    </row>
    <row r="229" spans="1:22" ht="15.75" customHeight="1">
      <c r="A229" s="72"/>
      <c r="B229" s="70"/>
      <c r="C229" s="94"/>
      <c r="D229" s="106"/>
      <c r="E229" s="92"/>
      <c r="F229" s="30"/>
      <c r="G229" s="106"/>
      <c r="H229" s="106"/>
      <c r="I229" s="106"/>
      <c r="J229" s="72"/>
      <c r="K229" s="70" t="s">
        <v>505</v>
      </c>
      <c r="L229" s="102" t="s">
        <v>506</v>
      </c>
      <c r="M229" s="106" t="s">
        <v>500</v>
      </c>
      <c r="N229" s="92">
        <v>145</v>
      </c>
      <c r="O229" s="30">
        <v>100</v>
      </c>
      <c r="P229" s="106">
        <f t="shared" si="13"/>
        <v>14500</v>
      </c>
      <c r="Q229" s="36"/>
      <c r="R229" s="75"/>
      <c r="S229" s="75"/>
      <c r="T229" s="75"/>
      <c r="U229" s="75"/>
      <c r="V229" s="74"/>
    </row>
    <row r="230" spans="1:22" ht="15.75" customHeight="1">
      <c r="A230" s="72"/>
      <c r="B230" s="70"/>
      <c r="C230" s="94"/>
      <c r="D230" s="106"/>
      <c r="E230" s="92"/>
      <c r="F230" s="30"/>
      <c r="G230" s="106"/>
      <c r="H230" s="106"/>
      <c r="I230" s="106"/>
      <c r="J230" s="72"/>
      <c r="K230" s="70">
        <v>1.31</v>
      </c>
      <c r="L230" s="102" t="s">
        <v>507</v>
      </c>
      <c r="M230" s="106" t="s">
        <v>105</v>
      </c>
      <c r="N230" s="92">
        <v>477</v>
      </c>
      <c r="O230" s="30">
        <v>176</v>
      </c>
      <c r="P230" s="106">
        <f t="shared" si="13"/>
        <v>83952</v>
      </c>
      <c r="Q230" s="36"/>
      <c r="R230" s="75"/>
      <c r="S230" s="75"/>
      <c r="T230" s="75"/>
      <c r="U230" s="75"/>
      <c r="V230" s="74"/>
    </row>
    <row r="231" spans="1:22" ht="15.75" customHeight="1">
      <c r="A231" s="72"/>
      <c r="B231" s="70"/>
      <c r="C231" s="94"/>
      <c r="D231" s="106"/>
      <c r="E231" s="92"/>
      <c r="F231" s="30"/>
      <c r="G231" s="106"/>
      <c r="H231" s="106"/>
      <c r="I231" s="106"/>
      <c r="J231" s="72"/>
      <c r="K231" s="70">
        <v>1.32</v>
      </c>
      <c r="L231" s="102" t="s">
        <v>508</v>
      </c>
      <c r="M231" s="106" t="s">
        <v>105</v>
      </c>
      <c r="N231" s="92">
        <v>586</v>
      </c>
      <c r="O231" s="30">
        <v>25</v>
      </c>
      <c r="P231" s="106">
        <f t="shared" si="13"/>
        <v>14650</v>
      </c>
      <c r="Q231" s="36"/>
      <c r="R231" s="75"/>
      <c r="S231" s="75"/>
      <c r="T231" s="75"/>
      <c r="U231" s="75"/>
      <c r="V231" s="74"/>
    </row>
    <row r="232" spans="1:22" ht="15.75" customHeight="1">
      <c r="A232" s="72"/>
      <c r="B232" s="70"/>
      <c r="C232" s="94"/>
      <c r="D232" s="106"/>
      <c r="E232" s="92"/>
      <c r="F232" s="30"/>
      <c r="G232" s="106"/>
      <c r="H232" s="106"/>
      <c r="I232" s="106"/>
      <c r="J232" s="72"/>
      <c r="K232" s="70">
        <v>1.57</v>
      </c>
      <c r="L232" s="102" t="s">
        <v>509</v>
      </c>
      <c r="M232" s="106" t="s">
        <v>105</v>
      </c>
      <c r="N232" s="92">
        <v>727</v>
      </c>
      <c r="O232" s="30">
        <v>37</v>
      </c>
      <c r="P232" s="106">
        <f t="shared" si="13"/>
        <v>26899</v>
      </c>
      <c r="Q232" s="36"/>
      <c r="R232" s="75"/>
      <c r="S232" s="75"/>
      <c r="T232" s="75"/>
      <c r="U232" s="75"/>
      <c r="V232" s="74"/>
    </row>
    <row r="233" spans="1:22" ht="15.75" customHeight="1">
      <c r="A233" s="72"/>
      <c r="B233" s="70"/>
      <c r="C233" s="94"/>
      <c r="D233" s="106"/>
      <c r="E233" s="92"/>
      <c r="F233" s="30"/>
      <c r="G233" s="106"/>
      <c r="H233" s="106"/>
      <c r="I233" s="106"/>
      <c r="J233" s="72"/>
      <c r="K233" s="70">
        <v>1.33</v>
      </c>
      <c r="L233" s="102" t="s">
        <v>510</v>
      </c>
      <c r="M233" s="106" t="s">
        <v>105</v>
      </c>
      <c r="N233" s="92">
        <v>87</v>
      </c>
      <c r="O233" s="30">
        <v>20</v>
      </c>
      <c r="P233" s="106">
        <f t="shared" si="13"/>
        <v>1740</v>
      </c>
      <c r="Q233" s="36"/>
      <c r="R233" s="75"/>
      <c r="S233" s="75"/>
      <c r="T233" s="75"/>
      <c r="U233" s="75"/>
      <c r="V233" s="74"/>
    </row>
    <row r="234" spans="1:22" ht="15.75" customHeight="1">
      <c r="A234" s="72"/>
      <c r="B234" s="70"/>
      <c r="C234" s="94"/>
      <c r="D234" s="106"/>
      <c r="E234" s="92"/>
      <c r="F234" s="30"/>
      <c r="G234" s="106"/>
      <c r="H234" s="106"/>
      <c r="I234" s="106"/>
      <c r="J234" s="72"/>
      <c r="K234" s="70">
        <v>1.38</v>
      </c>
      <c r="L234" s="102" t="s">
        <v>511</v>
      </c>
      <c r="M234" s="106" t="s">
        <v>105</v>
      </c>
      <c r="N234" s="92">
        <v>99</v>
      </c>
      <c r="O234" s="30">
        <v>1</v>
      </c>
      <c r="P234" s="106">
        <f t="shared" si="13"/>
        <v>99</v>
      </c>
      <c r="Q234" s="36"/>
      <c r="R234" s="75"/>
      <c r="S234" s="75"/>
      <c r="T234" s="75"/>
      <c r="U234" s="75"/>
      <c r="V234" s="74"/>
    </row>
    <row r="235" spans="1:22" ht="15.75" customHeight="1">
      <c r="A235" s="72"/>
      <c r="B235" s="70"/>
      <c r="C235" s="94"/>
      <c r="D235" s="106"/>
      <c r="E235" s="92"/>
      <c r="F235" s="30"/>
      <c r="G235" s="106"/>
      <c r="H235" s="106"/>
      <c r="I235" s="106"/>
      <c r="J235" s="72"/>
      <c r="K235" s="70">
        <v>1.41</v>
      </c>
      <c r="L235" s="102" t="s">
        <v>512</v>
      </c>
      <c r="M235" s="106" t="s">
        <v>105</v>
      </c>
      <c r="N235" s="92">
        <v>206</v>
      </c>
      <c r="O235" s="30">
        <v>348</v>
      </c>
      <c r="P235" s="106">
        <f t="shared" si="13"/>
        <v>71688</v>
      </c>
      <c r="Q235" s="36"/>
      <c r="R235" s="75"/>
      <c r="S235" s="75"/>
      <c r="T235" s="75"/>
      <c r="U235" s="75"/>
      <c r="V235" s="74"/>
    </row>
    <row r="236" spans="1:22" ht="15.75" customHeight="1">
      <c r="A236" s="72"/>
      <c r="B236" s="70"/>
      <c r="C236" s="94"/>
      <c r="D236" s="106"/>
      <c r="E236" s="92"/>
      <c r="F236" s="30"/>
      <c r="G236" s="106"/>
      <c r="H236" s="106"/>
      <c r="I236" s="106"/>
      <c r="J236" s="72"/>
      <c r="K236" s="70">
        <v>1.44</v>
      </c>
      <c r="L236" s="102" t="s">
        <v>513</v>
      </c>
      <c r="M236" s="106" t="s">
        <v>105</v>
      </c>
      <c r="N236" s="92">
        <v>213</v>
      </c>
      <c r="O236" s="30">
        <v>5</v>
      </c>
      <c r="P236" s="106">
        <f t="shared" si="13"/>
        <v>1065</v>
      </c>
      <c r="Q236" s="36"/>
      <c r="R236" s="75"/>
      <c r="S236" s="75"/>
      <c r="T236" s="75"/>
      <c r="U236" s="75"/>
      <c r="V236" s="74"/>
    </row>
    <row r="237" spans="1:22" ht="15.75" customHeight="1">
      <c r="A237" s="72"/>
      <c r="B237" s="70"/>
      <c r="C237" s="94"/>
      <c r="D237" s="106"/>
      <c r="E237" s="92"/>
      <c r="F237" s="30"/>
      <c r="G237" s="106"/>
      <c r="H237" s="106"/>
      <c r="I237" s="106"/>
      <c r="J237" s="72"/>
      <c r="K237" s="70" t="s">
        <v>514</v>
      </c>
      <c r="L237" s="102" t="s">
        <v>515</v>
      </c>
      <c r="M237" s="106" t="s">
        <v>105</v>
      </c>
      <c r="N237" s="92">
        <v>450</v>
      </c>
      <c r="O237" s="30">
        <v>13</v>
      </c>
      <c r="P237" s="106">
        <f t="shared" si="13"/>
        <v>5850</v>
      </c>
      <c r="Q237" s="36"/>
      <c r="R237" s="75"/>
      <c r="S237" s="75"/>
      <c r="T237" s="75"/>
      <c r="U237" s="75"/>
      <c r="V237" s="74"/>
    </row>
    <row r="238" spans="1:22" ht="15.75" customHeight="1">
      <c r="A238" s="72"/>
      <c r="B238" s="70"/>
      <c r="C238" s="94"/>
      <c r="D238" s="106"/>
      <c r="E238" s="92"/>
      <c r="F238" s="30"/>
      <c r="G238" s="106"/>
      <c r="H238" s="106"/>
      <c r="I238" s="106"/>
      <c r="J238" s="72"/>
      <c r="K238" s="691" t="s">
        <v>516</v>
      </c>
      <c r="L238" s="692"/>
      <c r="M238" s="106"/>
      <c r="N238" s="92"/>
      <c r="O238" s="30"/>
      <c r="P238" s="106"/>
      <c r="Q238" s="36"/>
      <c r="R238" s="75"/>
      <c r="S238" s="75"/>
      <c r="T238" s="75"/>
      <c r="U238" s="75"/>
      <c r="V238" s="74"/>
    </row>
    <row r="239" spans="1:22" ht="15.75" customHeight="1">
      <c r="A239" s="72"/>
      <c r="B239" s="70"/>
      <c r="C239" s="94"/>
      <c r="D239" s="106"/>
      <c r="E239" s="92"/>
      <c r="F239" s="30"/>
      <c r="G239" s="106"/>
      <c r="H239" s="106"/>
      <c r="I239" s="106"/>
      <c r="J239" s="72"/>
      <c r="K239" s="70">
        <v>2.2000000000000002</v>
      </c>
      <c r="L239" s="102" t="s">
        <v>517</v>
      </c>
      <c r="M239" s="106"/>
      <c r="N239" s="92"/>
      <c r="O239" s="30"/>
      <c r="P239" s="106"/>
      <c r="Q239" s="36"/>
      <c r="R239" s="75"/>
      <c r="S239" s="75"/>
      <c r="T239" s="75"/>
      <c r="U239" s="75"/>
      <c r="V239" s="74"/>
    </row>
    <row r="240" spans="1:22" ht="15.75" customHeight="1">
      <c r="A240" s="72"/>
      <c r="B240" s="70"/>
      <c r="C240" s="94"/>
      <c r="D240" s="106"/>
      <c r="E240" s="92"/>
      <c r="F240" s="30"/>
      <c r="G240" s="106"/>
      <c r="H240" s="106"/>
      <c r="I240" s="106"/>
      <c r="J240" s="72"/>
      <c r="K240" s="70" t="s">
        <v>518</v>
      </c>
      <c r="L240" s="102" t="s">
        <v>519</v>
      </c>
      <c r="M240" s="106" t="s">
        <v>105</v>
      </c>
      <c r="N240" s="92">
        <v>8209</v>
      </c>
      <c r="O240" s="30">
        <v>1</v>
      </c>
      <c r="P240" s="106">
        <f>N240*O240</f>
        <v>8209</v>
      </c>
      <c r="Q240" s="36"/>
      <c r="R240" s="75"/>
      <c r="S240" s="75"/>
      <c r="T240" s="75"/>
      <c r="U240" s="75"/>
      <c r="V240" s="74"/>
    </row>
    <row r="241" spans="1:22" ht="15.75" customHeight="1">
      <c r="A241" s="72"/>
      <c r="B241" s="70"/>
      <c r="C241" s="94"/>
      <c r="D241" s="106"/>
      <c r="E241" s="92"/>
      <c r="F241" s="30"/>
      <c r="G241" s="106"/>
      <c r="H241" s="106"/>
      <c r="I241" s="106"/>
      <c r="J241" s="72"/>
      <c r="K241" s="70">
        <v>2.2999999999999998</v>
      </c>
      <c r="L241" s="102" t="s">
        <v>520</v>
      </c>
      <c r="M241" s="106"/>
      <c r="N241" s="92"/>
      <c r="O241" s="30"/>
      <c r="P241" s="106"/>
      <c r="Q241" s="36"/>
      <c r="R241" s="75"/>
      <c r="S241" s="75"/>
      <c r="T241" s="75"/>
      <c r="U241" s="75"/>
      <c r="V241" s="74"/>
    </row>
    <row r="242" spans="1:22" ht="15.75" customHeight="1">
      <c r="A242" s="72"/>
      <c r="B242" s="70"/>
      <c r="C242" s="94"/>
      <c r="D242" s="106"/>
      <c r="E242" s="92"/>
      <c r="F242" s="30"/>
      <c r="G242" s="106"/>
      <c r="H242" s="106"/>
      <c r="I242" s="106"/>
      <c r="J242" s="72"/>
      <c r="K242" s="70" t="s">
        <v>521</v>
      </c>
      <c r="L242" s="102" t="s">
        <v>522</v>
      </c>
      <c r="M242" s="106" t="s">
        <v>105</v>
      </c>
      <c r="N242" s="92">
        <v>2206</v>
      </c>
      <c r="O242" s="30">
        <v>1</v>
      </c>
      <c r="P242" s="106">
        <f>N242*O242</f>
        <v>2206</v>
      </c>
      <c r="Q242" s="36"/>
      <c r="R242" s="75"/>
      <c r="S242" s="75"/>
      <c r="T242" s="75"/>
      <c r="U242" s="75"/>
      <c r="V242" s="74"/>
    </row>
    <row r="243" spans="1:22" ht="15.75" customHeight="1">
      <c r="A243" s="72"/>
      <c r="B243" s="70"/>
      <c r="C243" s="94"/>
      <c r="D243" s="106"/>
      <c r="E243" s="92"/>
      <c r="F243" s="30"/>
      <c r="G243" s="106"/>
      <c r="H243" s="106"/>
      <c r="I243" s="106"/>
      <c r="J243" s="72"/>
      <c r="K243" s="70" t="s">
        <v>523</v>
      </c>
      <c r="L243" s="102" t="s">
        <v>524</v>
      </c>
      <c r="M243" s="106" t="s">
        <v>105</v>
      </c>
      <c r="N243" s="92">
        <v>2573</v>
      </c>
      <c r="O243" s="30">
        <v>1</v>
      </c>
      <c r="P243" s="106">
        <f>N243*O243</f>
        <v>2573</v>
      </c>
      <c r="Q243" s="36"/>
      <c r="R243" s="75"/>
      <c r="S243" s="75"/>
      <c r="T243" s="75"/>
      <c r="U243" s="75"/>
      <c r="V243" s="74"/>
    </row>
    <row r="244" spans="1:22" ht="15.75" customHeight="1">
      <c r="A244" s="72"/>
      <c r="B244" s="70"/>
      <c r="C244" s="94"/>
      <c r="D244" s="106"/>
      <c r="E244" s="92"/>
      <c r="F244" s="30"/>
      <c r="G244" s="106"/>
      <c r="H244" s="106"/>
      <c r="I244" s="106"/>
      <c r="J244" s="72"/>
      <c r="K244" s="70" t="s">
        <v>525</v>
      </c>
      <c r="L244" s="102" t="s">
        <v>526</v>
      </c>
      <c r="M244" s="106" t="s">
        <v>105</v>
      </c>
      <c r="N244" s="92">
        <v>2315</v>
      </c>
      <c r="O244" s="30">
        <v>1</v>
      </c>
      <c r="P244" s="106">
        <f>N244*O244</f>
        <v>2315</v>
      </c>
      <c r="Q244" s="36"/>
      <c r="R244" s="75"/>
      <c r="S244" s="75"/>
      <c r="T244" s="75"/>
      <c r="U244" s="75"/>
      <c r="V244" s="74"/>
    </row>
    <row r="245" spans="1:22" ht="15.75" customHeight="1">
      <c r="A245" s="72"/>
      <c r="B245" s="70"/>
      <c r="C245" s="94"/>
      <c r="D245" s="106"/>
      <c r="E245" s="92"/>
      <c r="F245" s="30"/>
      <c r="G245" s="106"/>
      <c r="H245" s="106"/>
      <c r="I245" s="106"/>
      <c r="J245" s="72"/>
      <c r="K245" s="70">
        <v>2.4</v>
      </c>
      <c r="L245" s="102" t="s">
        <v>527</v>
      </c>
      <c r="M245" s="106"/>
      <c r="N245" s="92"/>
      <c r="O245" s="30"/>
      <c r="P245" s="106"/>
      <c r="Q245" s="36"/>
      <c r="R245" s="75"/>
      <c r="S245" s="75"/>
      <c r="T245" s="75"/>
      <c r="U245" s="75"/>
      <c r="V245" s="74"/>
    </row>
    <row r="246" spans="1:22" ht="15.75" customHeight="1">
      <c r="A246" s="72"/>
      <c r="B246" s="70"/>
      <c r="C246" s="94"/>
      <c r="D246" s="106"/>
      <c r="E246" s="92"/>
      <c r="F246" s="30"/>
      <c r="G246" s="106"/>
      <c r="H246" s="106"/>
      <c r="I246" s="106"/>
      <c r="J246" s="72"/>
      <c r="K246" s="70" t="s">
        <v>528</v>
      </c>
      <c r="L246" s="102" t="s">
        <v>529</v>
      </c>
      <c r="M246" s="106" t="s">
        <v>105</v>
      </c>
      <c r="N246" s="92">
        <v>4974</v>
      </c>
      <c r="O246" s="30">
        <v>4</v>
      </c>
      <c r="P246" s="106">
        <f>N246*O246</f>
        <v>19896</v>
      </c>
      <c r="Q246" s="36"/>
      <c r="R246" s="75"/>
      <c r="S246" s="75"/>
      <c r="T246" s="75"/>
      <c r="U246" s="75"/>
      <c r="V246" s="74"/>
    </row>
    <row r="247" spans="1:22" ht="15.75" customHeight="1">
      <c r="A247" s="72"/>
      <c r="B247" s="70"/>
      <c r="C247" s="94"/>
      <c r="D247" s="106"/>
      <c r="E247" s="92"/>
      <c r="F247" s="30"/>
      <c r="G247" s="106"/>
      <c r="H247" s="106"/>
      <c r="I247" s="106"/>
      <c r="J247" s="72"/>
      <c r="K247" s="70" t="s">
        <v>530</v>
      </c>
      <c r="L247" s="102" t="s">
        <v>531</v>
      </c>
      <c r="M247" s="106" t="s">
        <v>105</v>
      </c>
      <c r="N247" s="92">
        <v>5967</v>
      </c>
      <c r="O247" s="30">
        <v>4</v>
      </c>
      <c r="P247" s="106">
        <f>N247*O247</f>
        <v>23868</v>
      </c>
      <c r="Q247" s="36"/>
      <c r="R247" s="75"/>
      <c r="S247" s="75"/>
      <c r="T247" s="75"/>
      <c r="U247" s="75"/>
      <c r="V247" s="74"/>
    </row>
    <row r="248" spans="1:22" ht="15.75" customHeight="1">
      <c r="A248" s="72"/>
      <c r="B248" s="70"/>
      <c r="C248" s="94"/>
      <c r="D248" s="106"/>
      <c r="E248" s="92"/>
      <c r="F248" s="30"/>
      <c r="G248" s="106"/>
      <c r="H248" s="106"/>
      <c r="I248" s="106"/>
      <c r="J248" s="72"/>
      <c r="K248" s="70">
        <v>2.5</v>
      </c>
      <c r="L248" s="102" t="s">
        <v>532</v>
      </c>
      <c r="M248" s="106"/>
      <c r="N248" s="92"/>
      <c r="O248" s="30"/>
      <c r="P248" s="106"/>
      <c r="Q248" s="36"/>
      <c r="R248" s="75"/>
      <c r="S248" s="75"/>
      <c r="T248" s="75"/>
      <c r="U248" s="75"/>
      <c r="V248" s="74"/>
    </row>
    <row r="249" spans="1:22" ht="15.75" customHeight="1">
      <c r="A249" s="72"/>
      <c r="B249" s="70"/>
      <c r="C249" s="94"/>
      <c r="D249" s="106"/>
      <c r="E249" s="92"/>
      <c r="F249" s="30"/>
      <c r="G249" s="106"/>
      <c r="H249" s="106"/>
      <c r="I249" s="106"/>
      <c r="J249" s="72"/>
      <c r="K249" s="70" t="s">
        <v>533</v>
      </c>
      <c r="L249" s="102" t="s">
        <v>534</v>
      </c>
      <c r="M249" s="106" t="s">
        <v>105</v>
      </c>
      <c r="N249" s="92">
        <v>12833</v>
      </c>
      <c r="O249" s="30">
        <v>1</v>
      </c>
      <c r="P249" s="106">
        <f>N249*O249</f>
        <v>12833</v>
      </c>
      <c r="Q249" s="36"/>
      <c r="R249" s="75"/>
      <c r="S249" s="75"/>
      <c r="T249" s="75"/>
      <c r="U249" s="75"/>
      <c r="V249" s="74"/>
    </row>
    <row r="250" spans="1:22" ht="15.75" customHeight="1">
      <c r="A250" s="72"/>
      <c r="B250" s="70"/>
      <c r="C250" s="94"/>
      <c r="D250" s="106"/>
      <c r="E250" s="92"/>
      <c r="F250" s="30"/>
      <c r="G250" s="106"/>
      <c r="H250" s="106"/>
      <c r="I250" s="106"/>
      <c r="J250" s="72"/>
      <c r="K250" s="70">
        <v>2.1</v>
      </c>
      <c r="L250" s="102" t="s">
        <v>535</v>
      </c>
      <c r="M250" s="106"/>
      <c r="N250" s="92"/>
      <c r="O250" s="30"/>
      <c r="P250" s="106"/>
      <c r="Q250" s="36"/>
      <c r="R250" s="75"/>
      <c r="S250" s="75"/>
      <c r="T250" s="75"/>
      <c r="U250" s="75"/>
      <c r="V250" s="74"/>
    </row>
    <row r="251" spans="1:22" ht="15.75" customHeight="1">
      <c r="A251" s="72"/>
      <c r="B251" s="70"/>
      <c r="C251" s="94"/>
      <c r="D251" s="106"/>
      <c r="E251" s="92"/>
      <c r="F251" s="30"/>
      <c r="G251" s="106"/>
      <c r="H251" s="106"/>
      <c r="I251" s="106"/>
      <c r="J251" s="72"/>
      <c r="K251" s="70" t="s">
        <v>536</v>
      </c>
      <c r="L251" s="102" t="s">
        <v>537</v>
      </c>
      <c r="M251" s="106" t="s">
        <v>105</v>
      </c>
      <c r="N251" s="92">
        <v>256</v>
      </c>
      <c r="O251" s="30">
        <v>120</v>
      </c>
      <c r="P251" s="106">
        <f>N251*O251</f>
        <v>30720</v>
      </c>
      <c r="Q251" s="36"/>
      <c r="R251" s="75"/>
      <c r="S251" s="75"/>
      <c r="T251" s="75"/>
      <c r="U251" s="75"/>
      <c r="V251" s="74"/>
    </row>
    <row r="252" spans="1:22" ht="15.75" customHeight="1">
      <c r="A252" s="72"/>
      <c r="B252" s="70"/>
      <c r="C252" s="94"/>
      <c r="D252" s="106"/>
      <c r="E252" s="92"/>
      <c r="F252" s="30"/>
      <c r="G252" s="106"/>
      <c r="H252" s="106"/>
      <c r="I252" s="106"/>
      <c r="J252" s="72"/>
      <c r="K252" s="70" t="s">
        <v>538</v>
      </c>
      <c r="L252" s="102" t="s">
        <v>539</v>
      </c>
      <c r="M252" s="106" t="s">
        <v>105</v>
      </c>
      <c r="N252" s="92">
        <v>656</v>
      </c>
      <c r="O252" s="30">
        <v>1</v>
      </c>
      <c r="P252" s="106">
        <f>N252*O252</f>
        <v>656</v>
      </c>
      <c r="Q252" s="36"/>
      <c r="R252" s="75"/>
      <c r="S252" s="75"/>
      <c r="T252" s="75"/>
      <c r="U252" s="75"/>
      <c r="V252" s="74"/>
    </row>
    <row r="253" spans="1:22" ht="15.75" customHeight="1">
      <c r="A253" s="72"/>
      <c r="B253" s="70"/>
      <c r="C253" s="94"/>
      <c r="D253" s="106"/>
      <c r="E253" s="92"/>
      <c r="F253" s="30"/>
      <c r="G253" s="106"/>
      <c r="H253" s="106"/>
      <c r="I253" s="106"/>
      <c r="J253" s="72"/>
      <c r="K253" s="70" t="s">
        <v>540</v>
      </c>
      <c r="L253" s="102" t="s">
        <v>541</v>
      </c>
      <c r="M253" s="106" t="s">
        <v>105</v>
      </c>
      <c r="N253" s="92">
        <v>1007</v>
      </c>
      <c r="O253" s="30">
        <v>2</v>
      </c>
      <c r="P253" s="106">
        <f>N253*O253</f>
        <v>2014</v>
      </c>
      <c r="Q253" s="36"/>
      <c r="R253" s="75"/>
      <c r="S253" s="75"/>
      <c r="T253" s="75"/>
      <c r="U253" s="75"/>
      <c r="V253" s="74"/>
    </row>
    <row r="254" spans="1:22" ht="15.75" customHeight="1">
      <c r="A254" s="72"/>
      <c r="B254" s="70"/>
      <c r="C254" s="94"/>
      <c r="D254" s="106"/>
      <c r="E254" s="92"/>
      <c r="F254" s="30"/>
      <c r="G254" s="106"/>
      <c r="H254" s="106"/>
      <c r="I254" s="106"/>
      <c r="J254" s="72"/>
      <c r="K254" s="70" t="s">
        <v>542</v>
      </c>
      <c r="L254" s="102" t="s">
        <v>543</v>
      </c>
      <c r="M254" s="106" t="s">
        <v>105</v>
      </c>
      <c r="N254" s="92">
        <v>1228</v>
      </c>
      <c r="O254" s="30">
        <v>5</v>
      </c>
      <c r="P254" s="106">
        <f>N254*O254</f>
        <v>6140</v>
      </c>
      <c r="Q254" s="36"/>
      <c r="R254" s="75"/>
      <c r="S254" s="75"/>
      <c r="T254" s="75"/>
      <c r="U254" s="75"/>
      <c r="V254" s="74"/>
    </row>
    <row r="255" spans="1:22" ht="15.75" customHeight="1">
      <c r="A255" s="72"/>
      <c r="B255" s="70"/>
      <c r="C255" s="94"/>
      <c r="D255" s="106"/>
      <c r="E255" s="92"/>
      <c r="F255" s="30"/>
      <c r="G255" s="106"/>
      <c r="H255" s="106"/>
      <c r="I255" s="106"/>
      <c r="J255" s="72"/>
      <c r="K255" s="70"/>
      <c r="L255" s="102" t="s">
        <v>544</v>
      </c>
      <c r="M255" s="106"/>
      <c r="N255" s="92"/>
      <c r="O255" s="30"/>
      <c r="P255" s="106"/>
      <c r="Q255" s="36"/>
      <c r="R255" s="75"/>
      <c r="S255" s="75"/>
      <c r="T255" s="75"/>
      <c r="U255" s="75"/>
      <c r="V255" s="74"/>
    </row>
    <row r="256" spans="1:22" ht="15.75" customHeight="1">
      <c r="A256" s="72"/>
      <c r="B256" s="70"/>
      <c r="C256" s="94"/>
      <c r="D256" s="106"/>
      <c r="E256" s="92"/>
      <c r="F256" s="30"/>
      <c r="G256" s="106"/>
      <c r="H256" s="106"/>
      <c r="I256" s="106"/>
      <c r="J256" s="72"/>
      <c r="K256" s="70"/>
      <c r="L256" s="102" t="s">
        <v>541</v>
      </c>
      <c r="M256" s="106" t="s">
        <v>105</v>
      </c>
      <c r="N256" s="92">
        <v>1421</v>
      </c>
      <c r="O256" s="30">
        <v>6</v>
      </c>
      <c r="P256" s="106">
        <f>N256*O256</f>
        <v>8526</v>
      </c>
      <c r="Q256" s="36"/>
      <c r="R256" s="75"/>
      <c r="S256" s="75"/>
      <c r="T256" s="75"/>
      <c r="U256" s="75"/>
      <c r="V256" s="74"/>
    </row>
    <row r="257" spans="1:22" ht="15.75" customHeight="1">
      <c r="A257" s="72"/>
      <c r="B257" s="70"/>
      <c r="C257" s="94"/>
      <c r="D257" s="106"/>
      <c r="E257" s="92"/>
      <c r="F257" s="30"/>
      <c r="G257" s="106"/>
      <c r="H257" s="106"/>
      <c r="I257" s="106"/>
      <c r="J257" s="72"/>
      <c r="K257" s="70"/>
      <c r="L257" s="102" t="s">
        <v>545</v>
      </c>
      <c r="M257" s="106" t="s">
        <v>105</v>
      </c>
      <c r="N257" s="92">
        <v>1758</v>
      </c>
      <c r="O257" s="30">
        <v>6</v>
      </c>
      <c r="P257" s="106">
        <f>N257*O257</f>
        <v>10548</v>
      </c>
      <c r="Q257" s="36"/>
      <c r="R257" s="75"/>
      <c r="S257" s="75"/>
      <c r="T257" s="75"/>
      <c r="U257" s="75"/>
      <c r="V257" s="74"/>
    </row>
    <row r="258" spans="1:22" ht="15.75" customHeight="1">
      <c r="A258" s="72"/>
      <c r="B258" s="70"/>
      <c r="C258" s="94"/>
      <c r="D258" s="106"/>
      <c r="E258" s="92"/>
      <c r="F258" s="30"/>
      <c r="G258" s="106"/>
      <c r="H258" s="106"/>
      <c r="I258" s="106"/>
      <c r="J258" s="72"/>
      <c r="K258" s="70">
        <v>2.11</v>
      </c>
      <c r="L258" s="102" t="s">
        <v>546</v>
      </c>
      <c r="M258" s="106" t="s">
        <v>105</v>
      </c>
      <c r="N258" s="92">
        <v>13</v>
      </c>
      <c r="O258" s="30">
        <v>50</v>
      </c>
      <c r="P258" s="106">
        <f>N258*O258</f>
        <v>650</v>
      </c>
      <c r="Q258" s="36"/>
      <c r="R258" s="75"/>
      <c r="S258" s="75"/>
      <c r="T258" s="75"/>
      <c r="U258" s="75"/>
      <c r="V258" s="74"/>
    </row>
    <row r="259" spans="1:22" ht="15.75" customHeight="1">
      <c r="A259" s="72"/>
      <c r="B259" s="70"/>
      <c r="C259" s="94"/>
      <c r="D259" s="106"/>
      <c r="E259" s="92"/>
      <c r="F259" s="30"/>
      <c r="G259" s="106"/>
      <c r="H259" s="106"/>
      <c r="I259" s="106"/>
      <c r="J259" s="72"/>
      <c r="K259" s="70">
        <v>2.14</v>
      </c>
      <c r="L259" s="102" t="s">
        <v>547</v>
      </c>
      <c r="M259" s="106"/>
      <c r="N259" s="92"/>
      <c r="O259" s="30"/>
      <c r="P259" s="106"/>
      <c r="Q259" s="36"/>
      <c r="R259" s="75"/>
      <c r="S259" s="75"/>
      <c r="T259" s="75"/>
      <c r="U259" s="75"/>
      <c r="V259" s="74"/>
    </row>
    <row r="260" spans="1:22" ht="15.75" customHeight="1">
      <c r="A260" s="72"/>
      <c r="B260" s="70"/>
      <c r="C260" s="94"/>
      <c r="D260" s="106"/>
      <c r="E260" s="92"/>
      <c r="F260" s="30"/>
      <c r="G260" s="106"/>
      <c r="H260" s="106"/>
      <c r="I260" s="106"/>
      <c r="J260" s="72"/>
      <c r="K260" s="70" t="s">
        <v>548</v>
      </c>
      <c r="L260" s="102" t="s">
        <v>549</v>
      </c>
      <c r="M260" s="106" t="s">
        <v>105</v>
      </c>
      <c r="N260" s="92">
        <v>2028</v>
      </c>
      <c r="O260" s="30">
        <v>7</v>
      </c>
      <c r="P260" s="106">
        <f>N260*O260</f>
        <v>14196</v>
      </c>
      <c r="Q260" s="36"/>
      <c r="R260" s="75"/>
      <c r="S260" s="75"/>
      <c r="T260" s="75"/>
      <c r="U260" s="75"/>
      <c r="V260" s="74"/>
    </row>
    <row r="261" spans="1:22" ht="15.75" customHeight="1">
      <c r="A261" s="72"/>
      <c r="B261" s="70"/>
      <c r="C261" s="94"/>
      <c r="D261" s="106"/>
      <c r="E261" s="92"/>
      <c r="F261" s="30"/>
      <c r="G261" s="106"/>
      <c r="H261" s="106"/>
      <c r="I261" s="106"/>
      <c r="J261" s="72"/>
      <c r="K261" s="70" t="s">
        <v>550</v>
      </c>
      <c r="L261" s="102" t="s">
        <v>551</v>
      </c>
      <c r="M261" s="106" t="s">
        <v>105</v>
      </c>
      <c r="N261" s="92">
        <v>2642</v>
      </c>
      <c r="O261" s="30">
        <v>9</v>
      </c>
      <c r="P261" s="106">
        <f>N261*O261</f>
        <v>23778</v>
      </c>
      <c r="Q261" s="36"/>
      <c r="R261" s="75"/>
      <c r="S261" s="75"/>
      <c r="T261" s="75"/>
      <c r="U261" s="75"/>
      <c r="V261" s="74"/>
    </row>
    <row r="262" spans="1:22" ht="15.75" customHeight="1">
      <c r="A262" s="72"/>
      <c r="B262" s="70"/>
      <c r="C262" s="94"/>
      <c r="D262" s="106"/>
      <c r="E262" s="92"/>
      <c r="F262" s="30"/>
      <c r="G262" s="106"/>
      <c r="H262" s="106"/>
      <c r="I262" s="106"/>
      <c r="J262" s="72"/>
      <c r="K262" s="70" t="s">
        <v>552</v>
      </c>
      <c r="L262" s="102" t="s">
        <v>553</v>
      </c>
      <c r="M262" s="106" t="s">
        <v>105</v>
      </c>
      <c r="N262" s="92">
        <v>2722</v>
      </c>
      <c r="O262" s="30">
        <v>9</v>
      </c>
      <c r="P262" s="106">
        <f>N262*O262</f>
        <v>24498</v>
      </c>
      <c r="Q262" s="36"/>
      <c r="R262" s="75"/>
      <c r="S262" s="75"/>
      <c r="T262" s="75"/>
      <c r="U262" s="75"/>
      <c r="V262" s="74"/>
    </row>
    <row r="263" spans="1:22" ht="15.75" customHeight="1">
      <c r="A263" s="72"/>
      <c r="B263" s="70"/>
      <c r="C263" s="94"/>
      <c r="D263" s="106"/>
      <c r="E263" s="92"/>
      <c r="F263" s="30"/>
      <c r="G263" s="106"/>
      <c r="H263" s="106"/>
      <c r="I263" s="106"/>
      <c r="J263" s="72"/>
      <c r="K263" s="70">
        <v>2.15</v>
      </c>
      <c r="L263" s="102" t="s">
        <v>554</v>
      </c>
      <c r="M263" s="106"/>
      <c r="N263" s="92"/>
      <c r="O263" s="30"/>
      <c r="P263" s="106"/>
      <c r="Q263" s="36"/>
      <c r="R263" s="75"/>
      <c r="S263" s="75"/>
      <c r="T263" s="75"/>
      <c r="U263" s="75"/>
      <c r="V263" s="74"/>
    </row>
    <row r="264" spans="1:22" ht="15.75" customHeight="1">
      <c r="A264" s="72"/>
      <c r="B264" s="70"/>
      <c r="C264" s="94"/>
      <c r="D264" s="106"/>
      <c r="E264" s="92"/>
      <c r="F264" s="30"/>
      <c r="G264" s="106"/>
      <c r="H264" s="106"/>
      <c r="I264" s="106"/>
      <c r="J264" s="72"/>
      <c r="K264" s="70" t="s">
        <v>555</v>
      </c>
      <c r="L264" s="102" t="s">
        <v>551</v>
      </c>
      <c r="M264" s="106" t="s">
        <v>105</v>
      </c>
      <c r="N264" s="92">
        <v>3188</v>
      </c>
      <c r="O264" s="30">
        <v>1</v>
      </c>
      <c r="P264" s="106">
        <f>N264*O264</f>
        <v>3188</v>
      </c>
      <c r="Q264" s="36"/>
      <c r="R264" s="75"/>
      <c r="S264" s="75"/>
      <c r="T264" s="75"/>
      <c r="U264" s="75"/>
      <c r="V264" s="74"/>
    </row>
    <row r="265" spans="1:22" ht="15.75" customHeight="1">
      <c r="A265" s="72"/>
      <c r="B265" s="70"/>
      <c r="C265" s="94"/>
      <c r="D265" s="106"/>
      <c r="E265" s="92"/>
      <c r="F265" s="30"/>
      <c r="G265" s="106"/>
      <c r="H265" s="106"/>
      <c r="I265" s="106"/>
      <c r="J265" s="72"/>
      <c r="K265" s="691" t="s">
        <v>556</v>
      </c>
      <c r="L265" s="692"/>
      <c r="M265" s="106"/>
      <c r="N265" s="92"/>
      <c r="O265" s="30"/>
      <c r="P265" s="106"/>
      <c r="Q265" s="36"/>
      <c r="R265" s="75"/>
      <c r="S265" s="75"/>
      <c r="T265" s="75"/>
      <c r="U265" s="75"/>
      <c r="V265" s="74"/>
    </row>
    <row r="266" spans="1:22" ht="15.75" customHeight="1">
      <c r="A266" s="72"/>
      <c r="B266" s="70"/>
      <c r="C266" s="94"/>
      <c r="D266" s="106"/>
      <c r="E266" s="92"/>
      <c r="F266" s="30"/>
      <c r="G266" s="106"/>
      <c r="H266" s="106"/>
      <c r="I266" s="106"/>
      <c r="J266" s="72"/>
      <c r="K266" s="70">
        <v>4.0999999999999996</v>
      </c>
      <c r="L266" s="102" t="s">
        <v>557</v>
      </c>
      <c r="M266" s="106"/>
      <c r="N266" s="92"/>
      <c r="O266" s="30"/>
      <c r="P266" s="106"/>
      <c r="Q266" s="36"/>
      <c r="R266" s="75"/>
      <c r="S266" s="75"/>
      <c r="T266" s="75"/>
      <c r="U266" s="75"/>
      <c r="V266" s="74"/>
    </row>
    <row r="267" spans="1:22" ht="15.75" customHeight="1">
      <c r="A267" s="72"/>
      <c r="B267" s="70"/>
      <c r="C267" s="94"/>
      <c r="D267" s="106"/>
      <c r="E267" s="92"/>
      <c r="F267" s="30"/>
      <c r="G267" s="106"/>
      <c r="H267" s="106"/>
      <c r="I267" s="106"/>
      <c r="J267" s="72"/>
      <c r="K267" s="70" t="s">
        <v>558</v>
      </c>
      <c r="L267" s="102" t="s">
        <v>559</v>
      </c>
      <c r="M267" s="106" t="s">
        <v>500</v>
      </c>
      <c r="N267" s="92">
        <v>777</v>
      </c>
      <c r="O267" s="30">
        <v>40</v>
      </c>
      <c r="P267" s="106">
        <f>N267*O267</f>
        <v>31080</v>
      </c>
      <c r="Q267" s="36"/>
      <c r="R267" s="75"/>
      <c r="S267" s="75"/>
      <c r="T267" s="75"/>
      <c r="U267" s="75"/>
      <c r="V267" s="74"/>
    </row>
    <row r="268" spans="1:22" ht="15.75" customHeight="1">
      <c r="A268" s="72"/>
      <c r="B268" s="70"/>
      <c r="C268" s="94"/>
      <c r="D268" s="106"/>
      <c r="E268" s="92"/>
      <c r="F268" s="30"/>
      <c r="G268" s="106"/>
      <c r="H268" s="106"/>
      <c r="I268" s="106"/>
      <c r="J268" s="72"/>
      <c r="K268" s="70">
        <v>4.2</v>
      </c>
      <c r="L268" s="102" t="s">
        <v>560</v>
      </c>
      <c r="M268" s="106"/>
      <c r="N268" s="92"/>
      <c r="O268" s="30"/>
      <c r="P268" s="106"/>
      <c r="Q268" s="36"/>
      <c r="R268" s="75"/>
      <c r="S268" s="75"/>
      <c r="T268" s="75"/>
      <c r="U268" s="75"/>
      <c r="V268" s="74"/>
    </row>
    <row r="269" spans="1:22" ht="15.75" customHeight="1">
      <c r="A269" s="72"/>
      <c r="B269" s="70"/>
      <c r="C269" s="94"/>
      <c r="D269" s="106"/>
      <c r="E269" s="92"/>
      <c r="F269" s="30"/>
      <c r="G269" s="106"/>
      <c r="H269" s="106"/>
      <c r="I269" s="106"/>
      <c r="J269" s="72"/>
      <c r="K269" s="70" t="s">
        <v>561</v>
      </c>
      <c r="L269" s="102" t="s">
        <v>559</v>
      </c>
      <c r="M269" s="106" t="s">
        <v>105</v>
      </c>
      <c r="N269" s="92">
        <v>1438</v>
      </c>
      <c r="O269" s="30">
        <v>5</v>
      </c>
      <c r="P269" s="106">
        <f>N269*O269</f>
        <v>7190</v>
      </c>
      <c r="Q269" s="36"/>
      <c r="R269" s="75"/>
      <c r="S269" s="75"/>
      <c r="T269" s="75"/>
      <c r="U269" s="75"/>
      <c r="V269" s="74"/>
    </row>
    <row r="270" spans="1:22" ht="15.75" customHeight="1">
      <c r="A270" s="72"/>
      <c r="B270" s="70"/>
      <c r="C270" s="94"/>
      <c r="D270" s="106"/>
      <c r="E270" s="92"/>
      <c r="F270" s="30"/>
      <c r="G270" s="106"/>
      <c r="H270" s="106"/>
      <c r="I270" s="106"/>
      <c r="J270" s="72"/>
      <c r="K270" s="70">
        <v>4.3</v>
      </c>
      <c r="L270" s="102" t="s">
        <v>562</v>
      </c>
      <c r="M270" s="106"/>
      <c r="N270" s="92"/>
      <c r="O270" s="30"/>
      <c r="P270" s="106"/>
      <c r="Q270" s="36"/>
      <c r="R270" s="75"/>
      <c r="S270" s="75"/>
      <c r="T270" s="75"/>
      <c r="U270" s="75"/>
      <c r="V270" s="74"/>
    </row>
    <row r="271" spans="1:22" ht="15.75" customHeight="1">
      <c r="A271" s="72"/>
      <c r="B271" s="70"/>
      <c r="C271" s="94"/>
      <c r="D271" s="106"/>
      <c r="E271" s="92"/>
      <c r="F271" s="30"/>
      <c r="G271" s="106"/>
      <c r="H271" s="106"/>
      <c r="I271" s="106"/>
      <c r="J271" s="72"/>
      <c r="K271" s="70" t="s">
        <v>563</v>
      </c>
      <c r="L271" s="102" t="s">
        <v>559</v>
      </c>
      <c r="M271" s="106" t="s">
        <v>105</v>
      </c>
      <c r="N271" s="92">
        <v>1708</v>
      </c>
      <c r="O271" s="30">
        <v>3</v>
      </c>
      <c r="P271" s="106">
        <f>N271*O271</f>
        <v>5124</v>
      </c>
      <c r="Q271" s="36"/>
      <c r="R271" s="75"/>
      <c r="S271" s="75"/>
      <c r="T271" s="75"/>
      <c r="U271" s="75"/>
      <c r="V271" s="74"/>
    </row>
    <row r="272" spans="1:22" ht="15.75" customHeight="1">
      <c r="A272" s="72"/>
      <c r="B272" s="70"/>
      <c r="C272" s="94"/>
      <c r="D272" s="106"/>
      <c r="E272" s="92"/>
      <c r="F272" s="30"/>
      <c r="G272" s="106"/>
      <c r="H272" s="106"/>
      <c r="I272" s="106"/>
      <c r="J272" s="72"/>
      <c r="K272" s="691" t="s">
        <v>564</v>
      </c>
      <c r="L272" s="692"/>
      <c r="M272" s="106"/>
      <c r="N272" s="92"/>
      <c r="O272" s="30"/>
      <c r="P272" s="106"/>
      <c r="Q272" s="36"/>
      <c r="R272" s="75"/>
      <c r="S272" s="75"/>
      <c r="T272" s="75"/>
      <c r="U272" s="75"/>
      <c r="V272" s="74"/>
    </row>
    <row r="273" spans="1:22" ht="15.75" customHeight="1">
      <c r="A273" s="72"/>
      <c r="B273" s="70"/>
      <c r="C273" s="94"/>
      <c r="D273" s="106"/>
      <c r="E273" s="92"/>
      <c r="F273" s="30"/>
      <c r="G273" s="106"/>
      <c r="H273" s="106"/>
      <c r="I273" s="106"/>
      <c r="J273" s="72"/>
      <c r="K273" s="70">
        <v>5.4</v>
      </c>
      <c r="L273" s="102" t="s">
        <v>565</v>
      </c>
      <c r="M273" s="106" t="s">
        <v>232</v>
      </c>
      <c r="N273" s="92">
        <v>7472</v>
      </c>
      <c r="O273" s="30">
        <v>4</v>
      </c>
      <c r="P273" s="106">
        <f>N273*O273</f>
        <v>29888</v>
      </c>
      <c r="Q273" s="36"/>
      <c r="R273" s="75"/>
      <c r="S273" s="75"/>
      <c r="T273" s="75"/>
      <c r="U273" s="75"/>
      <c r="V273" s="74"/>
    </row>
    <row r="274" spans="1:22" ht="15.75" customHeight="1">
      <c r="A274" s="72"/>
      <c r="B274" s="70"/>
      <c r="C274" s="94"/>
      <c r="D274" s="106"/>
      <c r="E274" s="92"/>
      <c r="F274" s="30"/>
      <c r="G274" s="106"/>
      <c r="H274" s="106"/>
      <c r="I274" s="106"/>
      <c r="J274" s="72"/>
      <c r="K274" s="70">
        <v>5.6</v>
      </c>
      <c r="L274" s="102" t="s">
        <v>566</v>
      </c>
      <c r="M274" s="106" t="s">
        <v>232</v>
      </c>
      <c r="N274" s="92">
        <v>12622</v>
      </c>
      <c r="O274" s="30">
        <v>4</v>
      </c>
      <c r="P274" s="106">
        <f>N274*O274</f>
        <v>50488</v>
      </c>
      <c r="Q274" s="36"/>
      <c r="R274" s="75"/>
      <c r="S274" s="75"/>
      <c r="T274" s="75"/>
      <c r="U274" s="75"/>
      <c r="V274" s="74"/>
    </row>
    <row r="275" spans="1:22" ht="15.75" customHeight="1">
      <c r="A275" s="72"/>
      <c r="B275" s="70"/>
      <c r="C275" s="94"/>
      <c r="D275" s="106"/>
      <c r="E275" s="92"/>
      <c r="F275" s="30"/>
      <c r="G275" s="106"/>
      <c r="H275" s="106"/>
      <c r="I275" s="106"/>
      <c r="J275" s="72"/>
      <c r="K275" s="70">
        <v>5.15</v>
      </c>
      <c r="L275" s="102" t="s">
        <v>567</v>
      </c>
      <c r="M275" s="106" t="s">
        <v>500</v>
      </c>
      <c r="N275" s="92">
        <v>244</v>
      </c>
      <c r="O275" s="30">
        <v>200</v>
      </c>
      <c r="P275" s="106">
        <f>N275*O275</f>
        <v>48800</v>
      </c>
      <c r="Q275" s="36"/>
      <c r="R275" s="75"/>
      <c r="S275" s="75"/>
      <c r="T275" s="75"/>
      <c r="U275" s="75"/>
      <c r="V275" s="74"/>
    </row>
    <row r="276" spans="1:22" ht="15.75" customHeight="1">
      <c r="A276" s="72"/>
      <c r="B276" s="70"/>
      <c r="C276" s="94"/>
      <c r="D276" s="106"/>
      <c r="E276" s="92"/>
      <c r="F276" s="30"/>
      <c r="G276" s="106"/>
      <c r="H276" s="106"/>
      <c r="I276" s="106"/>
      <c r="J276" s="72"/>
      <c r="K276" s="70">
        <v>5.17</v>
      </c>
      <c r="L276" s="102" t="s">
        <v>568</v>
      </c>
      <c r="M276" s="106" t="s">
        <v>500</v>
      </c>
      <c r="N276" s="92">
        <v>155</v>
      </c>
      <c r="O276" s="30">
        <v>250</v>
      </c>
      <c r="P276" s="106">
        <f>N276*O276</f>
        <v>38750</v>
      </c>
      <c r="Q276" s="36"/>
      <c r="R276" s="75"/>
      <c r="S276" s="75"/>
      <c r="T276" s="75"/>
      <c r="U276" s="75"/>
      <c r="V276" s="74"/>
    </row>
    <row r="277" spans="1:22" ht="15.75" customHeight="1">
      <c r="A277" s="72"/>
      <c r="B277" s="70"/>
      <c r="C277" s="94"/>
      <c r="D277" s="106"/>
      <c r="E277" s="92"/>
      <c r="F277" s="30"/>
      <c r="G277" s="106"/>
      <c r="H277" s="106"/>
      <c r="I277" s="106"/>
      <c r="J277" s="72"/>
      <c r="K277" s="691" t="s">
        <v>569</v>
      </c>
      <c r="L277" s="692"/>
      <c r="M277" s="106"/>
      <c r="N277" s="92"/>
      <c r="O277" s="30"/>
      <c r="P277" s="106"/>
      <c r="Q277" s="36"/>
      <c r="R277" s="75"/>
      <c r="S277" s="75"/>
      <c r="T277" s="75"/>
      <c r="U277" s="75"/>
      <c r="V277" s="74"/>
    </row>
    <row r="278" spans="1:22" ht="15.75" customHeight="1">
      <c r="A278" s="72"/>
      <c r="B278" s="70"/>
      <c r="C278" s="94"/>
      <c r="D278" s="106"/>
      <c r="E278" s="92"/>
      <c r="F278" s="30"/>
      <c r="G278" s="106"/>
      <c r="H278" s="106"/>
      <c r="I278" s="106"/>
      <c r="J278" s="72"/>
      <c r="K278" s="70">
        <v>6.2</v>
      </c>
      <c r="L278" s="102" t="s">
        <v>570</v>
      </c>
      <c r="M278" s="106" t="s">
        <v>105</v>
      </c>
      <c r="N278" s="92">
        <v>518</v>
      </c>
      <c r="O278" s="30">
        <v>2</v>
      </c>
      <c r="P278" s="106">
        <f>N278*O278</f>
        <v>1036</v>
      </c>
      <c r="Q278" s="36"/>
      <c r="R278" s="75"/>
      <c r="S278" s="75"/>
      <c r="T278" s="75"/>
      <c r="U278" s="75"/>
      <c r="V278" s="74"/>
    </row>
    <row r="279" spans="1:22" ht="15.75" customHeight="1">
      <c r="A279" s="72"/>
      <c r="B279" s="70"/>
      <c r="C279" s="94"/>
      <c r="D279" s="106"/>
      <c r="E279" s="92"/>
      <c r="F279" s="30"/>
      <c r="G279" s="106"/>
      <c r="H279" s="106"/>
      <c r="I279" s="106"/>
      <c r="J279" s="72"/>
      <c r="K279" s="70">
        <v>6.7</v>
      </c>
      <c r="L279" s="102" t="s">
        <v>571</v>
      </c>
      <c r="M279" s="106" t="s">
        <v>500</v>
      </c>
      <c r="N279" s="92">
        <v>126</v>
      </c>
      <c r="O279" s="30">
        <v>94</v>
      </c>
      <c r="P279" s="106">
        <f>N279*O279</f>
        <v>11844</v>
      </c>
      <c r="Q279" s="36"/>
      <c r="R279" s="75"/>
      <c r="S279" s="75"/>
      <c r="T279" s="75"/>
      <c r="U279" s="75"/>
      <c r="V279" s="74"/>
    </row>
    <row r="280" spans="1:22" ht="15.75" customHeight="1">
      <c r="A280" s="72"/>
      <c r="B280" s="70"/>
      <c r="C280" s="94"/>
      <c r="D280" s="106"/>
      <c r="E280" s="92"/>
      <c r="F280" s="30"/>
      <c r="G280" s="106"/>
      <c r="H280" s="106"/>
      <c r="I280" s="106"/>
      <c r="J280" s="72"/>
      <c r="K280" s="70">
        <v>6.8</v>
      </c>
      <c r="L280" s="102" t="s">
        <v>572</v>
      </c>
      <c r="M280" s="106" t="s">
        <v>500</v>
      </c>
      <c r="N280" s="92">
        <v>197</v>
      </c>
      <c r="O280" s="30">
        <v>30</v>
      </c>
      <c r="P280" s="106">
        <f>N280*O280</f>
        <v>5910</v>
      </c>
      <c r="Q280" s="36"/>
      <c r="R280" s="75"/>
      <c r="S280" s="75"/>
      <c r="T280" s="75"/>
      <c r="U280" s="75"/>
      <c r="V280" s="74"/>
    </row>
    <row r="281" spans="1:22" ht="15.75" customHeight="1">
      <c r="A281" s="72"/>
      <c r="B281" s="70"/>
      <c r="C281" s="94"/>
      <c r="D281" s="106"/>
      <c r="E281" s="92"/>
      <c r="F281" s="30"/>
      <c r="G281" s="106"/>
      <c r="H281" s="106"/>
      <c r="I281" s="106"/>
      <c r="J281" s="72"/>
      <c r="K281" s="691" t="s">
        <v>573</v>
      </c>
      <c r="L281" s="692"/>
      <c r="M281" s="106"/>
      <c r="N281" s="92"/>
      <c r="O281" s="30"/>
      <c r="P281" s="106"/>
      <c r="Q281" s="36"/>
      <c r="R281" s="75"/>
      <c r="S281" s="75"/>
      <c r="T281" s="75"/>
      <c r="U281" s="75"/>
      <c r="V281" s="74"/>
    </row>
    <row r="282" spans="1:22" ht="15.75" customHeight="1">
      <c r="A282" s="72"/>
      <c r="B282" s="70"/>
      <c r="C282" s="94"/>
      <c r="D282" s="106"/>
      <c r="E282" s="92"/>
      <c r="F282" s="30"/>
      <c r="G282" s="106"/>
      <c r="H282" s="106"/>
      <c r="I282" s="106"/>
      <c r="J282" s="72"/>
      <c r="K282" s="70">
        <v>7.8</v>
      </c>
      <c r="L282" s="102" t="s">
        <v>574</v>
      </c>
      <c r="M282" s="106"/>
      <c r="N282" s="92"/>
      <c r="O282" s="30"/>
      <c r="P282" s="106"/>
      <c r="Q282" s="36"/>
      <c r="R282" s="75"/>
      <c r="S282" s="75"/>
      <c r="T282" s="75"/>
      <c r="U282" s="75"/>
      <c r="V282" s="74"/>
    </row>
    <row r="283" spans="1:22" ht="15.75" customHeight="1">
      <c r="A283" s="72"/>
      <c r="B283" s="70"/>
      <c r="C283" s="94"/>
      <c r="D283" s="106"/>
      <c r="E283" s="92"/>
      <c r="F283" s="30"/>
      <c r="G283" s="106"/>
      <c r="H283" s="106"/>
      <c r="I283" s="106"/>
      <c r="J283" s="72"/>
      <c r="K283" s="70" t="s">
        <v>575</v>
      </c>
      <c r="L283" s="102" t="s">
        <v>576</v>
      </c>
      <c r="M283" s="106" t="s">
        <v>500</v>
      </c>
      <c r="N283" s="92">
        <v>45</v>
      </c>
      <c r="O283" s="30">
        <v>244</v>
      </c>
      <c r="P283" s="106">
        <f>N283*O283</f>
        <v>10980</v>
      </c>
      <c r="Q283" s="36"/>
      <c r="R283" s="75"/>
      <c r="S283" s="75"/>
      <c r="T283" s="75"/>
      <c r="U283" s="75"/>
      <c r="V283" s="74"/>
    </row>
    <row r="284" spans="1:22" ht="15.75" customHeight="1">
      <c r="A284" s="72"/>
      <c r="B284" s="70"/>
      <c r="C284" s="94"/>
      <c r="D284" s="106"/>
      <c r="E284" s="92"/>
      <c r="F284" s="30"/>
      <c r="G284" s="106"/>
      <c r="H284" s="106"/>
      <c r="I284" s="106"/>
      <c r="J284" s="72"/>
      <c r="K284" s="691" t="s">
        <v>577</v>
      </c>
      <c r="L284" s="692"/>
      <c r="M284" s="106"/>
      <c r="N284" s="92"/>
      <c r="O284" s="30"/>
      <c r="P284" s="106"/>
      <c r="Q284" s="36"/>
      <c r="R284" s="75"/>
      <c r="S284" s="75"/>
      <c r="T284" s="75"/>
      <c r="U284" s="75"/>
      <c r="V284" s="74"/>
    </row>
    <row r="285" spans="1:22" ht="15.75" customHeight="1">
      <c r="A285" s="72"/>
      <c r="B285" s="70"/>
      <c r="C285" s="94"/>
      <c r="D285" s="106"/>
      <c r="E285" s="92"/>
      <c r="F285" s="30"/>
      <c r="G285" s="106"/>
      <c r="H285" s="106"/>
      <c r="I285" s="106"/>
      <c r="J285" s="72"/>
      <c r="K285" s="70">
        <v>9.1</v>
      </c>
      <c r="L285" s="102" t="s">
        <v>578</v>
      </c>
      <c r="M285" s="106"/>
      <c r="N285" s="92"/>
      <c r="O285" s="30"/>
      <c r="P285" s="106"/>
      <c r="Q285" s="36"/>
      <c r="R285" s="75"/>
      <c r="S285" s="75"/>
      <c r="T285" s="75"/>
      <c r="U285" s="75"/>
      <c r="V285" s="74"/>
    </row>
    <row r="286" spans="1:22" ht="15.75" customHeight="1">
      <c r="A286" s="72"/>
      <c r="B286" s="70"/>
      <c r="C286" s="94"/>
      <c r="D286" s="106"/>
      <c r="E286" s="92"/>
      <c r="F286" s="30"/>
      <c r="G286" s="106"/>
      <c r="H286" s="106"/>
      <c r="I286" s="106"/>
      <c r="J286" s="72"/>
      <c r="K286" s="70" t="s">
        <v>579</v>
      </c>
      <c r="L286" s="102" t="s">
        <v>580</v>
      </c>
      <c r="M286" s="106" t="s">
        <v>105</v>
      </c>
      <c r="N286" s="92">
        <v>313</v>
      </c>
      <c r="O286" s="30">
        <v>6</v>
      </c>
      <c r="P286" s="106">
        <f>N286*O286</f>
        <v>1878</v>
      </c>
      <c r="Q286" s="36"/>
      <c r="R286" s="75"/>
      <c r="S286" s="75"/>
      <c r="T286" s="75"/>
      <c r="U286" s="75"/>
      <c r="V286" s="74"/>
    </row>
    <row r="287" spans="1:22" ht="15.75" customHeight="1">
      <c r="A287" s="72"/>
      <c r="B287" s="70"/>
      <c r="C287" s="94"/>
      <c r="D287" s="106"/>
      <c r="E287" s="92"/>
      <c r="F287" s="30"/>
      <c r="G287" s="106"/>
      <c r="H287" s="106"/>
      <c r="I287" s="106"/>
      <c r="J287" s="72"/>
      <c r="K287" s="70" t="s">
        <v>581</v>
      </c>
      <c r="L287" s="102" t="s">
        <v>582</v>
      </c>
      <c r="M287" s="106" t="s">
        <v>105</v>
      </c>
      <c r="N287" s="92">
        <v>269</v>
      </c>
      <c r="O287" s="30">
        <v>20</v>
      </c>
      <c r="P287" s="106">
        <f>N287*O287</f>
        <v>5380</v>
      </c>
      <c r="Q287" s="36"/>
      <c r="R287" s="75"/>
      <c r="S287" s="75"/>
      <c r="T287" s="75"/>
      <c r="U287" s="75"/>
      <c r="V287" s="74"/>
    </row>
    <row r="288" spans="1:22" ht="15.75" customHeight="1">
      <c r="A288" s="72"/>
      <c r="B288" s="70"/>
      <c r="C288" s="94"/>
      <c r="D288" s="106"/>
      <c r="E288" s="92"/>
      <c r="F288" s="30"/>
      <c r="G288" s="106"/>
      <c r="H288" s="106"/>
      <c r="I288" s="106"/>
      <c r="J288" s="72"/>
      <c r="K288" s="691" t="s">
        <v>583</v>
      </c>
      <c r="L288" s="692"/>
      <c r="M288" s="106"/>
      <c r="N288" s="92"/>
      <c r="O288" s="30"/>
      <c r="P288" s="106"/>
      <c r="Q288" s="36"/>
      <c r="R288" s="75"/>
      <c r="S288" s="75"/>
      <c r="T288" s="75"/>
      <c r="U288" s="75"/>
      <c r="V288" s="74"/>
    </row>
    <row r="289" spans="1:22" ht="15.75" customHeight="1">
      <c r="A289" s="72"/>
      <c r="B289" s="70"/>
      <c r="C289" s="94"/>
      <c r="D289" s="106"/>
      <c r="E289" s="92"/>
      <c r="F289" s="30"/>
      <c r="G289" s="106"/>
      <c r="H289" s="106"/>
      <c r="I289" s="106"/>
      <c r="J289" s="72"/>
      <c r="K289" s="70">
        <v>14.2</v>
      </c>
      <c r="L289" s="102" t="s">
        <v>584</v>
      </c>
      <c r="M289" s="106" t="s">
        <v>585</v>
      </c>
      <c r="N289" s="92">
        <v>654</v>
      </c>
      <c r="O289" s="30">
        <v>40</v>
      </c>
      <c r="P289" s="106">
        <f>N289*O289</f>
        <v>26160</v>
      </c>
      <c r="Q289" s="36"/>
      <c r="R289" s="75"/>
      <c r="S289" s="75"/>
      <c r="T289" s="75"/>
      <c r="U289" s="75"/>
      <c r="V289" s="74"/>
    </row>
    <row r="290" spans="1:22" ht="15.75" customHeight="1">
      <c r="A290" s="72"/>
      <c r="B290" s="70"/>
      <c r="C290" s="94"/>
      <c r="D290" s="106"/>
      <c r="E290" s="92"/>
      <c r="F290" s="30"/>
      <c r="G290" s="106"/>
      <c r="H290" s="106"/>
      <c r="I290" s="106"/>
      <c r="J290" s="72"/>
      <c r="K290" s="691" t="s">
        <v>586</v>
      </c>
      <c r="L290" s="692"/>
      <c r="M290" s="106"/>
      <c r="N290" s="92"/>
      <c r="O290" s="30"/>
      <c r="P290" s="106"/>
      <c r="Q290" s="36"/>
      <c r="R290" s="75"/>
      <c r="S290" s="75"/>
      <c r="T290" s="75"/>
      <c r="U290" s="75"/>
      <c r="V290" s="74"/>
    </row>
    <row r="291" spans="1:22" ht="15.75" customHeight="1">
      <c r="A291" s="72"/>
      <c r="B291" s="70"/>
      <c r="C291" s="94"/>
      <c r="D291" s="106"/>
      <c r="E291" s="92"/>
      <c r="F291" s="30"/>
      <c r="G291" s="106"/>
      <c r="H291" s="106"/>
      <c r="I291" s="106"/>
      <c r="J291" s="72"/>
      <c r="K291" s="70">
        <v>19.100000000000001</v>
      </c>
      <c r="L291" s="102" t="s">
        <v>587</v>
      </c>
      <c r="M291" s="106" t="s">
        <v>105</v>
      </c>
      <c r="N291" s="92">
        <v>2730</v>
      </c>
      <c r="O291" s="30">
        <v>5</v>
      </c>
      <c r="P291" s="106">
        <f>N291*O291</f>
        <v>13650</v>
      </c>
      <c r="Q291" s="36"/>
      <c r="R291" s="75"/>
      <c r="S291" s="75"/>
      <c r="T291" s="75"/>
      <c r="U291" s="75"/>
      <c r="V291" s="74"/>
    </row>
    <row r="292" spans="1:22" ht="15.75" customHeight="1">
      <c r="A292" s="72"/>
      <c r="B292" s="70"/>
      <c r="C292" s="94"/>
      <c r="D292" s="106"/>
      <c r="E292" s="92"/>
      <c r="F292" s="30"/>
      <c r="G292" s="106"/>
      <c r="H292" s="106"/>
      <c r="I292" s="106"/>
      <c r="J292" s="72"/>
      <c r="K292" s="691" t="s">
        <v>588</v>
      </c>
      <c r="L292" s="692"/>
      <c r="M292" s="106"/>
      <c r="N292" s="92"/>
      <c r="O292" s="30"/>
      <c r="P292" s="106"/>
      <c r="Q292" s="36"/>
      <c r="R292" s="75"/>
      <c r="S292" s="75"/>
      <c r="T292" s="75"/>
      <c r="U292" s="75"/>
      <c r="V292" s="74"/>
    </row>
    <row r="293" spans="1:22" ht="15.75" customHeight="1">
      <c r="A293" s="72"/>
      <c r="B293" s="70"/>
      <c r="C293" s="94"/>
      <c r="D293" s="106"/>
      <c r="E293" s="92"/>
      <c r="F293" s="30"/>
      <c r="G293" s="106"/>
      <c r="H293" s="106"/>
      <c r="I293" s="106"/>
      <c r="J293" s="72"/>
      <c r="K293" s="128" t="s">
        <v>91</v>
      </c>
      <c r="L293" s="102" t="s">
        <v>589</v>
      </c>
      <c r="M293" s="106"/>
      <c r="N293" s="92"/>
      <c r="O293" s="30"/>
      <c r="P293" s="106"/>
      <c r="Q293" s="36"/>
      <c r="R293" s="75"/>
      <c r="S293" s="75"/>
      <c r="T293" s="75"/>
      <c r="U293" s="75"/>
      <c r="V293" s="74"/>
    </row>
    <row r="294" spans="1:22" ht="15.75" customHeight="1">
      <c r="A294" s="72"/>
      <c r="B294" s="70"/>
      <c r="C294" s="94"/>
      <c r="D294" s="106"/>
      <c r="E294" s="92"/>
      <c r="F294" s="30"/>
      <c r="G294" s="106"/>
      <c r="H294" s="106"/>
      <c r="I294" s="106"/>
      <c r="J294" s="72"/>
      <c r="K294" s="128" t="s">
        <v>91</v>
      </c>
      <c r="L294" s="102" t="s">
        <v>590</v>
      </c>
      <c r="M294" s="106" t="s">
        <v>500</v>
      </c>
      <c r="N294" s="92">
        <v>206</v>
      </c>
      <c r="O294" s="30">
        <v>37</v>
      </c>
      <c r="P294" s="106">
        <f>N294*O294</f>
        <v>7622</v>
      </c>
      <c r="Q294" s="36"/>
      <c r="R294" s="75"/>
      <c r="S294" s="75"/>
      <c r="T294" s="75"/>
      <c r="U294" s="75"/>
      <c r="V294" s="74"/>
    </row>
    <row r="295" spans="1:22" ht="15.75" customHeight="1">
      <c r="A295" s="72"/>
      <c r="B295" s="70"/>
      <c r="C295" s="94"/>
      <c r="D295" s="106"/>
      <c r="E295" s="92"/>
      <c r="F295" s="30"/>
      <c r="G295" s="106"/>
      <c r="H295" s="106"/>
      <c r="I295" s="106"/>
      <c r="J295" s="72"/>
      <c r="K295" s="128" t="s">
        <v>91</v>
      </c>
      <c r="L295" s="102" t="s">
        <v>591</v>
      </c>
      <c r="M295" s="106" t="s">
        <v>500</v>
      </c>
      <c r="N295" s="92">
        <v>542</v>
      </c>
      <c r="O295" s="30">
        <v>57</v>
      </c>
      <c r="P295" s="106">
        <f>N295*O295</f>
        <v>30894</v>
      </c>
      <c r="Q295" s="36"/>
      <c r="R295" s="75"/>
      <c r="S295" s="75"/>
      <c r="T295" s="75"/>
      <c r="U295" s="75"/>
      <c r="V295" s="74"/>
    </row>
    <row r="296" spans="1:22" ht="15.75" customHeight="1">
      <c r="A296" s="72"/>
      <c r="B296" s="70"/>
      <c r="C296" s="94"/>
      <c r="D296" s="106"/>
      <c r="E296" s="92"/>
      <c r="F296" s="30"/>
      <c r="G296" s="106"/>
      <c r="H296" s="106"/>
      <c r="I296" s="106"/>
      <c r="J296" s="72"/>
      <c r="K296" s="128" t="s">
        <v>91</v>
      </c>
      <c r="L296" s="102" t="s">
        <v>592</v>
      </c>
      <c r="M296" s="106" t="s">
        <v>500</v>
      </c>
      <c r="N296" s="92">
        <v>331</v>
      </c>
      <c r="O296" s="30">
        <v>90</v>
      </c>
      <c r="P296" s="106">
        <f>N296*O296</f>
        <v>29790</v>
      </c>
      <c r="Q296" s="36"/>
      <c r="R296" s="75"/>
      <c r="S296" s="75"/>
      <c r="T296" s="75"/>
      <c r="U296" s="75"/>
      <c r="V296" s="74"/>
    </row>
    <row r="297" spans="1:22" ht="15.75" customHeight="1">
      <c r="A297" s="72"/>
      <c r="B297" s="70"/>
      <c r="C297" s="94"/>
      <c r="D297" s="106"/>
      <c r="E297" s="92"/>
      <c r="F297" s="30"/>
      <c r="G297" s="106"/>
      <c r="H297" s="106"/>
      <c r="I297" s="106"/>
      <c r="J297" s="72"/>
      <c r="K297" s="128" t="s">
        <v>91</v>
      </c>
      <c r="L297" s="102" t="s">
        <v>593</v>
      </c>
      <c r="M297" s="106" t="s">
        <v>500</v>
      </c>
      <c r="N297" s="92">
        <v>133</v>
      </c>
      <c r="O297" s="30">
        <v>50</v>
      </c>
      <c r="P297" s="106">
        <f>N297*O297</f>
        <v>6650</v>
      </c>
      <c r="Q297" s="36"/>
      <c r="R297" s="75"/>
      <c r="S297" s="75"/>
      <c r="T297" s="75"/>
      <c r="U297" s="75"/>
      <c r="V297" s="74"/>
    </row>
    <row r="298" spans="1:22" ht="15.75" customHeight="1">
      <c r="A298" s="72"/>
      <c r="B298" s="70"/>
      <c r="C298" s="94"/>
      <c r="D298" s="106"/>
      <c r="E298" s="92"/>
      <c r="F298" s="30"/>
      <c r="G298" s="106"/>
      <c r="H298" s="106"/>
      <c r="I298" s="106"/>
      <c r="J298" s="72"/>
      <c r="K298" s="128" t="s">
        <v>91</v>
      </c>
      <c r="L298" s="102" t="s">
        <v>594</v>
      </c>
      <c r="M298" s="106"/>
      <c r="N298" s="92"/>
      <c r="O298" s="30"/>
      <c r="P298" s="106"/>
      <c r="Q298" s="36"/>
      <c r="R298" s="75"/>
      <c r="S298" s="75"/>
      <c r="T298" s="75"/>
      <c r="U298" s="75"/>
      <c r="V298" s="74"/>
    </row>
    <row r="299" spans="1:22" ht="15.75" customHeight="1">
      <c r="A299" s="72"/>
      <c r="B299" s="70"/>
      <c r="C299" s="94"/>
      <c r="D299" s="106"/>
      <c r="E299" s="92"/>
      <c r="F299" s="30"/>
      <c r="G299" s="106"/>
      <c r="H299" s="106"/>
      <c r="I299" s="106"/>
      <c r="J299" s="72"/>
      <c r="K299" s="128" t="s">
        <v>91</v>
      </c>
      <c r="L299" s="102" t="s">
        <v>595</v>
      </c>
      <c r="M299" s="106" t="s">
        <v>500</v>
      </c>
      <c r="N299" s="92">
        <v>279</v>
      </c>
      <c r="O299" s="30">
        <v>10</v>
      </c>
      <c r="P299" s="106">
        <f>N299*O299</f>
        <v>2790</v>
      </c>
      <c r="Q299" s="36"/>
      <c r="R299" s="75"/>
      <c r="S299" s="75"/>
      <c r="T299" s="75"/>
      <c r="U299" s="75"/>
      <c r="V299" s="74"/>
    </row>
    <row r="300" spans="1:22" ht="15.75" customHeight="1">
      <c r="A300" s="72"/>
      <c r="B300" s="70"/>
      <c r="C300" s="94"/>
      <c r="D300" s="106"/>
      <c r="E300" s="92"/>
      <c r="F300" s="30"/>
      <c r="G300" s="106"/>
      <c r="H300" s="106"/>
      <c r="I300" s="106"/>
      <c r="J300" s="72"/>
      <c r="K300" s="128" t="s">
        <v>91</v>
      </c>
      <c r="L300" s="102" t="s">
        <v>596</v>
      </c>
      <c r="M300" s="106"/>
      <c r="N300" s="92"/>
      <c r="O300" s="30"/>
      <c r="P300" s="106"/>
      <c r="Q300" s="36"/>
      <c r="R300" s="75"/>
      <c r="S300" s="75"/>
      <c r="T300" s="75"/>
      <c r="U300" s="75"/>
      <c r="V300" s="74"/>
    </row>
    <row r="301" spans="1:22" ht="15.75" customHeight="1">
      <c r="A301" s="72"/>
      <c r="B301" s="70"/>
      <c r="C301" s="94"/>
      <c r="D301" s="106"/>
      <c r="E301" s="92"/>
      <c r="F301" s="30"/>
      <c r="G301" s="106"/>
      <c r="H301" s="106"/>
      <c r="I301" s="106"/>
      <c r="J301" s="72"/>
      <c r="K301" s="128" t="s">
        <v>91</v>
      </c>
      <c r="L301" s="102" t="s">
        <v>597</v>
      </c>
      <c r="M301" s="106" t="s">
        <v>105</v>
      </c>
      <c r="N301" s="92">
        <v>862.49999999999989</v>
      </c>
      <c r="O301" s="30">
        <v>320</v>
      </c>
      <c r="P301" s="106">
        <f>N301*O301</f>
        <v>275999.99999999994</v>
      </c>
      <c r="Q301" s="36"/>
      <c r="R301" s="75"/>
      <c r="S301" s="75"/>
      <c r="T301" s="75"/>
      <c r="U301" s="75"/>
      <c r="V301" s="74"/>
    </row>
    <row r="302" spans="1:22" ht="15.75" customHeight="1">
      <c r="A302" s="72"/>
      <c r="B302" s="70"/>
      <c r="C302" s="94"/>
      <c r="D302" s="106"/>
      <c r="E302" s="92"/>
      <c r="F302" s="30"/>
      <c r="G302" s="106"/>
      <c r="H302" s="106"/>
      <c r="I302" s="106"/>
      <c r="J302" s="72"/>
      <c r="K302" s="128" t="s">
        <v>91</v>
      </c>
      <c r="L302" s="102" t="s">
        <v>598</v>
      </c>
      <c r="M302" s="106" t="s">
        <v>105</v>
      </c>
      <c r="N302" s="92">
        <v>517.5</v>
      </c>
      <c r="O302" s="30">
        <v>12</v>
      </c>
      <c r="P302" s="106">
        <f>N302*O302</f>
        <v>6210</v>
      </c>
      <c r="Q302" s="36"/>
      <c r="R302" s="75"/>
      <c r="S302" s="75"/>
      <c r="T302" s="75"/>
      <c r="U302" s="75"/>
      <c r="V302" s="74"/>
    </row>
    <row r="303" spans="1:22" ht="15.75" customHeight="1">
      <c r="A303" s="72"/>
      <c r="B303" s="70"/>
      <c r="C303" s="94"/>
      <c r="D303" s="106"/>
      <c r="E303" s="92"/>
      <c r="F303" s="30"/>
      <c r="G303" s="106"/>
      <c r="H303" s="106"/>
      <c r="I303" s="106"/>
      <c r="J303" s="72"/>
      <c r="K303" s="128" t="s">
        <v>91</v>
      </c>
      <c r="L303" s="102" t="s">
        <v>599</v>
      </c>
      <c r="M303" s="106" t="s">
        <v>105</v>
      </c>
      <c r="N303" s="92">
        <v>1437.5</v>
      </c>
      <c r="O303" s="30">
        <v>16</v>
      </c>
      <c r="P303" s="106">
        <f>N303*O303</f>
        <v>23000</v>
      </c>
      <c r="Q303" s="36"/>
      <c r="R303" s="75"/>
      <c r="S303" s="75"/>
      <c r="T303" s="75"/>
      <c r="U303" s="75"/>
      <c r="V303" s="74"/>
    </row>
    <row r="304" spans="1:22" ht="15.75" customHeight="1">
      <c r="A304" s="72"/>
      <c r="B304" s="70"/>
      <c r="C304" s="94"/>
      <c r="D304" s="106"/>
      <c r="E304" s="92"/>
      <c r="F304" s="30"/>
      <c r="G304" s="106"/>
      <c r="H304" s="106"/>
      <c r="I304" s="106"/>
      <c r="J304" s="72"/>
      <c r="K304" s="128" t="s">
        <v>91</v>
      </c>
      <c r="L304" s="102" t="s">
        <v>600</v>
      </c>
      <c r="M304" s="106" t="s">
        <v>105</v>
      </c>
      <c r="N304" s="92">
        <v>28749.999999999996</v>
      </c>
      <c r="O304" s="30">
        <v>1</v>
      </c>
      <c r="P304" s="106">
        <f>N304*O304</f>
        <v>28749.999999999996</v>
      </c>
      <c r="Q304" s="36"/>
      <c r="R304" s="75"/>
      <c r="S304" s="75"/>
      <c r="T304" s="75"/>
      <c r="U304" s="75"/>
      <c r="V304" s="74"/>
    </row>
    <row r="305" spans="1:22" ht="15.75" customHeight="1">
      <c r="A305" s="72"/>
      <c r="B305" s="70"/>
      <c r="C305" s="94"/>
      <c r="D305" s="106"/>
      <c r="E305" s="92"/>
      <c r="F305" s="30"/>
      <c r="G305" s="106"/>
      <c r="H305" s="106"/>
      <c r="I305" s="106"/>
      <c r="J305" s="72"/>
      <c r="K305" s="128" t="s">
        <v>91</v>
      </c>
      <c r="L305" s="102" t="s">
        <v>601</v>
      </c>
      <c r="M305" s="106" t="s">
        <v>105</v>
      </c>
      <c r="N305" s="92">
        <v>1380</v>
      </c>
      <c r="O305" s="30">
        <v>13</v>
      </c>
      <c r="P305" s="106">
        <f>N305*O305</f>
        <v>17940</v>
      </c>
      <c r="Q305" s="36"/>
      <c r="R305" s="75"/>
      <c r="S305" s="75"/>
      <c r="T305" s="75"/>
      <c r="U305" s="75"/>
      <c r="V305" s="74"/>
    </row>
    <row r="306" spans="1:22" ht="15.75" customHeight="1">
      <c r="A306" s="1"/>
      <c r="B306" s="103"/>
      <c r="C306" s="8"/>
      <c r="E306" s="29"/>
      <c r="F306" s="47"/>
      <c r="J306" s="47"/>
      <c r="K306" s="47"/>
      <c r="L306" s="66"/>
      <c r="M306" s="66"/>
      <c r="N306" s="76"/>
      <c r="O306" s="115"/>
      <c r="P306" s="116"/>
      <c r="Q306" s="66"/>
      <c r="V306" s="1"/>
    </row>
    <row r="307" spans="1:22" ht="15.75" customHeight="1">
      <c r="A307" s="1"/>
      <c r="B307" s="103"/>
      <c r="C307" s="8"/>
      <c r="E307" s="29"/>
      <c r="F307" s="47"/>
      <c r="J307" s="47"/>
      <c r="K307" s="47"/>
      <c r="L307" s="66"/>
      <c r="M307" s="66"/>
      <c r="N307" s="76"/>
      <c r="O307" s="115"/>
      <c r="P307" s="116"/>
      <c r="Q307" s="66"/>
      <c r="V307" s="1"/>
    </row>
    <row r="308" spans="1:22" ht="15.75" customHeight="1">
      <c r="A308" s="1"/>
      <c r="B308" s="103"/>
      <c r="C308" s="8"/>
      <c r="E308" s="29"/>
      <c r="F308" s="47"/>
      <c r="J308" s="47"/>
      <c r="K308" s="47"/>
      <c r="L308" s="66"/>
      <c r="M308" s="66"/>
      <c r="N308" s="76"/>
      <c r="O308" s="115"/>
      <c r="P308" s="116"/>
      <c r="Q308" s="66"/>
      <c r="V308" s="1"/>
    </row>
    <row r="309" spans="1:22" ht="15.75" customHeight="1">
      <c r="A309" s="1"/>
      <c r="B309" s="103"/>
      <c r="C309" s="8"/>
      <c r="E309" s="29"/>
      <c r="F309" s="47"/>
      <c r="J309" s="47"/>
      <c r="K309" s="47"/>
      <c r="L309" s="66"/>
      <c r="M309" s="66"/>
      <c r="N309" s="76"/>
      <c r="O309" s="115"/>
      <c r="P309" s="116"/>
      <c r="Q309" s="66"/>
      <c r="V309" s="1"/>
    </row>
    <row r="310" spans="1:22" ht="15.75" customHeight="1">
      <c r="A310" s="1"/>
      <c r="B310" s="103"/>
      <c r="C310" s="8"/>
      <c r="E310" s="29"/>
      <c r="F310" s="47"/>
      <c r="J310" s="47"/>
      <c r="K310" s="47"/>
      <c r="L310" s="66"/>
      <c r="M310" s="66"/>
      <c r="N310" s="76"/>
      <c r="O310" s="115"/>
      <c r="P310" s="116"/>
      <c r="Q310" s="66"/>
      <c r="V310" s="1"/>
    </row>
    <row r="311" spans="1:22" ht="15.75" customHeight="1">
      <c r="A311" s="1"/>
      <c r="B311" s="103"/>
      <c r="C311" s="8"/>
      <c r="E311" s="29"/>
      <c r="F311" s="47"/>
      <c r="J311" s="47"/>
      <c r="K311" s="47"/>
      <c r="L311" s="66"/>
      <c r="M311" s="66"/>
      <c r="N311" s="76"/>
      <c r="O311" s="115"/>
      <c r="P311" s="116"/>
      <c r="Q311" s="66"/>
      <c r="V311" s="1"/>
    </row>
    <row r="312" spans="1:22" ht="15.75" customHeight="1">
      <c r="A312" s="1"/>
      <c r="B312" s="103"/>
      <c r="C312" s="8"/>
      <c r="E312" s="29"/>
      <c r="F312" s="47"/>
      <c r="J312" s="47"/>
      <c r="K312" s="47"/>
      <c r="L312" s="66"/>
      <c r="M312" s="66"/>
      <c r="N312" s="76"/>
      <c r="O312" s="115"/>
      <c r="P312" s="116"/>
      <c r="Q312" s="66"/>
      <c r="V312" s="1"/>
    </row>
    <row r="313" spans="1:22" ht="15.75" customHeight="1">
      <c r="A313" s="1"/>
      <c r="B313" s="103"/>
      <c r="C313" s="8"/>
      <c r="E313" s="29"/>
      <c r="F313" s="47"/>
      <c r="J313" s="47"/>
      <c r="K313" s="47"/>
      <c r="L313" s="66"/>
      <c r="M313" s="66"/>
      <c r="N313" s="76"/>
      <c r="O313" s="115"/>
      <c r="P313" s="116"/>
      <c r="Q313" s="66"/>
      <c r="V313" s="1"/>
    </row>
    <row r="314" spans="1:22" ht="15.75" customHeight="1">
      <c r="A314" s="1"/>
      <c r="B314" s="103"/>
      <c r="C314" s="8"/>
      <c r="E314" s="29"/>
      <c r="F314" s="47"/>
      <c r="J314" s="47"/>
      <c r="K314" s="47"/>
      <c r="L314" s="66"/>
      <c r="M314" s="66"/>
      <c r="N314" s="76"/>
      <c r="O314" s="115"/>
      <c r="P314" s="116"/>
      <c r="Q314" s="66"/>
      <c r="V314" s="1"/>
    </row>
    <row r="315" spans="1:22" ht="15.75" customHeight="1">
      <c r="A315" s="1"/>
      <c r="B315" s="103"/>
      <c r="C315" s="8"/>
      <c r="E315" s="29"/>
      <c r="F315" s="47"/>
      <c r="J315" s="47"/>
      <c r="K315" s="47"/>
      <c r="L315" s="66"/>
      <c r="M315" s="66"/>
      <c r="N315" s="76"/>
      <c r="O315" s="115"/>
      <c r="P315" s="116"/>
      <c r="Q315" s="66"/>
      <c r="V315" s="1"/>
    </row>
    <row r="316" spans="1:22" ht="15.75" customHeight="1">
      <c r="A316" s="1"/>
      <c r="B316" s="103"/>
      <c r="C316" s="8"/>
      <c r="E316" s="29"/>
      <c r="F316" s="47"/>
      <c r="J316" s="47"/>
      <c r="K316" s="47"/>
      <c r="L316" s="66"/>
      <c r="M316" s="66"/>
      <c r="N316" s="76"/>
      <c r="O316" s="115"/>
      <c r="P316" s="116"/>
      <c r="Q316" s="66"/>
      <c r="V316" s="1"/>
    </row>
    <row r="317" spans="1:22" ht="15.75" customHeight="1">
      <c r="A317" s="1"/>
      <c r="B317" s="103"/>
      <c r="C317" s="8"/>
      <c r="E317" s="29"/>
      <c r="F317" s="47"/>
      <c r="J317" s="47"/>
      <c r="K317" s="47"/>
      <c r="L317" s="66"/>
      <c r="M317" s="66"/>
      <c r="N317" s="76"/>
      <c r="O317" s="115"/>
      <c r="P317" s="116"/>
      <c r="Q317" s="66"/>
      <c r="V317" s="1"/>
    </row>
    <row r="318" spans="1:22" ht="15.75" customHeight="1">
      <c r="A318" s="1"/>
      <c r="B318" s="103"/>
      <c r="C318" s="8"/>
      <c r="E318" s="29"/>
      <c r="F318" s="47"/>
      <c r="J318" s="47"/>
      <c r="K318" s="47"/>
      <c r="L318" s="66"/>
      <c r="M318" s="66"/>
      <c r="N318" s="76"/>
      <c r="O318" s="115"/>
      <c r="P318" s="116"/>
      <c r="Q318" s="66"/>
      <c r="V318" s="1"/>
    </row>
    <row r="319" spans="1:22" ht="15.75" customHeight="1">
      <c r="A319" s="1"/>
      <c r="B319" s="103"/>
      <c r="C319" s="8"/>
      <c r="E319" s="29"/>
      <c r="F319" s="47"/>
      <c r="J319" s="47"/>
      <c r="K319" s="47"/>
      <c r="L319" s="66"/>
      <c r="M319" s="66"/>
      <c r="N319" s="76"/>
      <c r="O319" s="115"/>
      <c r="P319" s="116"/>
      <c r="Q319" s="66"/>
      <c r="V319" s="1"/>
    </row>
    <row r="320" spans="1:22" ht="15.75" customHeight="1">
      <c r="A320" s="1"/>
      <c r="B320" s="103"/>
      <c r="C320" s="8"/>
      <c r="E320" s="29"/>
      <c r="F320" s="47"/>
      <c r="J320" s="47"/>
      <c r="K320" s="47"/>
      <c r="L320" s="66"/>
      <c r="M320" s="66"/>
      <c r="N320" s="76"/>
      <c r="O320" s="115"/>
      <c r="P320" s="116"/>
      <c r="Q320" s="66"/>
      <c r="V320" s="1"/>
    </row>
    <row r="321" spans="1:22" ht="15.75" customHeight="1">
      <c r="A321" s="1"/>
      <c r="B321" s="103"/>
      <c r="C321" s="8"/>
      <c r="E321" s="29"/>
      <c r="F321" s="47"/>
      <c r="J321" s="47"/>
      <c r="K321" s="47"/>
      <c r="L321" s="66"/>
      <c r="M321" s="66"/>
      <c r="N321" s="76"/>
      <c r="O321" s="115"/>
      <c r="P321" s="116"/>
      <c r="Q321" s="66"/>
      <c r="V321" s="1"/>
    </row>
    <row r="322" spans="1:22" ht="15.75" customHeight="1">
      <c r="A322" s="1"/>
      <c r="B322" s="103"/>
      <c r="C322" s="8"/>
      <c r="E322" s="29"/>
      <c r="F322" s="47"/>
      <c r="J322" s="47"/>
      <c r="K322" s="47"/>
      <c r="L322" s="66"/>
      <c r="M322" s="66"/>
      <c r="N322" s="76"/>
      <c r="O322" s="115"/>
      <c r="P322" s="116"/>
      <c r="Q322" s="66"/>
      <c r="V322" s="1"/>
    </row>
    <row r="323" spans="1:22" ht="15.75" customHeight="1">
      <c r="A323" s="1"/>
      <c r="B323" s="103"/>
      <c r="C323" s="8"/>
      <c r="E323" s="29"/>
      <c r="F323" s="47"/>
      <c r="J323" s="47"/>
      <c r="K323" s="47"/>
      <c r="L323" s="66"/>
      <c r="M323" s="66"/>
      <c r="N323" s="76"/>
      <c r="O323" s="115"/>
      <c r="P323" s="116"/>
      <c r="Q323" s="66"/>
      <c r="V323" s="1"/>
    </row>
    <row r="324" spans="1:22" ht="15.75" customHeight="1">
      <c r="A324" s="1"/>
      <c r="B324" s="103"/>
      <c r="C324" s="8"/>
      <c r="E324" s="29"/>
      <c r="F324" s="47"/>
      <c r="J324" s="47"/>
      <c r="K324" s="47"/>
      <c r="L324" s="66"/>
      <c r="M324" s="66"/>
      <c r="N324" s="76"/>
      <c r="O324" s="115"/>
      <c r="P324" s="116"/>
      <c r="Q324" s="66"/>
      <c r="V324" s="1"/>
    </row>
    <row r="325" spans="1:22" ht="15.75" customHeight="1">
      <c r="A325" s="1"/>
      <c r="B325" s="103"/>
      <c r="C325" s="8"/>
      <c r="E325" s="29"/>
      <c r="F325" s="47"/>
      <c r="J325" s="47"/>
      <c r="K325" s="47"/>
      <c r="L325" s="66"/>
      <c r="M325" s="66"/>
      <c r="N325" s="76"/>
      <c r="O325" s="115"/>
      <c r="P325" s="116"/>
      <c r="Q325" s="66"/>
      <c r="V325" s="1"/>
    </row>
    <row r="326" spans="1:22" ht="15.75" customHeight="1">
      <c r="A326" s="1"/>
      <c r="B326" s="103"/>
      <c r="C326" s="8"/>
      <c r="E326" s="29"/>
      <c r="F326" s="47"/>
      <c r="J326" s="47"/>
      <c r="K326" s="47"/>
      <c r="L326" s="66"/>
      <c r="M326" s="66"/>
      <c r="N326" s="76"/>
      <c r="O326" s="115"/>
      <c r="P326" s="116"/>
      <c r="Q326" s="66"/>
      <c r="V326" s="1"/>
    </row>
    <row r="327" spans="1:22" ht="15.75" customHeight="1">
      <c r="A327" s="1"/>
      <c r="B327" s="103"/>
      <c r="C327" s="8"/>
      <c r="E327" s="29"/>
      <c r="F327" s="47"/>
      <c r="J327" s="47"/>
      <c r="K327" s="47"/>
      <c r="L327" s="66"/>
      <c r="M327" s="66"/>
      <c r="N327" s="76"/>
      <c r="O327" s="115"/>
      <c r="P327" s="116"/>
      <c r="Q327" s="66"/>
      <c r="V327" s="1"/>
    </row>
    <row r="328" spans="1:22" ht="15.75" customHeight="1">
      <c r="A328" s="1"/>
      <c r="B328" s="103"/>
      <c r="C328" s="8"/>
      <c r="E328" s="29"/>
      <c r="F328" s="47"/>
      <c r="J328" s="47"/>
      <c r="K328" s="47"/>
      <c r="L328" s="66"/>
      <c r="M328" s="66"/>
      <c r="N328" s="76"/>
      <c r="O328" s="115"/>
      <c r="P328" s="116"/>
      <c r="Q328" s="66"/>
      <c r="V328" s="1"/>
    </row>
    <row r="329" spans="1:22" ht="15.75" customHeight="1">
      <c r="A329" s="1"/>
      <c r="B329" s="103"/>
      <c r="C329" s="8"/>
      <c r="E329" s="29"/>
      <c r="F329" s="47"/>
      <c r="J329" s="47"/>
      <c r="K329" s="47"/>
      <c r="L329" s="66"/>
      <c r="M329" s="66"/>
      <c r="N329" s="76"/>
      <c r="O329" s="115"/>
      <c r="P329" s="116"/>
      <c r="Q329" s="66"/>
      <c r="V329" s="1"/>
    </row>
    <row r="330" spans="1:22" ht="15.75" customHeight="1">
      <c r="A330" s="1"/>
      <c r="B330" s="103"/>
      <c r="C330" s="8"/>
      <c r="E330" s="29"/>
      <c r="F330" s="47"/>
      <c r="J330" s="47"/>
      <c r="K330" s="47"/>
      <c r="L330" s="66"/>
      <c r="M330" s="66"/>
      <c r="N330" s="76"/>
      <c r="O330" s="115"/>
      <c r="P330" s="116"/>
      <c r="Q330" s="66"/>
      <c r="V330" s="1"/>
    </row>
    <row r="331" spans="1:22" ht="15.75" customHeight="1">
      <c r="A331" s="1"/>
      <c r="B331" s="103"/>
      <c r="C331" s="8"/>
      <c r="E331" s="29"/>
      <c r="F331" s="47"/>
      <c r="J331" s="47"/>
      <c r="K331" s="47"/>
      <c r="L331" s="66"/>
      <c r="M331" s="66"/>
      <c r="N331" s="76"/>
      <c r="O331" s="115"/>
      <c r="P331" s="116"/>
      <c r="Q331" s="66"/>
      <c r="V331" s="1"/>
    </row>
    <row r="332" spans="1:22" ht="15.75" customHeight="1">
      <c r="A332" s="1"/>
      <c r="B332" s="103"/>
      <c r="C332" s="8"/>
      <c r="E332" s="29"/>
      <c r="F332" s="47"/>
      <c r="J332" s="47"/>
      <c r="K332" s="47"/>
      <c r="L332" s="66"/>
      <c r="M332" s="66"/>
      <c r="N332" s="76"/>
      <c r="O332" s="115"/>
      <c r="P332" s="116"/>
      <c r="Q332" s="66"/>
      <c r="V332" s="1"/>
    </row>
    <row r="333" spans="1:22" ht="15.75" customHeight="1">
      <c r="A333" s="1"/>
      <c r="B333" s="103"/>
      <c r="C333" s="8"/>
      <c r="E333" s="29"/>
      <c r="F333" s="47"/>
      <c r="J333" s="47"/>
      <c r="K333" s="47"/>
      <c r="L333" s="66"/>
      <c r="M333" s="66"/>
      <c r="N333" s="76"/>
      <c r="O333" s="115"/>
      <c r="P333" s="116"/>
      <c r="Q333" s="66"/>
      <c r="V333" s="1"/>
    </row>
    <row r="334" spans="1:22" ht="15.75" customHeight="1">
      <c r="A334" s="1"/>
      <c r="B334" s="103"/>
      <c r="C334" s="8"/>
      <c r="E334" s="29"/>
      <c r="F334" s="47"/>
      <c r="J334" s="47"/>
      <c r="K334" s="47"/>
      <c r="L334" s="66"/>
      <c r="M334" s="66"/>
      <c r="N334" s="76"/>
      <c r="O334" s="115"/>
      <c r="P334" s="116"/>
      <c r="Q334" s="66"/>
      <c r="V334" s="1"/>
    </row>
    <row r="335" spans="1:22" ht="15.75" customHeight="1">
      <c r="A335" s="1"/>
      <c r="B335" s="103"/>
      <c r="C335" s="8"/>
      <c r="E335" s="29"/>
      <c r="F335" s="47"/>
      <c r="J335" s="47"/>
      <c r="K335" s="47"/>
      <c r="L335" s="66"/>
      <c r="M335" s="66"/>
      <c r="N335" s="76"/>
      <c r="O335" s="115"/>
      <c r="P335" s="116"/>
      <c r="Q335" s="66"/>
      <c r="V335" s="1"/>
    </row>
    <row r="336" spans="1:22" ht="15.75" customHeight="1">
      <c r="A336" s="1"/>
      <c r="B336" s="103"/>
      <c r="C336" s="8"/>
      <c r="E336" s="29"/>
      <c r="F336" s="47"/>
      <c r="J336" s="47"/>
      <c r="K336" s="47"/>
      <c r="L336" s="66"/>
      <c r="M336" s="66"/>
      <c r="N336" s="76"/>
      <c r="O336" s="115"/>
      <c r="P336" s="116"/>
      <c r="Q336" s="66"/>
      <c r="V336" s="1"/>
    </row>
    <row r="337" spans="1:22" ht="15.75" customHeight="1">
      <c r="A337" s="1"/>
      <c r="B337" s="103"/>
      <c r="C337" s="8"/>
      <c r="E337" s="29"/>
      <c r="F337" s="47"/>
      <c r="J337" s="47"/>
      <c r="K337" s="47"/>
      <c r="L337" s="66"/>
      <c r="M337" s="66"/>
      <c r="N337" s="76"/>
      <c r="O337" s="115"/>
      <c r="P337" s="116"/>
      <c r="Q337" s="66"/>
      <c r="V337" s="1"/>
    </row>
    <row r="338" spans="1:22" ht="15.75" customHeight="1">
      <c r="A338" s="1"/>
      <c r="B338" s="103"/>
      <c r="C338" s="8"/>
      <c r="E338" s="29"/>
      <c r="F338" s="47"/>
      <c r="J338" s="47"/>
      <c r="K338" s="47"/>
      <c r="L338" s="66"/>
      <c r="M338" s="66"/>
      <c r="N338" s="76"/>
      <c r="O338" s="115"/>
      <c r="P338" s="116"/>
      <c r="Q338" s="66"/>
      <c r="V338" s="1"/>
    </row>
    <row r="339" spans="1:22" ht="15.75" customHeight="1">
      <c r="A339" s="1"/>
      <c r="B339" s="103"/>
      <c r="C339" s="8"/>
      <c r="E339" s="29"/>
      <c r="F339" s="47"/>
      <c r="J339" s="47"/>
      <c r="K339" s="47"/>
      <c r="L339" s="66"/>
      <c r="M339" s="66"/>
      <c r="N339" s="76"/>
      <c r="O339" s="115"/>
      <c r="P339" s="116"/>
      <c r="Q339" s="66"/>
      <c r="V339" s="1"/>
    </row>
    <row r="340" spans="1:22" ht="15.75" customHeight="1">
      <c r="A340" s="1"/>
      <c r="B340" s="103"/>
      <c r="C340" s="8"/>
      <c r="E340" s="29"/>
      <c r="F340" s="47"/>
      <c r="J340" s="47"/>
      <c r="K340" s="47"/>
      <c r="L340" s="66"/>
      <c r="M340" s="66"/>
      <c r="N340" s="76"/>
      <c r="O340" s="115"/>
      <c r="P340" s="116"/>
      <c r="Q340" s="66"/>
      <c r="V340" s="1"/>
    </row>
    <row r="341" spans="1:22" ht="15.75" customHeight="1">
      <c r="A341" s="1"/>
      <c r="B341" s="103"/>
      <c r="C341" s="8"/>
      <c r="E341" s="29"/>
      <c r="F341" s="47"/>
      <c r="J341" s="47"/>
      <c r="K341" s="47"/>
      <c r="L341" s="66"/>
      <c r="M341" s="66"/>
      <c r="N341" s="76"/>
      <c r="O341" s="115"/>
      <c r="P341" s="116"/>
      <c r="Q341" s="66"/>
      <c r="V341" s="1"/>
    </row>
    <row r="342" spans="1:22" ht="15.75" customHeight="1">
      <c r="A342" s="1"/>
      <c r="B342" s="103"/>
      <c r="C342" s="8"/>
      <c r="E342" s="29"/>
      <c r="F342" s="47"/>
      <c r="J342" s="47"/>
      <c r="K342" s="47"/>
      <c r="L342" s="66"/>
      <c r="M342" s="66"/>
      <c r="N342" s="76"/>
      <c r="O342" s="115"/>
      <c r="P342" s="116"/>
      <c r="Q342" s="66"/>
      <c r="V342" s="1"/>
    </row>
    <row r="343" spans="1:22" ht="15.75" customHeight="1">
      <c r="A343" s="1"/>
      <c r="B343" s="103"/>
      <c r="C343" s="8"/>
      <c r="E343" s="29"/>
      <c r="F343" s="47"/>
      <c r="J343" s="47"/>
      <c r="K343" s="47"/>
      <c r="L343" s="66"/>
      <c r="M343" s="66"/>
      <c r="N343" s="76"/>
      <c r="O343" s="115"/>
      <c r="P343" s="116"/>
      <c r="Q343" s="66"/>
      <c r="V343" s="1"/>
    </row>
    <row r="344" spans="1:22" ht="15.75" customHeight="1">
      <c r="A344" s="1"/>
      <c r="B344" s="103"/>
      <c r="C344" s="8"/>
      <c r="E344" s="29"/>
      <c r="F344" s="47"/>
      <c r="J344" s="47"/>
      <c r="K344" s="47"/>
      <c r="L344" s="66"/>
      <c r="M344" s="66"/>
      <c r="N344" s="76"/>
      <c r="O344" s="115"/>
      <c r="P344" s="116"/>
      <c r="Q344" s="66"/>
      <c r="V344" s="1"/>
    </row>
    <row r="345" spans="1:22" ht="15.75" customHeight="1">
      <c r="A345" s="1"/>
      <c r="B345" s="103"/>
      <c r="C345" s="8"/>
      <c r="E345" s="29"/>
      <c r="F345" s="47"/>
      <c r="J345" s="47"/>
      <c r="K345" s="47"/>
      <c r="L345" s="66"/>
      <c r="M345" s="66"/>
      <c r="N345" s="76"/>
      <c r="O345" s="115"/>
      <c r="P345" s="116"/>
      <c r="Q345" s="66"/>
      <c r="V345" s="1"/>
    </row>
    <row r="346" spans="1:22" ht="15.75" customHeight="1">
      <c r="A346" s="1"/>
      <c r="B346" s="103"/>
      <c r="C346" s="8"/>
      <c r="E346" s="29"/>
      <c r="F346" s="47"/>
      <c r="J346" s="47"/>
      <c r="K346" s="47"/>
      <c r="L346" s="66"/>
      <c r="M346" s="66"/>
      <c r="N346" s="76"/>
      <c r="O346" s="115"/>
      <c r="P346" s="116"/>
      <c r="Q346" s="66"/>
      <c r="V346" s="1"/>
    </row>
    <row r="347" spans="1:22" ht="15.75" customHeight="1">
      <c r="A347" s="1"/>
      <c r="B347" s="103"/>
      <c r="C347" s="8"/>
      <c r="E347" s="29"/>
      <c r="F347" s="47"/>
      <c r="J347" s="47"/>
      <c r="K347" s="47"/>
      <c r="L347" s="66"/>
      <c r="M347" s="66"/>
      <c r="N347" s="76"/>
      <c r="O347" s="115"/>
      <c r="P347" s="116"/>
      <c r="Q347" s="66"/>
      <c r="V347" s="1"/>
    </row>
    <row r="348" spans="1:22" ht="15.75" customHeight="1">
      <c r="A348" s="1"/>
      <c r="B348" s="103"/>
      <c r="C348" s="8"/>
      <c r="E348" s="29"/>
      <c r="F348" s="47"/>
      <c r="J348" s="47"/>
      <c r="K348" s="47"/>
      <c r="L348" s="66"/>
      <c r="M348" s="66"/>
      <c r="N348" s="76"/>
      <c r="O348" s="115"/>
      <c r="P348" s="116"/>
      <c r="Q348" s="66"/>
      <c r="V348" s="1"/>
    </row>
    <row r="349" spans="1:22" ht="15.75" customHeight="1">
      <c r="A349" s="1"/>
      <c r="B349" s="103"/>
      <c r="C349" s="8"/>
      <c r="E349" s="29"/>
      <c r="F349" s="47"/>
      <c r="J349" s="47"/>
      <c r="K349" s="47"/>
      <c r="L349" s="66"/>
      <c r="M349" s="66"/>
      <c r="N349" s="76"/>
      <c r="O349" s="115"/>
      <c r="P349" s="116"/>
      <c r="Q349" s="66"/>
      <c r="V349" s="1"/>
    </row>
    <row r="350" spans="1:22" ht="15.75" customHeight="1">
      <c r="A350" s="1"/>
      <c r="B350" s="103"/>
      <c r="C350" s="8"/>
      <c r="E350" s="29"/>
      <c r="F350" s="47"/>
      <c r="J350" s="47"/>
      <c r="K350" s="47"/>
      <c r="L350" s="66"/>
      <c r="M350" s="66"/>
      <c r="N350" s="76"/>
      <c r="O350" s="115"/>
      <c r="P350" s="116"/>
      <c r="Q350" s="66"/>
      <c r="V350" s="1"/>
    </row>
    <row r="351" spans="1:22" ht="15.75" customHeight="1">
      <c r="A351" s="1"/>
      <c r="B351" s="103"/>
      <c r="C351" s="8"/>
      <c r="E351" s="29"/>
      <c r="F351" s="47"/>
      <c r="J351" s="47"/>
      <c r="K351" s="47"/>
      <c r="L351" s="66"/>
      <c r="M351" s="66"/>
      <c r="N351" s="76"/>
      <c r="O351" s="115"/>
      <c r="P351" s="116"/>
      <c r="Q351" s="66"/>
      <c r="V351" s="1"/>
    </row>
    <row r="352" spans="1:22" ht="15.75" customHeight="1">
      <c r="A352" s="1"/>
      <c r="B352" s="103"/>
      <c r="C352" s="8"/>
      <c r="E352" s="29"/>
      <c r="F352" s="47"/>
      <c r="J352" s="47"/>
      <c r="K352" s="47"/>
      <c r="L352" s="66"/>
      <c r="M352" s="66"/>
      <c r="N352" s="76"/>
      <c r="O352" s="115"/>
      <c r="P352" s="116"/>
      <c r="Q352" s="66"/>
      <c r="V352" s="1"/>
    </row>
    <row r="353" spans="1:22" ht="15.75" customHeight="1">
      <c r="A353" s="1"/>
      <c r="B353" s="103"/>
      <c r="C353" s="8"/>
      <c r="E353" s="29"/>
      <c r="F353" s="47"/>
      <c r="J353" s="47"/>
      <c r="K353" s="47"/>
      <c r="L353" s="66"/>
      <c r="M353" s="66"/>
      <c r="N353" s="76"/>
      <c r="O353" s="115"/>
      <c r="P353" s="116"/>
      <c r="Q353" s="66"/>
      <c r="V353" s="1"/>
    </row>
    <row r="354" spans="1:22" ht="15.75" customHeight="1">
      <c r="A354" s="1"/>
      <c r="B354" s="103"/>
      <c r="C354" s="8"/>
      <c r="E354" s="29"/>
      <c r="F354" s="47"/>
      <c r="J354" s="47"/>
      <c r="K354" s="47"/>
      <c r="L354" s="66"/>
      <c r="M354" s="66"/>
      <c r="N354" s="76"/>
      <c r="O354" s="115"/>
      <c r="P354" s="116"/>
      <c r="Q354" s="66"/>
      <c r="V354" s="1"/>
    </row>
    <row r="355" spans="1:22" ht="15.75" customHeight="1">
      <c r="A355" s="1"/>
      <c r="B355" s="103"/>
      <c r="C355" s="8"/>
      <c r="E355" s="29"/>
      <c r="F355" s="47"/>
      <c r="J355" s="47"/>
      <c r="K355" s="47"/>
      <c r="L355" s="66"/>
      <c r="M355" s="66"/>
      <c r="N355" s="76"/>
      <c r="O355" s="115"/>
      <c r="P355" s="116"/>
      <c r="Q355" s="66"/>
      <c r="V355" s="1"/>
    </row>
    <row r="356" spans="1:22" ht="15.75" customHeight="1">
      <c r="A356" s="1"/>
      <c r="B356" s="103"/>
      <c r="C356" s="8"/>
      <c r="E356" s="29"/>
      <c r="F356" s="47"/>
      <c r="J356" s="47"/>
      <c r="K356" s="47"/>
      <c r="L356" s="66"/>
      <c r="M356" s="66"/>
      <c r="N356" s="76"/>
      <c r="O356" s="115"/>
      <c r="P356" s="116"/>
      <c r="Q356" s="66"/>
      <c r="V356" s="1"/>
    </row>
    <row r="357" spans="1:22" ht="15.75" customHeight="1">
      <c r="A357" s="1"/>
      <c r="B357" s="103"/>
      <c r="C357" s="8"/>
      <c r="E357" s="29"/>
      <c r="F357" s="47"/>
      <c r="J357" s="47"/>
      <c r="K357" s="47"/>
      <c r="L357" s="66"/>
      <c r="M357" s="66"/>
      <c r="N357" s="76"/>
      <c r="O357" s="115"/>
      <c r="P357" s="116"/>
      <c r="Q357" s="66"/>
      <c r="V357" s="1"/>
    </row>
    <row r="358" spans="1:22" ht="15.75" customHeight="1">
      <c r="A358" s="1"/>
      <c r="B358" s="103"/>
      <c r="C358" s="8"/>
      <c r="E358" s="29"/>
      <c r="F358" s="47"/>
      <c r="J358" s="47"/>
      <c r="K358" s="47"/>
      <c r="L358" s="66"/>
      <c r="M358" s="66"/>
      <c r="N358" s="76"/>
      <c r="O358" s="115"/>
      <c r="P358" s="116"/>
      <c r="Q358" s="66"/>
      <c r="V358" s="1"/>
    </row>
    <row r="359" spans="1:22" ht="15.75" customHeight="1">
      <c r="A359" s="1"/>
      <c r="B359" s="103"/>
      <c r="C359" s="8"/>
      <c r="E359" s="29"/>
      <c r="F359" s="47"/>
      <c r="J359" s="47"/>
      <c r="K359" s="47"/>
      <c r="L359" s="66"/>
      <c r="M359" s="66"/>
      <c r="N359" s="76"/>
      <c r="O359" s="115"/>
      <c r="P359" s="116"/>
      <c r="Q359" s="66"/>
      <c r="V359" s="1"/>
    </row>
    <row r="360" spans="1:22" ht="15.75" customHeight="1">
      <c r="A360" s="1"/>
      <c r="B360" s="103"/>
      <c r="C360" s="8"/>
      <c r="E360" s="29"/>
      <c r="F360" s="47"/>
      <c r="J360" s="47"/>
      <c r="K360" s="47"/>
      <c r="L360" s="66"/>
      <c r="M360" s="66"/>
      <c r="N360" s="76"/>
      <c r="O360" s="115"/>
      <c r="P360" s="116"/>
      <c r="Q360" s="66"/>
      <c r="V360" s="1"/>
    </row>
    <row r="361" spans="1:22" ht="15.75" customHeight="1">
      <c r="A361" s="1"/>
      <c r="B361" s="103"/>
      <c r="C361" s="8"/>
      <c r="E361" s="29"/>
      <c r="F361" s="47"/>
      <c r="J361" s="47"/>
      <c r="K361" s="47"/>
      <c r="L361" s="66"/>
      <c r="M361" s="66"/>
      <c r="N361" s="76"/>
      <c r="O361" s="115"/>
      <c r="P361" s="116"/>
      <c r="Q361" s="66"/>
      <c r="V361" s="1"/>
    </row>
    <row r="362" spans="1:22" ht="15.75" customHeight="1">
      <c r="A362" s="1"/>
      <c r="B362" s="103"/>
      <c r="C362" s="8"/>
      <c r="E362" s="29"/>
      <c r="F362" s="47"/>
      <c r="J362" s="47"/>
      <c r="K362" s="47"/>
      <c r="L362" s="66"/>
      <c r="M362" s="66"/>
      <c r="N362" s="76"/>
      <c r="O362" s="115"/>
      <c r="P362" s="116"/>
      <c r="Q362" s="66"/>
      <c r="V362" s="1"/>
    </row>
    <row r="363" spans="1:22" ht="15.75" customHeight="1">
      <c r="A363" s="1"/>
      <c r="B363" s="103"/>
      <c r="C363" s="8"/>
      <c r="E363" s="29"/>
      <c r="F363" s="47"/>
      <c r="J363" s="47"/>
      <c r="K363" s="47"/>
      <c r="L363" s="66"/>
      <c r="M363" s="66"/>
      <c r="N363" s="76"/>
      <c r="O363" s="115"/>
      <c r="P363" s="116"/>
      <c r="Q363" s="66"/>
      <c r="V363" s="1"/>
    </row>
    <row r="364" spans="1:22" ht="15.75" customHeight="1">
      <c r="A364" s="1"/>
      <c r="B364" s="103"/>
      <c r="C364" s="8"/>
      <c r="E364" s="29"/>
      <c r="F364" s="47"/>
      <c r="J364" s="47"/>
      <c r="K364" s="47"/>
      <c r="L364" s="66"/>
      <c r="M364" s="66"/>
      <c r="N364" s="76"/>
      <c r="O364" s="115"/>
      <c r="P364" s="116"/>
      <c r="Q364" s="66"/>
      <c r="V364" s="1"/>
    </row>
    <row r="365" spans="1:22" ht="15.75" customHeight="1">
      <c r="A365" s="1"/>
      <c r="B365" s="103"/>
      <c r="C365" s="8"/>
      <c r="E365" s="29"/>
      <c r="F365" s="47"/>
      <c r="J365" s="47"/>
      <c r="K365" s="47"/>
      <c r="L365" s="66"/>
      <c r="M365" s="66"/>
      <c r="N365" s="76"/>
      <c r="O365" s="115"/>
      <c r="P365" s="116"/>
      <c r="Q365" s="66"/>
      <c r="V365" s="1"/>
    </row>
    <row r="366" spans="1:22" ht="15.75" customHeight="1">
      <c r="A366" s="1"/>
      <c r="B366" s="103"/>
      <c r="C366" s="8"/>
      <c r="E366" s="29"/>
      <c r="F366" s="47"/>
      <c r="J366" s="47"/>
      <c r="K366" s="47"/>
      <c r="L366" s="66"/>
      <c r="M366" s="66"/>
      <c r="N366" s="76"/>
      <c r="O366" s="115"/>
      <c r="P366" s="116"/>
      <c r="Q366" s="66"/>
      <c r="V366" s="1"/>
    </row>
    <row r="367" spans="1:22" ht="15.75" customHeight="1">
      <c r="A367" s="1"/>
      <c r="B367" s="103"/>
      <c r="C367" s="8"/>
      <c r="E367" s="29"/>
      <c r="F367" s="47"/>
      <c r="J367" s="47"/>
      <c r="K367" s="47"/>
      <c r="L367" s="66"/>
      <c r="M367" s="66"/>
      <c r="N367" s="76"/>
      <c r="O367" s="115"/>
      <c r="P367" s="116"/>
      <c r="Q367" s="66"/>
      <c r="V367" s="1"/>
    </row>
    <row r="368" spans="1:22" ht="15.75" customHeight="1">
      <c r="A368" s="1"/>
      <c r="B368" s="103"/>
      <c r="C368" s="8"/>
      <c r="E368" s="29"/>
      <c r="F368" s="47"/>
      <c r="J368" s="47"/>
      <c r="K368" s="47"/>
      <c r="L368" s="66"/>
      <c r="M368" s="66"/>
      <c r="N368" s="76"/>
      <c r="O368" s="115"/>
      <c r="P368" s="116"/>
      <c r="Q368" s="66"/>
      <c r="V368" s="1"/>
    </row>
    <row r="369" spans="1:22" ht="15.75" customHeight="1">
      <c r="A369" s="1"/>
      <c r="B369" s="103"/>
      <c r="C369" s="8"/>
      <c r="E369" s="29"/>
      <c r="F369" s="47"/>
      <c r="J369" s="47"/>
      <c r="K369" s="47"/>
      <c r="L369" s="66"/>
      <c r="M369" s="66"/>
      <c r="N369" s="76"/>
      <c r="O369" s="115"/>
      <c r="P369" s="116"/>
      <c r="Q369" s="66"/>
      <c r="V369" s="1"/>
    </row>
    <row r="370" spans="1:22" ht="15.75" customHeight="1">
      <c r="A370" s="1"/>
      <c r="B370" s="103"/>
      <c r="C370" s="8"/>
      <c r="E370" s="29"/>
      <c r="F370" s="47"/>
      <c r="J370" s="47"/>
      <c r="K370" s="47"/>
      <c r="L370" s="66"/>
      <c r="M370" s="66"/>
      <c r="N370" s="76"/>
      <c r="O370" s="115"/>
      <c r="P370" s="116"/>
      <c r="Q370" s="66"/>
      <c r="V370" s="1"/>
    </row>
    <row r="371" spans="1:22" ht="15.75" customHeight="1">
      <c r="A371" s="1"/>
      <c r="B371" s="103"/>
      <c r="C371" s="8"/>
      <c r="E371" s="29"/>
      <c r="F371" s="47"/>
      <c r="J371" s="47"/>
      <c r="K371" s="47"/>
      <c r="L371" s="66"/>
      <c r="M371" s="66"/>
      <c r="N371" s="76"/>
      <c r="O371" s="115"/>
      <c r="P371" s="116"/>
      <c r="Q371" s="66"/>
      <c r="V371" s="1"/>
    </row>
    <row r="372" spans="1:22" ht="15.75" customHeight="1">
      <c r="A372" s="1"/>
      <c r="B372" s="103"/>
      <c r="C372" s="8"/>
      <c r="E372" s="29"/>
      <c r="F372" s="47"/>
      <c r="J372" s="47"/>
      <c r="K372" s="47"/>
      <c r="L372" s="66"/>
      <c r="M372" s="66"/>
      <c r="N372" s="76"/>
      <c r="O372" s="115"/>
      <c r="P372" s="116"/>
      <c r="Q372" s="66"/>
      <c r="V372" s="1"/>
    </row>
    <row r="373" spans="1:22" ht="15.75" customHeight="1">
      <c r="A373" s="1"/>
      <c r="B373" s="103"/>
      <c r="C373" s="8"/>
      <c r="E373" s="29"/>
      <c r="F373" s="47"/>
      <c r="J373" s="47"/>
      <c r="K373" s="47"/>
      <c r="L373" s="66"/>
      <c r="M373" s="66"/>
      <c r="N373" s="76"/>
      <c r="O373" s="115"/>
      <c r="P373" s="116"/>
      <c r="Q373" s="66"/>
      <c r="V373" s="1"/>
    </row>
    <row r="374" spans="1:22" ht="15.75" customHeight="1">
      <c r="A374" s="1"/>
      <c r="B374" s="103"/>
      <c r="C374" s="8"/>
      <c r="E374" s="29"/>
      <c r="F374" s="47"/>
      <c r="J374" s="47"/>
      <c r="K374" s="47"/>
      <c r="L374" s="66"/>
      <c r="M374" s="66"/>
      <c r="N374" s="76"/>
      <c r="O374" s="115"/>
      <c r="P374" s="116"/>
      <c r="Q374" s="66"/>
      <c r="V374" s="1"/>
    </row>
    <row r="375" spans="1:22" ht="15.75" customHeight="1">
      <c r="A375" s="1"/>
      <c r="B375" s="103"/>
      <c r="C375" s="8"/>
      <c r="E375" s="29"/>
      <c r="F375" s="47"/>
      <c r="J375" s="47"/>
      <c r="K375" s="47"/>
      <c r="L375" s="66"/>
      <c r="M375" s="66"/>
      <c r="N375" s="76"/>
      <c r="O375" s="115"/>
      <c r="P375" s="116"/>
      <c r="Q375" s="66"/>
      <c r="V375" s="1"/>
    </row>
    <row r="376" spans="1:22" ht="15.75" customHeight="1">
      <c r="A376" s="1"/>
      <c r="B376" s="103"/>
      <c r="C376" s="8"/>
      <c r="E376" s="29"/>
      <c r="F376" s="47"/>
      <c r="J376" s="47"/>
      <c r="K376" s="47"/>
      <c r="L376" s="66"/>
      <c r="M376" s="66"/>
      <c r="N376" s="76"/>
      <c r="O376" s="115"/>
      <c r="P376" s="116"/>
      <c r="Q376" s="66"/>
      <c r="V376" s="1"/>
    </row>
    <row r="377" spans="1:22" ht="15.75" customHeight="1">
      <c r="A377" s="1"/>
      <c r="B377" s="103"/>
      <c r="C377" s="8"/>
      <c r="E377" s="29"/>
      <c r="F377" s="47"/>
      <c r="J377" s="47"/>
      <c r="K377" s="47"/>
      <c r="L377" s="66"/>
      <c r="M377" s="66"/>
      <c r="N377" s="76"/>
      <c r="O377" s="115"/>
      <c r="P377" s="116"/>
      <c r="Q377" s="66"/>
      <c r="V377" s="1"/>
    </row>
    <row r="378" spans="1:22" ht="15.75" customHeight="1">
      <c r="A378" s="1"/>
      <c r="B378" s="103"/>
      <c r="C378" s="8"/>
      <c r="E378" s="29"/>
      <c r="F378" s="47"/>
      <c r="J378" s="47"/>
      <c r="K378" s="47"/>
      <c r="L378" s="66"/>
      <c r="M378" s="66"/>
      <c r="N378" s="76"/>
      <c r="O378" s="115"/>
      <c r="P378" s="116"/>
      <c r="Q378" s="66"/>
      <c r="V378" s="1"/>
    </row>
    <row r="379" spans="1:22" ht="15.75" customHeight="1">
      <c r="A379" s="1"/>
      <c r="B379" s="103"/>
      <c r="C379" s="8"/>
      <c r="E379" s="29"/>
      <c r="F379" s="47"/>
      <c r="J379" s="47"/>
      <c r="K379" s="47"/>
      <c r="L379" s="66"/>
      <c r="M379" s="66"/>
      <c r="N379" s="76"/>
      <c r="O379" s="115"/>
      <c r="P379" s="116"/>
      <c r="Q379" s="66"/>
      <c r="V379" s="1"/>
    </row>
    <row r="380" spans="1:22" ht="15.75" customHeight="1">
      <c r="A380" s="1"/>
      <c r="B380" s="103"/>
      <c r="C380" s="8"/>
      <c r="E380" s="29"/>
      <c r="F380" s="47"/>
      <c r="J380" s="47"/>
      <c r="K380" s="47"/>
      <c r="L380" s="66"/>
      <c r="M380" s="66"/>
      <c r="N380" s="76"/>
      <c r="O380" s="115"/>
      <c r="P380" s="116"/>
      <c r="Q380" s="66"/>
      <c r="V380" s="1"/>
    </row>
    <row r="381" spans="1:22" ht="15.75" customHeight="1">
      <c r="A381" s="1"/>
      <c r="B381" s="103"/>
      <c r="C381" s="8"/>
      <c r="E381" s="29"/>
      <c r="F381" s="47"/>
      <c r="J381" s="47"/>
      <c r="K381" s="47"/>
      <c r="L381" s="66"/>
      <c r="M381" s="66"/>
      <c r="N381" s="76"/>
      <c r="O381" s="115"/>
      <c r="P381" s="116"/>
      <c r="Q381" s="66"/>
      <c r="V381" s="1"/>
    </row>
    <row r="382" spans="1:22" ht="15.75" customHeight="1">
      <c r="A382" s="1"/>
      <c r="B382" s="103"/>
      <c r="C382" s="8"/>
      <c r="E382" s="29"/>
      <c r="F382" s="47"/>
      <c r="J382" s="47"/>
      <c r="K382" s="47"/>
      <c r="L382" s="66"/>
      <c r="M382" s="66"/>
      <c r="N382" s="76"/>
      <c r="O382" s="115"/>
      <c r="P382" s="116"/>
      <c r="Q382" s="66"/>
      <c r="V382" s="1"/>
    </row>
    <row r="383" spans="1:22" ht="15.75" customHeight="1">
      <c r="A383" s="1"/>
      <c r="B383" s="103"/>
      <c r="C383" s="8"/>
      <c r="E383" s="29"/>
      <c r="F383" s="47"/>
      <c r="J383" s="47"/>
      <c r="K383" s="47"/>
      <c r="L383" s="66"/>
      <c r="M383" s="66"/>
      <c r="N383" s="76"/>
      <c r="O383" s="115"/>
      <c r="P383" s="116"/>
      <c r="Q383" s="66"/>
      <c r="V383" s="1"/>
    </row>
    <row r="384" spans="1:22" ht="15.75" customHeight="1">
      <c r="A384" s="1"/>
      <c r="B384" s="103"/>
      <c r="C384" s="8"/>
      <c r="E384" s="29"/>
      <c r="F384" s="47"/>
      <c r="J384" s="47"/>
      <c r="K384" s="47"/>
      <c r="L384" s="66"/>
      <c r="M384" s="66"/>
      <c r="N384" s="76"/>
      <c r="O384" s="115"/>
      <c r="P384" s="116"/>
      <c r="Q384" s="66"/>
      <c r="V384" s="1"/>
    </row>
    <row r="385" spans="1:22" ht="15.75" customHeight="1">
      <c r="A385" s="1"/>
      <c r="B385" s="103"/>
      <c r="C385" s="8"/>
      <c r="E385" s="29"/>
      <c r="F385" s="47"/>
      <c r="J385" s="47"/>
      <c r="K385" s="47"/>
      <c r="L385" s="66"/>
      <c r="M385" s="66"/>
      <c r="N385" s="76"/>
      <c r="O385" s="115"/>
      <c r="P385" s="116"/>
      <c r="Q385" s="66"/>
      <c r="V385" s="1"/>
    </row>
    <row r="386" spans="1:22" ht="15.75" customHeight="1">
      <c r="A386" s="1"/>
      <c r="B386" s="103"/>
      <c r="C386" s="8"/>
      <c r="E386" s="29"/>
      <c r="F386" s="47"/>
      <c r="J386" s="47"/>
      <c r="K386" s="47"/>
      <c r="L386" s="66"/>
      <c r="M386" s="66"/>
      <c r="N386" s="76"/>
      <c r="O386" s="115"/>
      <c r="P386" s="116"/>
      <c r="Q386" s="66"/>
      <c r="V386" s="1"/>
    </row>
    <row r="387" spans="1:22" ht="15.75" customHeight="1">
      <c r="A387" s="1"/>
      <c r="B387" s="103"/>
      <c r="C387" s="8"/>
      <c r="E387" s="29"/>
      <c r="F387" s="47"/>
      <c r="J387" s="47"/>
      <c r="K387" s="47"/>
      <c r="L387" s="66"/>
      <c r="M387" s="66"/>
      <c r="N387" s="76"/>
      <c r="O387" s="115"/>
      <c r="P387" s="116"/>
      <c r="Q387" s="66"/>
      <c r="V387" s="1"/>
    </row>
    <row r="388" spans="1:22" ht="15.75" customHeight="1">
      <c r="A388" s="1"/>
      <c r="B388" s="103"/>
      <c r="C388" s="8"/>
      <c r="E388" s="29"/>
      <c r="F388" s="47"/>
      <c r="J388" s="47"/>
      <c r="K388" s="47"/>
      <c r="L388" s="66"/>
      <c r="M388" s="66"/>
      <c r="N388" s="76"/>
      <c r="O388" s="115"/>
      <c r="P388" s="116"/>
      <c r="Q388" s="66"/>
      <c r="V388" s="1"/>
    </row>
    <row r="389" spans="1:22" ht="15.75" customHeight="1">
      <c r="A389" s="1"/>
      <c r="B389" s="103"/>
      <c r="C389" s="8"/>
      <c r="E389" s="29"/>
      <c r="F389" s="47"/>
      <c r="J389" s="47"/>
      <c r="K389" s="47"/>
      <c r="L389" s="66"/>
      <c r="M389" s="66"/>
      <c r="N389" s="76"/>
      <c r="O389" s="115"/>
      <c r="P389" s="116"/>
      <c r="Q389" s="66"/>
      <c r="V389" s="1"/>
    </row>
    <row r="390" spans="1:22" ht="15.75" customHeight="1">
      <c r="A390" s="1"/>
      <c r="B390" s="103"/>
      <c r="C390" s="8"/>
      <c r="E390" s="29"/>
      <c r="F390" s="47"/>
      <c r="J390" s="47"/>
      <c r="K390" s="47"/>
      <c r="L390" s="66"/>
      <c r="M390" s="66"/>
      <c r="N390" s="76"/>
      <c r="O390" s="115"/>
      <c r="P390" s="116"/>
      <c r="Q390" s="66"/>
      <c r="V390" s="1"/>
    </row>
    <row r="391" spans="1:22" ht="15.75" customHeight="1">
      <c r="A391" s="1"/>
      <c r="B391" s="103"/>
      <c r="C391" s="8"/>
      <c r="E391" s="29"/>
      <c r="F391" s="47"/>
      <c r="J391" s="47"/>
      <c r="K391" s="47"/>
      <c r="L391" s="66"/>
      <c r="M391" s="66"/>
      <c r="N391" s="76"/>
      <c r="O391" s="115"/>
      <c r="P391" s="116"/>
      <c r="Q391" s="66"/>
      <c r="V391" s="1"/>
    </row>
    <row r="392" spans="1:22" ht="15.75" customHeight="1">
      <c r="A392" s="1"/>
      <c r="B392" s="103"/>
      <c r="C392" s="8"/>
      <c r="E392" s="29"/>
      <c r="F392" s="47"/>
      <c r="J392" s="47"/>
      <c r="K392" s="47"/>
      <c r="L392" s="66"/>
      <c r="M392" s="66"/>
      <c r="N392" s="76"/>
      <c r="O392" s="115"/>
      <c r="P392" s="116"/>
      <c r="Q392" s="66"/>
      <c r="V392" s="1"/>
    </row>
    <row r="393" spans="1:22" ht="15.75" customHeight="1">
      <c r="A393" s="1"/>
      <c r="B393" s="103"/>
      <c r="C393" s="8"/>
      <c r="E393" s="29"/>
      <c r="F393" s="47"/>
      <c r="J393" s="47"/>
      <c r="K393" s="47"/>
      <c r="L393" s="66"/>
      <c r="M393" s="66"/>
      <c r="N393" s="76"/>
      <c r="O393" s="115"/>
      <c r="P393" s="116"/>
      <c r="Q393" s="66"/>
      <c r="V393" s="1"/>
    </row>
    <row r="394" spans="1:22" ht="15.75" customHeight="1">
      <c r="A394" s="1"/>
      <c r="B394" s="103"/>
      <c r="C394" s="8"/>
      <c r="E394" s="29"/>
      <c r="F394" s="47"/>
      <c r="J394" s="47"/>
      <c r="K394" s="47"/>
      <c r="L394" s="66"/>
      <c r="M394" s="66"/>
      <c r="N394" s="76"/>
      <c r="O394" s="115"/>
      <c r="P394" s="116"/>
      <c r="Q394" s="66"/>
      <c r="V394" s="1"/>
    </row>
    <row r="395" spans="1:22" ht="15.75" customHeight="1">
      <c r="A395" s="1"/>
      <c r="B395" s="103"/>
      <c r="C395" s="8"/>
      <c r="E395" s="29"/>
      <c r="F395" s="47"/>
      <c r="J395" s="47"/>
      <c r="K395" s="47"/>
      <c r="L395" s="66"/>
      <c r="M395" s="66"/>
      <c r="N395" s="76"/>
      <c r="O395" s="115"/>
      <c r="P395" s="116"/>
      <c r="Q395" s="66"/>
      <c r="V395" s="1"/>
    </row>
    <row r="396" spans="1:22" ht="15.75" customHeight="1">
      <c r="A396" s="1"/>
      <c r="B396" s="103"/>
      <c r="C396" s="8"/>
      <c r="E396" s="29"/>
      <c r="F396" s="47"/>
      <c r="J396" s="47"/>
      <c r="K396" s="47"/>
      <c r="L396" s="66"/>
      <c r="M396" s="66"/>
      <c r="N396" s="76"/>
      <c r="O396" s="115"/>
      <c r="P396" s="116"/>
      <c r="Q396" s="66"/>
      <c r="V396" s="1"/>
    </row>
    <row r="397" spans="1:22" ht="15.75" customHeight="1">
      <c r="A397" s="1"/>
      <c r="B397" s="103"/>
      <c r="C397" s="8"/>
      <c r="E397" s="29"/>
      <c r="F397" s="47"/>
      <c r="J397" s="47"/>
      <c r="K397" s="47"/>
      <c r="L397" s="66"/>
      <c r="M397" s="66"/>
      <c r="N397" s="76"/>
      <c r="O397" s="115"/>
      <c r="P397" s="116"/>
      <c r="Q397" s="66"/>
      <c r="V397" s="1"/>
    </row>
    <row r="398" spans="1:22" ht="15.75" customHeight="1">
      <c r="A398" s="1"/>
      <c r="B398" s="103"/>
      <c r="C398" s="8"/>
      <c r="E398" s="29"/>
      <c r="F398" s="47"/>
      <c r="J398" s="47"/>
      <c r="K398" s="47"/>
      <c r="L398" s="66"/>
      <c r="M398" s="66"/>
      <c r="N398" s="76"/>
      <c r="O398" s="115"/>
      <c r="P398" s="116"/>
      <c r="Q398" s="66"/>
      <c r="V398" s="1"/>
    </row>
    <row r="399" spans="1:22" ht="15.75" customHeight="1">
      <c r="A399" s="1"/>
      <c r="B399" s="103"/>
      <c r="C399" s="8"/>
      <c r="E399" s="29"/>
      <c r="F399" s="47"/>
      <c r="J399" s="47"/>
      <c r="K399" s="47"/>
      <c r="L399" s="66"/>
      <c r="M399" s="66"/>
      <c r="N399" s="76"/>
      <c r="O399" s="115"/>
      <c r="P399" s="116"/>
      <c r="Q399" s="66"/>
      <c r="V399" s="1"/>
    </row>
    <row r="400" spans="1:22" ht="15.75" customHeight="1">
      <c r="A400" s="1"/>
      <c r="B400" s="103"/>
      <c r="C400" s="8"/>
      <c r="E400" s="29"/>
      <c r="F400" s="47"/>
      <c r="J400" s="47"/>
      <c r="K400" s="47"/>
      <c r="L400" s="66"/>
      <c r="M400" s="66"/>
      <c r="N400" s="76"/>
      <c r="O400" s="115"/>
      <c r="P400" s="116"/>
      <c r="Q400" s="66"/>
      <c r="V400" s="1"/>
    </row>
    <row r="401" spans="1:22" ht="15.75" customHeight="1">
      <c r="A401" s="1"/>
      <c r="B401" s="103"/>
      <c r="C401" s="8"/>
      <c r="E401" s="29"/>
      <c r="F401" s="47"/>
      <c r="J401" s="47"/>
      <c r="K401" s="47"/>
      <c r="L401" s="66"/>
      <c r="M401" s="66"/>
      <c r="N401" s="76"/>
      <c r="O401" s="115"/>
      <c r="P401" s="116"/>
      <c r="Q401" s="66"/>
      <c r="V401" s="1"/>
    </row>
    <row r="402" spans="1:22" ht="15.75" customHeight="1">
      <c r="A402" s="1"/>
      <c r="B402" s="103"/>
      <c r="C402" s="8"/>
      <c r="E402" s="29"/>
      <c r="F402" s="47"/>
      <c r="J402" s="47"/>
      <c r="K402" s="47"/>
      <c r="L402" s="66"/>
      <c r="M402" s="66"/>
      <c r="N402" s="76"/>
      <c r="O402" s="115"/>
      <c r="P402" s="116"/>
      <c r="Q402" s="66"/>
      <c r="V402" s="1"/>
    </row>
    <row r="403" spans="1:22" ht="15.75" customHeight="1">
      <c r="A403" s="1"/>
      <c r="B403" s="103"/>
      <c r="C403" s="8"/>
      <c r="E403" s="29"/>
      <c r="F403" s="47"/>
      <c r="J403" s="47"/>
      <c r="K403" s="47"/>
      <c r="L403" s="66"/>
      <c r="M403" s="66"/>
      <c r="N403" s="76"/>
      <c r="O403" s="115"/>
      <c r="P403" s="116"/>
      <c r="Q403" s="66"/>
      <c r="V403" s="1"/>
    </row>
    <row r="404" spans="1:22" ht="15.75" customHeight="1">
      <c r="A404" s="1"/>
      <c r="B404" s="103"/>
      <c r="C404" s="8"/>
      <c r="E404" s="29"/>
      <c r="F404" s="47"/>
      <c r="J404" s="47"/>
      <c r="K404" s="47"/>
      <c r="L404" s="66"/>
      <c r="M404" s="66"/>
      <c r="N404" s="76"/>
      <c r="O404" s="115"/>
      <c r="P404" s="116"/>
      <c r="Q404" s="66"/>
      <c r="V404" s="1"/>
    </row>
    <row r="405" spans="1:22" ht="15.75" customHeight="1">
      <c r="A405" s="1"/>
      <c r="B405" s="103"/>
      <c r="C405" s="8"/>
      <c r="E405" s="29"/>
      <c r="F405" s="47"/>
      <c r="J405" s="47"/>
      <c r="K405" s="47"/>
      <c r="L405" s="66"/>
      <c r="M405" s="66"/>
      <c r="N405" s="76"/>
      <c r="O405" s="115"/>
      <c r="P405" s="116"/>
      <c r="Q405" s="66"/>
      <c r="V405" s="1"/>
    </row>
    <row r="406" spans="1:22" ht="15.75" customHeight="1">
      <c r="A406" s="1"/>
      <c r="B406" s="103"/>
      <c r="C406" s="8"/>
      <c r="E406" s="29"/>
      <c r="F406" s="47"/>
      <c r="J406" s="47"/>
      <c r="K406" s="47"/>
      <c r="L406" s="66"/>
      <c r="M406" s="66"/>
      <c r="N406" s="76"/>
      <c r="O406" s="115"/>
      <c r="P406" s="116"/>
      <c r="Q406" s="66"/>
      <c r="V406" s="1"/>
    </row>
    <row r="407" spans="1:22" ht="15.75" customHeight="1">
      <c r="A407" s="1"/>
      <c r="B407" s="103"/>
      <c r="C407" s="8"/>
      <c r="E407" s="29"/>
      <c r="F407" s="47"/>
      <c r="J407" s="47"/>
      <c r="K407" s="47"/>
      <c r="L407" s="66"/>
      <c r="M407" s="66"/>
      <c r="N407" s="76"/>
      <c r="O407" s="115"/>
      <c r="P407" s="116"/>
      <c r="Q407" s="66"/>
      <c r="V407" s="1"/>
    </row>
    <row r="408" spans="1:22" ht="15.75" customHeight="1">
      <c r="A408" s="1"/>
      <c r="B408" s="103"/>
      <c r="C408" s="8"/>
      <c r="E408" s="29"/>
      <c r="F408" s="47"/>
      <c r="J408" s="47"/>
      <c r="K408" s="47"/>
      <c r="L408" s="66"/>
      <c r="M408" s="66"/>
      <c r="N408" s="76"/>
      <c r="O408" s="115"/>
      <c r="P408" s="116"/>
      <c r="Q408" s="66"/>
      <c r="V408" s="1"/>
    </row>
    <row r="409" spans="1:22" ht="15.75" customHeight="1">
      <c r="A409" s="1"/>
      <c r="B409" s="103"/>
      <c r="C409" s="8"/>
      <c r="E409" s="29"/>
      <c r="F409" s="47"/>
      <c r="J409" s="47"/>
      <c r="K409" s="47"/>
      <c r="L409" s="66"/>
      <c r="M409" s="66"/>
      <c r="N409" s="76"/>
      <c r="O409" s="115"/>
      <c r="P409" s="116"/>
      <c r="Q409" s="66"/>
      <c r="V409" s="1"/>
    </row>
    <row r="410" spans="1:22" ht="15.75" customHeight="1">
      <c r="A410" s="1"/>
      <c r="B410" s="103"/>
      <c r="C410" s="8"/>
      <c r="E410" s="29"/>
      <c r="F410" s="47"/>
      <c r="J410" s="47"/>
      <c r="K410" s="47"/>
      <c r="L410" s="66"/>
      <c r="M410" s="66"/>
      <c r="N410" s="76"/>
      <c r="O410" s="115"/>
      <c r="P410" s="116"/>
      <c r="Q410" s="66"/>
      <c r="V410" s="1"/>
    </row>
    <row r="411" spans="1:22" ht="15.75" customHeight="1">
      <c r="A411" s="1"/>
      <c r="B411" s="103"/>
      <c r="C411" s="8"/>
      <c r="E411" s="29"/>
      <c r="F411" s="47"/>
      <c r="J411" s="47"/>
      <c r="K411" s="47"/>
      <c r="L411" s="66"/>
      <c r="M411" s="66"/>
      <c r="N411" s="76"/>
      <c r="O411" s="115"/>
      <c r="P411" s="116"/>
      <c r="Q411" s="66"/>
      <c r="V411" s="1"/>
    </row>
    <row r="412" spans="1:22" ht="15.75" customHeight="1">
      <c r="A412" s="1"/>
      <c r="B412" s="103"/>
      <c r="C412" s="8"/>
      <c r="E412" s="29"/>
      <c r="F412" s="47"/>
      <c r="J412" s="47"/>
      <c r="K412" s="47"/>
      <c r="L412" s="66"/>
      <c r="M412" s="66"/>
      <c r="N412" s="76"/>
      <c r="O412" s="115"/>
      <c r="P412" s="116"/>
      <c r="Q412" s="66"/>
      <c r="V412" s="1"/>
    </row>
    <row r="413" spans="1:22" ht="15.75" customHeight="1">
      <c r="A413" s="1"/>
      <c r="B413" s="103"/>
      <c r="C413" s="8"/>
      <c r="E413" s="29"/>
      <c r="F413" s="47"/>
      <c r="J413" s="47"/>
      <c r="K413" s="47"/>
      <c r="L413" s="66"/>
      <c r="M413" s="66"/>
      <c r="N413" s="76"/>
      <c r="O413" s="115"/>
      <c r="P413" s="116"/>
      <c r="Q413" s="66"/>
      <c r="V413" s="1"/>
    </row>
    <row r="414" spans="1:22" ht="15.75" customHeight="1">
      <c r="A414" s="1"/>
      <c r="B414" s="103"/>
      <c r="C414" s="8"/>
      <c r="E414" s="29"/>
      <c r="F414" s="47"/>
      <c r="J414" s="47"/>
      <c r="K414" s="47"/>
      <c r="L414" s="66"/>
      <c r="M414" s="66"/>
      <c r="N414" s="76"/>
      <c r="O414" s="115"/>
      <c r="P414" s="116"/>
      <c r="Q414" s="66"/>
      <c r="V414" s="1"/>
    </row>
    <row r="415" spans="1:22" ht="15.75" customHeight="1">
      <c r="A415" s="1"/>
      <c r="B415" s="103"/>
      <c r="C415" s="8"/>
      <c r="E415" s="29"/>
      <c r="F415" s="47"/>
      <c r="J415" s="47"/>
      <c r="K415" s="47"/>
      <c r="L415" s="66"/>
      <c r="M415" s="66"/>
      <c r="N415" s="76"/>
      <c r="O415" s="115"/>
      <c r="P415" s="116"/>
      <c r="Q415" s="66"/>
      <c r="V415" s="1"/>
    </row>
    <row r="416" spans="1:22" ht="15.75" customHeight="1">
      <c r="A416" s="1"/>
      <c r="B416" s="103"/>
      <c r="C416" s="8"/>
      <c r="E416" s="29"/>
      <c r="F416" s="47"/>
      <c r="J416" s="47"/>
      <c r="K416" s="47"/>
      <c r="L416" s="66"/>
      <c r="M416" s="66"/>
      <c r="N416" s="76"/>
      <c r="O416" s="115"/>
      <c r="P416" s="116"/>
      <c r="Q416" s="66"/>
      <c r="V416" s="1"/>
    </row>
    <row r="417" spans="1:22" ht="15.75" customHeight="1">
      <c r="A417" s="1"/>
      <c r="B417" s="103"/>
      <c r="C417" s="8"/>
      <c r="E417" s="29"/>
      <c r="F417" s="47"/>
      <c r="J417" s="47"/>
      <c r="K417" s="47"/>
      <c r="L417" s="66"/>
      <c r="M417" s="66"/>
      <c r="N417" s="76"/>
      <c r="O417" s="115"/>
      <c r="P417" s="116"/>
      <c r="Q417" s="66"/>
      <c r="V417" s="1"/>
    </row>
    <row r="418" spans="1:22" ht="15.75" customHeight="1">
      <c r="A418" s="1"/>
      <c r="B418" s="103"/>
      <c r="C418" s="8"/>
      <c r="E418" s="29"/>
      <c r="F418" s="47"/>
      <c r="J418" s="47"/>
      <c r="K418" s="47"/>
      <c r="L418" s="66"/>
      <c r="M418" s="66"/>
      <c r="N418" s="76"/>
      <c r="O418" s="115"/>
      <c r="P418" s="116"/>
      <c r="Q418" s="66"/>
      <c r="V418" s="1"/>
    </row>
    <row r="419" spans="1:22" ht="15.75" customHeight="1">
      <c r="A419" s="1"/>
      <c r="B419" s="103"/>
      <c r="C419" s="8"/>
      <c r="E419" s="29"/>
      <c r="F419" s="47"/>
      <c r="J419" s="47"/>
      <c r="K419" s="47"/>
      <c r="L419" s="66"/>
      <c r="M419" s="66"/>
      <c r="N419" s="76"/>
      <c r="O419" s="115"/>
      <c r="P419" s="116"/>
      <c r="Q419" s="66"/>
      <c r="V419" s="1"/>
    </row>
    <row r="420" spans="1:22" ht="15.75" customHeight="1">
      <c r="A420" s="1"/>
      <c r="B420" s="103"/>
      <c r="C420" s="8"/>
      <c r="E420" s="29"/>
      <c r="F420" s="47"/>
      <c r="J420" s="47"/>
      <c r="K420" s="47"/>
      <c r="L420" s="66"/>
      <c r="M420" s="66"/>
      <c r="N420" s="76"/>
      <c r="O420" s="115"/>
      <c r="P420" s="116"/>
      <c r="Q420" s="66"/>
      <c r="V420" s="1"/>
    </row>
    <row r="421" spans="1:22" ht="15.75" customHeight="1">
      <c r="A421" s="1"/>
      <c r="B421" s="103"/>
      <c r="C421" s="8"/>
      <c r="E421" s="29"/>
      <c r="F421" s="47"/>
      <c r="J421" s="47"/>
      <c r="K421" s="47"/>
      <c r="L421" s="66"/>
      <c r="M421" s="66"/>
      <c r="N421" s="76"/>
      <c r="O421" s="115"/>
      <c r="P421" s="116"/>
      <c r="Q421" s="66"/>
      <c r="V421" s="1"/>
    </row>
    <row r="422" spans="1:22" ht="15.75" customHeight="1">
      <c r="A422" s="1"/>
      <c r="B422" s="103"/>
      <c r="C422" s="8"/>
      <c r="E422" s="29"/>
      <c r="F422" s="47"/>
      <c r="J422" s="47"/>
      <c r="K422" s="47"/>
      <c r="L422" s="66"/>
      <c r="M422" s="66"/>
      <c r="N422" s="76"/>
      <c r="O422" s="115"/>
      <c r="P422" s="116"/>
      <c r="Q422" s="66"/>
      <c r="V422" s="1"/>
    </row>
    <row r="423" spans="1:22" ht="15.75" customHeight="1">
      <c r="A423" s="1"/>
      <c r="B423" s="103"/>
      <c r="C423" s="8"/>
      <c r="E423" s="29"/>
      <c r="F423" s="47"/>
      <c r="J423" s="47"/>
      <c r="K423" s="47"/>
      <c r="L423" s="66"/>
      <c r="M423" s="66"/>
      <c r="N423" s="76"/>
      <c r="O423" s="115"/>
      <c r="P423" s="116"/>
      <c r="Q423" s="66"/>
      <c r="V423" s="1"/>
    </row>
    <row r="424" spans="1:22" ht="15.75" customHeight="1">
      <c r="A424" s="1"/>
      <c r="B424" s="103"/>
      <c r="C424" s="8"/>
      <c r="E424" s="29"/>
      <c r="F424" s="47"/>
      <c r="J424" s="47"/>
      <c r="K424" s="47"/>
      <c r="L424" s="66"/>
      <c r="M424" s="66"/>
      <c r="N424" s="76"/>
      <c r="O424" s="115"/>
      <c r="P424" s="116"/>
      <c r="Q424" s="66"/>
      <c r="V424" s="1"/>
    </row>
    <row r="425" spans="1:22" ht="15.75" customHeight="1">
      <c r="A425" s="1"/>
      <c r="B425" s="103"/>
      <c r="C425" s="8"/>
      <c r="E425" s="29"/>
      <c r="F425" s="47"/>
      <c r="J425" s="47"/>
      <c r="K425" s="47"/>
      <c r="L425" s="66"/>
      <c r="M425" s="66"/>
      <c r="N425" s="76"/>
      <c r="O425" s="115"/>
      <c r="P425" s="116"/>
      <c r="Q425" s="66"/>
      <c r="V425" s="1"/>
    </row>
    <row r="426" spans="1:22" ht="15.75" customHeight="1">
      <c r="A426" s="1"/>
      <c r="B426" s="103"/>
      <c r="C426" s="8"/>
      <c r="E426" s="29"/>
      <c r="F426" s="47"/>
      <c r="J426" s="47"/>
      <c r="K426" s="47"/>
      <c r="L426" s="66"/>
      <c r="M426" s="66"/>
      <c r="N426" s="76"/>
      <c r="O426" s="115"/>
      <c r="P426" s="116"/>
      <c r="Q426" s="66"/>
      <c r="V426" s="1"/>
    </row>
    <row r="427" spans="1:22" ht="15.75" customHeight="1">
      <c r="A427" s="1"/>
      <c r="B427" s="103"/>
      <c r="C427" s="8"/>
      <c r="E427" s="29"/>
      <c r="F427" s="47"/>
      <c r="J427" s="47"/>
      <c r="K427" s="47"/>
      <c r="L427" s="66"/>
      <c r="M427" s="66"/>
      <c r="N427" s="76"/>
      <c r="O427" s="115"/>
      <c r="P427" s="116"/>
      <c r="Q427" s="66"/>
      <c r="V427" s="1"/>
    </row>
    <row r="428" spans="1:22" ht="15.75" customHeight="1">
      <c r="A428" s="1"/>
      <c r="B428" s="103"/>
      <c r="C428" s="8"/>
      <c r="E428" s="29"/>
      <c r="F428" s="47"/>
      <c r="J428" s="47"/>
      <c r="K428" s="47"/>
      <c r="L428" s="66"/>
      <c r="M428" s="66"/>
      <c r="N428" s="76"/>
      <c r="O428" s="115"/>
      <c r="P428" s="116"/>
      <c r="Q428" s="66"/>
      <c r="V428" s="1"/>
    </row>
    <row r="429" spans="1:22" ht="15.75" customHeight="1">
      <c r="A429" s="1"/>
      <c r="B429" s="103"/>
      <c r="C429" s="8"/>
      <c r="E429" s="29"/>
      <c r="F429" s="47"/>
      <c r="J429" s="47"/>
      <c r="K429" s="47"/>
      <c r="L429" s="66"/>
      <c r="M429" s="66"/>
      <c r="N429" s="76"/>
      <c r="O429" s="115"/>
      <c r="P429" s="116"/>
      <c r="Q429" s="66"/>
      <c r="V429" s="1"/>
    </row>
    <row r="430" spans="1:22" ht="15.75" customHeight="1">
      <c r="A430" s="1"/>
      <c r="B430" s="103"/>
      <c r="C430" s="8"/>
      <c r="E430" s="29"/>
      <c r="F430" s="47"/>
      <c r="J430" s="47"/>
      <c r="K430" s="47"/>
      <c r="L430" s="66"/>
      <c r="M430" s="66"/>
      <c r="N430" s="76"/>
      <c r="O430" s="115"/>
      <c r="P430" s="116"/>
      <c r="Q430" s="66"/>
      <c r="V430" s="1"/>
    </row>
    <row r="431" spans="1:22" ht="15.75" customHeight="1">
      <c r="A431" s="1"/>
      <c r="B431" s="103"/>
      <c r="C431" s="8"/>
      <c r="E431" s="29"/>
      <c r="F431" s="47"/>
      <c r="J431" s="47"/>
      <c r="K431" s="47"/>
      <c r="L431" s="66"/>
      <c r="M431" s="66"/>
      <c r="N431" s="76"/>
      <c r="O431" s="115"/>
      <c r="P431" s="116"/>
      <c r="Q431" s="66"/>
      <c r="V431" s="1"/>
    </row>
    <row r="432" spans="1:22" ht="15.75" customHeight="1">
      <c r="A432" s="1"/>
      <c r="B432" s="103"/>
      <c r="C432" s="8"/>
      <c r="E432" s="29"/>
      <c r="F432" s="47"/>
      <c r="J432" s="47"/>
      <c r="K432" s="47"/>
      <c r="L432" s="66"/>
      <c r="M432" s="66"/>
      <c r="N432" s="76"/>
      <c r="O432" s="115"/>
      <c r="P432" s="116"/>
      <c r="Q432" s="66"/>
      <c r="V432" s="1"/>
    </row>
    <row r="433" spans="1:22" ht="15.75" customHeight="1">
      <c r="A433" s="1"/>
      <c r="B433" s="103"/>
      <c r="C433" s="8"/>
      <c r="E433" s="29"/>
      <c r="F433" s="47"/>
      <c r="J433" s="47"/>
      <c r="K433" s="47"/>
      <c r="L433" s="66"/>
      <c r="M433" s="66"/>
      <c r="N433" s="76"/>
      <c r="O433" s="115"/>
      <c r="P433" s="116"/>
      <c r="Q433" s="66"/>
      <c r="V433" s="1"/>
    </row>
    <row r="434" spans="1:22" ht="15.75" customHeight="1">
      <c r="A434" s="1"/>
      <c r="B434" s="103"/>
      <c r="C434" s="8"/>
      <c r="E434" s="29"/>
      <c r="F434" s="47"/>
      <c r="J434" s="47"/>
      <c r="K434" s="47"/>
      <c r="L434" s="66"/>
      <c r="M434" s="66"/>
      <c r="N434" s="76"/>
      <c r="O434" s="115"/>
      <c r="P434" s="116"/>
      <c r="Q434" s="66"/>
      <c r="V434" s="1"/>
    </row>
    <row r="435" spans="1:22" ht="15.75" customHeight="1">
      <c r="A435" s="1"/>
      <c r="B435" s="103"/>
      <c r="C435" s="8"/>
      <c r="E435" s="29"/>
      <c r="F435" s="47"/>
      <c r="J435" s="47"/>
      <c r="K435" s="47"/>
      <c r="L435" s="66"/>
      <c r="M435" s="66"/>
      <c r="N435" s="76"/>
      <c r="O435" s="115"/>
      <c r="P435" s="116"/>
      <c r="Q435" s="66"/>
      <c r="V435" s="1"/>
    </row>
    <row r="436" spans="1:22" ht="15.75" customHeight="1">
      <c r="A436" s="1"/>
      <c r="B436" s="103"/>
      <c r="C436" s="8"/>
      <c r="E436" s="29"/>
      <c r="F436" s="47"/>
      <c r="J436" s="47"/>
      <c r="K436" s="47"/>
      <c r="L436" s="66"/>
      <c r="M436" s="66"/>
      <c r="N436" s="76"/>
      <c r="O436" s="115"/>
      <c r="P436" s="116"/>
      <c r="Q436" s="66"/>
      <c r="V436" s="1"/>
    </row>
    <row r="437" spans="1:22" ht="15.75" customHeight="1">
      <c r="A437" s="1"/>
      <c r="B437" s="103"/>
      <c r="C437" s="8"/>
      <c r="E437" s="29"/>
      <c r="F437" s="47"/>
      <c r="J437" s="47"/>
      <c r="K437" s="47"/>
      <c r="L437" s="66"/>
      <c r="M437" s="66"/>
      <c r="N437" s="76"/>
      <c r="O437" s="115"/>
      <c r="P437" s="116"/>
      <c r="Q437" s="66"/>
      <c r="V437" s="1"/>
    </row>
    <row r="438" spans="1:22" ht="15.75" customHeight="1">
      <c r="A438" s="1"/>
      <c r="B438" s="103"/>
      <c r="C438" s="8"/>
      <c r="E438" s="29"/>
      <c r="F438" s="47"/>
      <c r="J438" s="47"/>
      <c r="K438" s="47"/>
      <c r="L438" s="66"/>
      <c r="M438" s="66"/>
      <c r="N438" s="76"/>
      <c r="O438" s="115"/>
      <c r="P438" s="116"/>
      <c r="Q438" s="66"/>
      <c r="V438" s="1"/>
    </row>
    <row r="439" spans="1:22" ht="15.75" customHeight="1">
      <c r="A439" s="1"/>
      <c r="B439" s="103"/>
      <c r="C439" s="8"/>
      <c r="E439" s="29"/>
      <c r="F439" s="47"/>
      <c r="J439" s="47"/>
      <c r="K439" s="47"/>
      <c r="L439" s="66"/>
      <c r="M439" s="66"/>
      <c r="N439" s="76"/>
      <c r="O439" s="115"/>
      <c r="P439" s="116"/>
      <c r="Q439" s="66"/>
      <c r="V439" s="1"/>
    </row>
    <row r="440" spans="1:22" ht="15.75" customHeight="1">
      <c r="A440" s="1"/>
      <c r="B440" s="103"/>
      <c r="C440" s="8"/>
      <c r="E440" s="29"/>
      <c r="F440" s="47"/>
      <c r="J440" s="47"/>
      <c r="K440" s="47"/>
      <c r="L440" s="66"/>
      <c r="M440" s="66"/>
      <c r="N440" s="76"/>
      <c r="O440" s="115"/>
      <c r="P440" s="116"/>
      <c r="Q440" s="66"/>
      <c r="V440" s="1"/>
    </row>
    <row r="441" spans="1:22" ht="15.75" customHeight="1">
      <c r="A441" s="1"/>
      <c r="B441" s="103"/>
      <c r="C441" s="8"/>
      <c r="E441" s="29"/>
      <c r="F441" s="47"/>
      <c r="J441" s="47"/>
      <c r="K441" s="47"/>
      <c r="L441" s="66"/>
      <c r="M441" s="66"/>
      <c r="N441" s="76"/>
      <c r="O441" s="115"/>
      <c r="P441" s="116"/>
      <c r="Q441" s="66"/>
      <c r="V441" s="1"/>
    </row>
    <row r="442" spans="1:22" ht="15.75" customHeight="1">
      <c r="A442" s="1"/>
      <c r="B442" s="103"/>
      <c r="C442" s="8"/>
      <c r="E442" s="29"/>
      <c r="F442" s="47"/>
      <c r="J442" s="47"/>
      <c r="K442" s="47"/>
      <c r="L442" s="66"/>
      <c r="M442" s="66"/>
      <c r="N442" s="76"/>
      <c r="O442" s="115"/>
      <c r="P442" s="116"/>
      <c r="Q442" s="66"/>
      <c r="V442" s="1"/>
    </row>
    <row r="443" spans="1:22" ht="15.75" customHeight="1">
      <c r="A443" s="1"/>
      <c r="B443" s="103"/>
      <c r="C443" s="8"/>
      <c r="E443" s="29"/>
      <c r="F443" s="47"/>
      <c r="J443" s="47"/>
      <c r="K443" s="47"/>
      <c r="L443" s="66"/>
      <c r="M443" s="66"/>
      <c r="N443" s="76"/>
      <c r="O443" s="115"/>
      <c r="P443" s="116"/>
      <c r="Q443" s="66"/>
      <c r="V443" s="1"/>
    </row>
    <row r="444" spans="1:22" ht="15.75" customHeight="1">
      <c r="A444" s="1"/>
      <c r="B444" s="103"/>
      <c r="C444" s="8"/>
      <c r="E444" s="29"/>
      <c r="F444" s="47"/>
      <c r="J444" s="47"/>
      <c r="K444" s="47"/>
      <c r="L444" s="66"/>
      <c r="M444" s="66"/>
      <c r="N444" s="76"/>
      <c r="O444" s="115"/>
      <c r="P444" s="116"/>
      <c r="Q444" s="66"/>
      <c r="V444" s="1"/>
    </row>
    <row r="445" spans="1:22" ht="15.75" customHeight="1">
      <c r="A445" s="1"/>
      <c r="B445" s="103"/>
      <c r="C445" s="8"/>
      <c r="E445" s="29"/>
      <c r="F445" s="47"/>
      <c r="J445" s="47"/>
      <c r="K445" s="47"/>
      <c r="L445" s="66"/>
      <c r="M445" s="66"/>
      <c r="N445" s="76"/>
      <c r="O445" s="115"/>
      <c r="P445" s="116"/>
      <c r="Q445" s="66"/>
      <c r="V445" s="1"/>
    </row>
    <row r="446" spans="1:22" ht="15.75" customHeight="1">
      <c r="A446" s="1"/>
      <c r="B446" s="103"/>
      <c r="C446" s="8"/>
      <c r="E446" s="29"/>
      <c r="F446" s="47"/>
      <c r="J446" s="47"/>
      <c r="K446" s="47"/>
      <c r="L446" s="66"/>
      <c r="M446" s="66"/>
      <c r="N446" s="76"/>
      <c r="O446" s="115"/>
      <c r="P446" s="116"/>
      <c r="Q446" s="66"/>
      <c r="V446" s="1"/>
    </row>
    <row r="447" spans="1:22" ht="15.75" customHeight="1">
      <c r="A447" s="1"/>
      <c r="B447" s="103"/>
      <c r="C447" s="8"/>
      <c r="E447" s="29"/>
      <c r="F447" s="47"/>
      <c r="J447" s="47"/>
      <c r="K447" s="47"/>
      <c r="L447" s="66"/>
      <c r="M447" s="66"/>
      <c r="N447" s="76"/>
      <c r="O447" s="115"/>
      <c r="P447" s="116"/>
      <c r="Q447" s="66"/>
      <c r="V447" s="1"/>
    </row>
    <row r="448" spans="1:22" ht="15.75" customHeight="1">
      <c r="A448" s="1"/>
      <c r="B448" s="103"/>
      <c r="C448" s="8"/>
      <c r="E448" s="29"/>
      <c r="F448" s="47"/>
      <c r="J448" s="47"/>
      <c r="K448" s="47"/>
      <c r="L448" s="66"/>
      <c r="M448" s="66"/>
      <c r="N448" s="76"/>
      <c r="O448" s="115"/>
      <c r="P448" s="116"/>
      <c r="Q448" s="66"/>
      <c r="V448" s="1"/>
    </row>
    <row r="449" spans="1:22" ht="15.75" customHeight="1">
      <c r="A449" s="1"/>
      <c r="B449" s="103"/>
      <c r="C449" s="8"/>
      <c r="E449" s="29"/>
      <c r="F449" s="47"/>
      <c r="J449" s="47"/>
      <c r="K449" s="47"/>
      <c r="L449" s="66"/>
      <c r="M449" s="66"/>
      <c r="N449" s="76"/>
      <c r="O449" s="115"/>
      <c r="P449" s="116"/>
      <c r="Q449" s="66"/>
      <c r="V449" s="1"/>
    </row>
    <row r="450" spans="1:22" ht="15.75" customHeight="1">
      <c r="A450" s="1"/>
      <c r="B450" s="103"/>
      <c r="C450" s="8"/>
      <c r="E450" s="29"/>
      <c r="F450" s="47"/>
      <c r="J450" s="47"/>
      <c r="K450" s="47"/>
      <c r="L450" s="66"/>
      <c r="M450" s="66"/>
      <c r="N450" s="76"/>
      <c r="O450" s="115"/>
      <c r="P450" s="116"/>
      <c r="Q450" s="66"/>
      <c r="V450" s="1"/>
    </row>
    <row r="451" spans="1:22" ht="15.75" customHeight="1">
      <c r="A451" s="1"/>
      <c r="B451" s="103"/>
      <c r="C451" s="8"/>
      <c r="E451" s="29"/>
      <c r="F451" s="47"/>
      <c r="J451" s="47"/>
      <c r="K451" s="47"/>
      <c r="L451" s="66"/>
      <c r="M451" s="66"/>
      <c r="N451" s="76"/>
      <c r="O451" s="115"/>
      <c r="P451" s="116"/>
      <c r="Q451" s="66"/>
      <c r="V451" s="1"/>
    </row>
    <row r="452" spans="1:22" ht="15.75" customHeight="1">
      <c r="A452" s="1"/>
      <c r="B452" s="103"/>
      <c r="C452" s="8"/>
      <c r="E452" s="29"/>
      <c r="F452" s="47"/>
      <c r="J452" s="47"/>
      <c r="K452" s="47"/>
      <c r="L452" s="66"/>
      <c r="M452" s="66"/>
      <c r="N452" s="76"/>
      <c r="O452" s="115"/>
      <c r="P452" s="116"/>
      <c r="Q452" s="66"/>
      <c r="V452" s="1"/>
    </row>
    <row r="453" spans="1:22" ht="15.75" customHeight="1">
      <c r="A453" s="1"/>
      <c r="B453" s="103"/>
      <c r="C453" s="8"/>
      <c r="E453" s="29"/>
      <c r="F453" s="47"/>
      <c r="J453" s="47"/>
      <c r="K453" s="47"/>
      <c r="L453" s="66"/>
      <c r="M453" s="66"/>
      <c r="N453" s="76"/>
      <c r="O453" s="115"/>
      <c r="P453" s="116"/>
      <c r="Q453" s="66"/>
      <c r="V453" s="1"/>
    </row>
    <row r="454" spans="1:22" ht="15.75" customHeight="1">
      <c r="A454" s="1"/>
      <c r="B454" s="103"/>
      <c r="C454" s="8"/>
      <c r="E454" s="29"/>
      <c r="F454" s="47"/>
      <c r="J454" s="47"/>
      <c r="K454" s="47"/>
      <c r="L454" s="66"/>
      <c r="M454" s="66"/>
      <c r="N454" s="76"/>
      <c r="O454" s="115"/>
      <c r="P454" s="116"/>
      <c r="Q454" s="66"/>
      <c r="V454" s="1"/>
    </row>
    <row r="455" spans="1:22" ht="15.75" customHeight="1">
      <c r="A455" s="1"/>
      <c r="B455" s="103"/>
      <c r="C455" s="8"/>
      <c r="E455" s="29"/>
      <c r="F455" s="47"/>
      <c r="J455" s="47"/>
      <c r="K455" s="47"/>
      <c r="L455" s="66"/>
      <c r="M455" s="66"/>
      <c r="N455" s="76"/>
      <c r="O455" s="115"/>
      <c r="P455" s="116"/>
      <c r="Q455" s="66"/>
      <c r="V455" s="1"/>
    </row>
    <row r="456" spans="1:22" ht="15.75" customHeight="1">
      <c r="A456" s="1"/>
      <c r="B456" s="103"/>
      <c r="C456" s="8"/>
      <c r="E456" s="29"/>
      <c r="F456" s="47"/>
      <c r="J456" s="47"/>
      <c r="K456" s="47"/>
      <c r="L456" s="66"/>
      <c r="M456" s="66"/>
      <c r="N456" s="76"/>
      <c r="O456" s="115"/>
      <c r="P456" s="116"/>
      <c r="Q456" s="66"/>
      <c r="V456" s="1"/>
    </row>
    <row r="457" spans="1:22" ht="15.75" customHeight="1">
      <c r="A457" s="1"/>
      <c r="B457" s="103"/>
      <c r="C457" s="8"/>
      <c r="E457" s="29"/>
      <c r="F457" s="47"/>
      <c r="J457" s="47"/>
      <c r="K457" s="47"/>
      <c r="L457" s="66"/>
      <c r="M457" s="66"/>
      <c r="N457" s="76"/>
      <c r="O457" s="115"/>
      <c r="P457" s="116"/>
      <c r="Q457" s="66"/>
      <c r="V457" s="1"/>
    </row>
    <row r="458" spans="1:22" ht="15.75" customHeight="1">
      <c r="A458" s="1"/>
      <c r="B458" s="103"/>
      <c r="C458" s="8"/>
      <c r="E458" s="29"/>
      <c r="F458" s="47"/>
      <c r="J458" s="47"/>
      <c r="K458" s="47"/>
      <c r="L458" s="66"/>
      <c r="M458" s="66"/>
      <c r="N458" s="76"/>
      <c r="O458" s="115"/>
      <c r="P458" s="116"/>
      <c r="Q458" s="66"/>
      <c r="V458" s="1"/>
    </row>
    <row r="459" spans="1:22" ht="15.75" customHeight="1">
      <c r="A459" s="1"/>
      <c r="B459" s="103"/>
      <c r="C459" s="8"/>
      <c r="E459" s="29"/>
      <c r="F459" s="47"/>
      <c r="J459" s="47"/>
      <c r="K459" s="47"/>
      <c r="L459" s="66"/>
      <c r="M459" s="66"/>
      <c r="N459" s="76"/>
      <c r="O459" s="115"/>
      <c r="P459" s="116"/>
      <c r="Q459" s="66"/>
      <c r="V459" s="1"/>
    </row>
    <row r="460" spans="1:22" ht="15.75" customHeight="1">
      <c r="A460" s="1"/>
      <c r="B460" s="103"/>
      <c r="C460" s="8"/>
      <c r="E460" s="29"/>
      <c r="F460" s="47"/>
      <c r="J460" s="47"/>
      <c r="K460" s="47"/>
      <c r="L460" s="66"/>
      <c r="M460" s="66"/>
      <c r="N460" s="76"/>
      <c r="O460" s="115"/>
      <c r="P460" s="116"/>
      <c r="Q460" s="66"/>
      <c r="V460" s="1"/>
    </row>
    <row r="461" spans="1:22" ht="15.75" customHeight="1">
      <c r="A461" s="1"/>
      <c r="B461" s="103"/>
      <c r="C461" s="8"/>
      <c r="E461" s="29"/>
      <c r="F461" s="47"/>
      <c r="J461" s="47"/>
      <c r="K461" s="47"/>
      <c r="L461" s="66"/>
      <c r="M461" s="66"/>
      <c r="N461" s="76"/>
      <c r="O461" s="115"/>
      <c r="P461" s="116"/>
      <c r="Q461" s="66"/>
      <c r="V461" s="1"/>
    </row>
    <row r="462" spans="1:22" ht="15.75" customHeight="1">
      <c r="A462" s="1"/>
      <c r="B462" s="103"/>
      <c r="C462" s="8"/>
      <c r="E462" s="29"/>
      <c r="F462" s="47"/>
      <c r="J462" s="47"/>
      <c r="K462" s="47"/>
      <c r="L462" s="66"/>
      <c r="M462" s="66"/>
      <c r="N462" s="76"/>
      <c r="O462" s="115"/>
      <c r="P462" s="116"/>
      <c r="Q462" s="66"/>
      <c r="V462" s="1"/>
    </row>
    <row r="463" spans="1:22" ht="15.75" customHeight="1">
      <c r="A463" s="1"/>
      <c r="B463" s="103"/>
      <c r="C463" s="8"/>
      <c r="E463" s="29"/>
      <c r="F463" s="47"/>
      <c r="J463" s="47"/>
      <c r="K463" s="47"/>
      <c r="L463" s="66"/>
      <c r="M463" s="66"/>
      <c r="N463" s="76"/>
      <c r="O463" s="115"/>
      <c r="P463" s="116"/>
      <c r="Q463" s="66"/>
      <c r="V463" s="1"/>
    </row>
    <row r="464" spans="1:22" ht="15.75" customHeight="1">
      <c r="A464" s="1"/>
      <c r="B464" s="103"/>
      <c r="C464" s="8"/>
      <c r="E464" s="29"/>
      <c r="F464" s="47"/>
      <c r="J464" s="47"/>
      <c r="K464" s="47"/>
      <c r="L464" s="66"/>
      <c r="M464" s="66"/>
      <c r="N464" s="76"/>
      <c r="O464" s="115"/>
      <c r="P464" s="116"/>
      <c r="Q464" s="66"/>
      <c r="V464" s="1"/>
    </row>
    <row r="465" spans="1:22" ht="15.75" customHeight="1">
      <c r="A465" s="1"/>
      <c r="B465" s="103"/>
      <c r="C465" s="8"/>
      <c r="E465" s="29"/>
      <c r="F465" s="47"/>
      <c r="J465" s="47"/>
      <c r="K465" s="47"/>
      <c r="L465" s="66"/>
      <c r="M465" s="66"/>
      <c r="N465" s="76"/>
      <c r="O465" s="115"/>
      <c r="P465" s="116"/>
      <c r="Q465" s="66"/>
      <c r="V465" s="1"/>
    </row>
    <row r="466" spans="1:22" ht="15.75" customHeight="1">
      <c r="A466" s="1"/>
      <c r="B466" s="103"/>
      <c r="C466" s="8"/>
      <c r="E466" s="29"/>
      <c r="F466" s="47"/>
      <c r="J466" s="47"/>
      <c r="K466" s="47"/>
      <c r="L466" s="66"/>
      <c r="M466" s="66"/>
      <c r="N466" s="76"/>
      <c r="O466" s="115"/>
      <c r="P466" s="116"/>
      <c r="Q466" s="66"/>
      <c r="V466" s="1"/>
    </row>
    <row r="467" spans="1:22" ht="15.75" customHeight="1">
      <c r="A467" s="1"/>
      <c r="B467" s="103"/>
      <c r="C467" s="8"/>
      <c r="E467" s="29"/>
      <c r="F467" s="47"/>
      <c r="J467" s="47"/>
      <c r="K467" s="47"/>
      <c r="L467" s="66"/>
      <c r="M467" s="66"/>
      <c r="N467" s="76"/>
      <c r="O467" s="115"/>
      <c r="P467" s="116"/>
      <c r="Q467" s="66"/>
      <c r="V467" s="1"/>
    </row>
    <row r="468" spans="1:22" ht="15.75" customHeight="1">
      <c r="A468" s="1"/>
      <c r="B468" s="103"/>
      <c r="C468" s="8"/>
      <c r="E468" s="29"/>
      <c r="F468" s="47"/>
      <c r="J468" s="47"/>
      <c r="K468" s="47"/>
      <c r="L468" s="66"/>
      <c r="M468" s="66"/>
      <c r="N468" s="76"/>
      <c r="O468" s="115"/>
      <c r="P468" s="116"/>
      <c r="Q468" s="66"/>
      <c r="V468" s="1"/>
    </row>
    <row r="469" spans="1:22" ht="15.75" customHeight="1">
      <c r="A469" s="1"/>
      <c r="B469" s="103"/>
      <c r="C469" s="8"/>
      <c r="E469" s="29"/>
      <c r="F469" s="47"/>
      <c r="J469" s="47"/>
      <c r="K469" s="47"/>
      <c r="L469" s="66"/>
      <c r="M469" s="66"/>
      <c r="N469" s="76"/>
      <c r="O469" s="115"/>
      <c r="P469" s="116"/>
      <c r="Q469" s="66"/>
      <c r="V469" s="1"/>
    </row>
    <row r="470" spans="1:22" ht="15.75" customHeight="1">
      <c r="A470" s="1"/>
      <c r="B470" s="103"/>
      <c r="C470" s="8"/>
      <c r="E470" s="29"/>
      <c r="F470" s="47"/>
      <c r="J470" s="47"/>
      <c r="K470" s="47"/>
      <c r="L470" s="66"/>
      <c r="M470" s="66"/>
      <c r="N470" s="76"/>
      <c r="O470" s="115"/>
      <c r="P470" s="116"/>
      <c r="Q470" s="66"/>
      <c r="V470" s="1"/>
    </row>
    <row r="471" spans="1:22" ht="15.75" customHeight="1">
      <c r="A471" s="1"/>
      <c r="B471" s="103"/>
      <c r="C471" s="8"/>
      <c r="E471" s="29"/>
      <c r="F471" s="47"/>
      <c r="J471" s="47"/>
      <c r="K471" s="47"/>
      <c r="L471" s="66"/>
      <c r="M471" s="66"/>
      <c r="N471" s="76"/>
      <c r="O471" s="115"/>
      <c r="P471" s="116"/>
      <c r="Q471" s="66"/>
      <c r="V471" s="1"/>
    </row>
    <row r="472" spans="1:22" ht="15.75" customHeight="1">
      <c r="A472" s="1"/>
      <c r="B472" s="103"/>
      <c r="C472" s="8"/>
      <c r="E472" s="29"/>
      <c r="F472" s="47"/>
      <c r="J472" s="47"/>
      <c r="K472" s="47"/>
      <c r="L472" s="66"/>
      <c r="M472" s="66"/>
      <c r="N472" s="76"/>
      <c r="O472" s="115"/>
      <c r="P472" s="116"/>
      <c r="Q472" s="66"/>
      <c r="V472" s="1"/>
    </row>
    <row r="473" spans="1:22" ht="15.75" customHeight="1">
      <c r="A473" s="1"/>
      <c r="B473" s="103"/>
      <c r="C473" s="8"/>
      <c r="E473" s="29"/>
      <c r="F473" s="47"/>
      <c r="J473" s="47"/>
      <c r="K473" s="47"/>
      <c r="L473" s="66"/>
      <c r="M473" s="66"/>
      <c r="N473" s="76"/>
      <c r="O473" s="115"/>
      <c r="P473" s="116"/>
      <c r="Q473" s="66"/>
      <c r="V473" s="1"/>
    </row>
    <row r="474" spans="1:22" ht="15.75" customHeight="1">
      <c r="A474" s="1"/>
      <c r="B474" s="103"/>
      <c r="C474" s="8"/>
      <c r="E474" s="29"/>
      <c r="F474" s="47"/>
      <c r="J474" s="47"/>
      <c r="K474" s="47"/>
      <c r="L474" s="66"/>
      <c r="M474" s="66"/>
      <c r="N474" s="76"/>
      <c r="O474" s="115"/>
      <c r="P474" s="116"/>
      <c r="Q474" s="66"/>
      <c r="V474" s="1"/>
    </row>
    <row r="475" spans="1:22" ht="15.75" customHeight="1">
      <c r="A475" s="1"/>
      <c r="B475" s="103"/>
      <c r="C475" s="8"/>
      <c r="E475" s="29"/>
      <c r="F475" s="47"/>
      <c r="J475" s="47"/>
      <c r="K475" s="47"/>
      <c r="L475" s="66"/>
      <c r="M475" s="66"/>
      <c r="N475" s="76"/>
      <c r="O475" s="115"/>
      <c r="P475" s="116"/>
      <c r="Q475" s="66"/>
      <c r="V475" s="1"/>
    </row>
    <row r="476" spans="1:22" ht="15.75" customHeight="1">
      <c r="A476" s="1"/>
      <c r="B476" s="103"/>
      <c r="C476" s="8"/>
      <c r="E476" s="29"/>
      <c r="F476" s="47"/>
      <c r="J476" s="47"/>
      <c r="K476" s="47"/>
      <c r="L476" s="66"/>
      <c r="M476" s="66"/>
      <c r="N476" s="76"/>
      <c r="O476" s="115"/>
      <c r="P476" s="116"/>
      <c r="Q476" s="66"/>
      <c r="V476" s="1"/>
    </row>
    <row r="477" spans="1:22" ht="15.75" customHeight="1">
      <c r="A477" s="1"/>
      <c r="B477" s="103"/>
      <c r="C477" s="8"/>
      <c r="E477" s="29"/>
      <c r="F477" s="47"/>
      <c r="J477" s="47"/>
      <c r="K477" s="47"/>
      <c r="L477" s="66"/>
      <c r="M477" s="66"/>
      <c r="N477" s="76"/>
      <c r="O477" s="115"/>
      <c r="P477" s="116"/>
      <c r="Q477" s="66"/>
      <c r="V477" s="1"/>
    </row>
    <row r="478" spans="1:22" ht="15.75" customHeight="1">
      <c r="A478" s="1"/>
      <c r="B478" s="103"/>
      <c r="C478" s="8"/>
      <c r="E478" s="29"/>
      <c r="F478" s="47"/>
      <c r="J478" s="47"/>
      <c r="K478" s="47"/>
      <c r="L478" s="66"/>
      <c r="M478" s="66"/>
      <c r="N478" s="76"/>
      <c r="O478" s="115"/>
      <c r="P478" s="116"/>
      <c r="Q478" s="66"/>
      <c r="V478" s="1"/>
    </row>
    <row r="479" spans="1:22" ht="15.75" customHeight="1">
      <c r="A479" s="1"/>
      <c r="B479" s="103"/>
      <c r="C479" s="8"/>
      <c r="E479" s="29"/>
      <c r="F479" s="47"/>
      <c r="J479" s="47"/>
      <c r="K479" s="47"/>
      <c r="L479" s="66"/>
      <c r="M479" s="66"/>
      <c r="N479" s="76"/>
      <c r="O479" s="115"/>
      <c r="P479" s="116"/>
      <c r="Q479" s="66"/>
      <c r="V479" s="1"/>
    </row>
    <row r="480" spans="1:22" ht="15.75" customHeight="1">
      <c r="A480" s="1"/>
      <c r="B480" s="103"/>
      <c r="C480" s="8"/>
      <c r="E480" s="29"/>
      <c r="F480" s="47"/>
      <c r="J480" s="47"/>
      <c r="K480" s="47"/>
      <c r="L480" s="66"/>
      <c r="M480" s="66"/>
      <c r="N480" s="76"/>
      <c r="O480" s="115"/>
      <c r="P480" s="116"/>
      <c r="Q480" s="66"/>
      <c r="V480" s="1"/>
    </row>
    <row r="481" spans="1:22" ht="15.75" customHeight="1">
      <c r="A481" s="1"/>
      <c r="B481" s="103"/>
      <c r="C481" s="8"/>
      <c r="E481" s="29"/>
      <c r="F481" s="47"/>
      <c r="J481" s="47"/>
      <c r="K481" s="47"/>
      <c r="L481" s="66"/>
      <c r="M481" s="66"/>
      <c r="N481" s="76"/>
      <c r="O481" s="115"/>
      <c r="P481" s="116"/>
      <c r="Q481" s="66"/>
      <c r="V481" s="1"/>
    </row>
    <row r="482" spans="1:22" ht="15.75" customHeight="1">
      <c r="A482" s="1"/>
      <c r="B482" s="103"/>
      <c r="C482" s="8"/>
      <c r="E482" s="29"/>
      <c r="F482" s="47"/>
      <c r="J482" s="47"/>
      <c r="K482" s="47"/>
      <c r="L482" s="66"/>
      <c r="M482" s="66"/>
      <c r="N482" s="76"/>
      <c r="O482" s="115"/>
      <c r="P482" s="116"/>
      <c r="Q482" s="66"/>
      <c r="V482" s="1"/>
    </row>
    <row r="483" spans="1:22" ht="15.75" customHeight="1">
      <c r="A483" s="1"/>
      <c r="B483" s="103"/>
      <c r="C483" s="8"/>
      <c r="E483" s="29"/>
      <c r="F483" s="47"/>
      <c r="J483" s="47"/>
      <c r="K483" s="47"/>
      <c r="L483" s="66"/>
      <c r="M483" s="66"/>
      <c r="N483" s="76"/>
      <c r="O483" s="115"/>
      <c r="P483" s="116"/>
      <c r="Q483" s="66"/>
      <c r="V483" s="1"/>
    </row>
    <row r="484" spans="1:22" ht="15.75" customHeight="1">
      <c r="A484" s="1"/>
      <c r="B484" s="103"/>
      <c r="C484" s="8"/>
      <c r="E484" s="29"/>
      <c r="F484" s="47"/>
      <c r="J484" s="47"/>
      <c r="K484" s="47"/>
      <c r="L484" s="66"/>
      <c r="M484" s="66"/>
      <c r="N484" s="76"/>
      <c r="O484" s="115"/>
      <c r="P484" s="116"/>
      <c r="Q484" s="66"/>
      <c r="V484" s="1"/>
    </row>
    <row r="485" spans="1:22" ht="15.75" customHeight="1">
      <c r="A485" s="1"/>
      <c r="B485" s="103"/>
      <c r="C485" s="8"/>
      <c r="E485" s="29"/>
      <c r="F485" s="47"/>
      <c r="J485" s="47"/>
      <c r="K485" s="47"/>
      <c r="L485" s="66"/>
      <c r="M485" s="66"/>
      <c r="N485" s="76"/>
      <c r="O485" s="115"/>
      <c r="P485" s="116"/>
      <c r="Q485" s="66"/>
      <c r="V485" s="1"/>
    </row>
    <row r="486" spans="1:22" ht="15.75" customHeight="1">
      <c r="A486" s="1"/>
      <c r="B486" s="103"/>
      <c r="C486" s="8"/>
      <c r="E486" s="29"/>
      <c r="F486" s="47"/>
      <c r="J486" s="47"/>
      <c r="K486" s="47"/>
      <c r="L486" s="66"/>
      <c r="M486" s="66"/>
      <c r="N486" s="76"/>
      <c r="O486" s="115"/>
      <c r="P486" s="116"/>
      <c r="Q486" s="66"/>
      <c r="V486" s="1"/>
    </row>
    <row r="487" spans="1:22" ht="15.75" customHeight="1">
      <c r="A487" s="1"/>
      <c r="B487" s="103"/>
      <c r="C487" s="8"/>
      <c r="E487" s="29"/>
      <c r="F487" s="47"/>
      <c r="J487" s="47"/>
      <c r="K487" s="47"/>
      <c r="L487" s="66"/>
      <c r="M487" s="66"/>
      <c r="N487" s="76"/>
      <c r="O487" s="115"/>
      <c r="P487" s="116"/>
      <c r="Q487" s="66"/>
      <c r="V487" s="1"/>
    </row>
    <row r="488" spans="1:22" ht="15.75" customHeight="1">
      <c r="A488" s="1"/>
      <c r="B488" s="103"/>
      <c r="C488" s="8"/>
      <c r="E488" s="29"/>
      <c r="F488" s="47"/>
      <c r="J488" s="47"/>
      <c r="K488" s="47"/>
      <c r="L488" s="66"/>
      <c r="M488" s="66"/>
      <c r="N488" s="76"/>
      <c r="O488" s="115"/>
      <c r="P488" s="116"/>
      <c r="Q488" s="66"/>
      <c r="V488" s="1"/>
    </row>
    <row r="489" spans="1:22" ht="15.75" customHeight="1">
      <c r="A489" s="1"/>
      <c r="B489" s="103"/>
      <c r="C489" s="8"/>
      <c r="E489" s="29"/>
      <c r="F489" s="47"/>
      <c r="J489" s="47"/>
      <c r="K489" s="47"/>
      <c r="L489" s="66"/>
      <c r="M489" s="66"/>
      <c r="N489" s="76"/>
      <c r="O489" s="115"/>
      <c r="P489" s="116"/>
      <c r="Q489" s="66"/>
      <c r="V489" s="1"/>
    </row>
    <row r="490" spans="1:22" ht="15.75" customHeight="1">
      <c r="A490" s="1"/>
      <c r="B490" s="103"/>
      <c r="C490" s="8"/>
      <c r="E490" s="29"/>
      <c r="F490" s="47"/>
      <c r="J490" s="47"/>
      <c r="K490" s="47"/>
      <c r="L490" s="66"/>
      <c r="M490" s="66"/>
      <c r="N490" s="76"/>
      <c r="O490" s="115"/>
      <c r="P490" s="116"/>
      <c r="Q490" s="66"/>
      <c r="V490" s="1"/>
    </row>
    <row r="491" spans="1:22" ht="15.75" customHeight="1">
      <c r="A491" s="1"/>
      <c r="B491" s="103"/>
      <c r="C491" s="8"/>
      <c r="E491" s="29"/>
      <c r="F491" s="47"/>
      <c r="J491" s="47"/>
      <c r="K491" s="47"/>
      <c r="L491" s="66"/>
      <c r="M491" s="66"/>
      <c r="N491" s="76"/>
      <c r="O491" s="115"/>
      <c r="P491" s="116"/>
      <c r="Q491" s="66"/>
      <c r="V491" s="1"/>
    </row>
    <row r="492" spans="1:22" ht="15.75" customHeight="1">
      <c r="A492" s="1"/>
      <c r="B492" s="103"/>
      <c r="C492" s="8"/>
      <c r="E492" s="29"/>
      <c r="F492" s="47"/>
      <c r="J492" s="47"/>
      <c r="K492" s="47"/>
      <c r="L492" s="66"/>
      <c r="M492" s="66"/>
      <c r="N492" s="76"/>
      <c r="O492" s="115"/>
      <c r="P492" s="116"/>
      <c r="Q492" s="66"/>
      <c r="V492" s="1"/>
    </row>
    <row r="493" spans="1:22" ht="15.75" customHeight="1">
      <c r="A493" s="1"/>
      <c r="B493" s="103"/>
      <c r="C493" s="8"/>
      <c r="E493" s="29"/>
      <c r="F493" s="47"/>
      <c r="J493" s="47"/>
      <c r="K493" s="47"/>
      <c r="L493" s="66"/>
      <c r="M493" s="66"/>
      <c r="N493" s="76"/>
      <c r="O493" s="115"/>
      <c r="P493" s="116"/>
      <c r="Q493" s="66"/>
      <c r="V493" s="1"/>
    </row>
    <row r="494" spans="1:22" ht="15.75" customHeight="1">
      <c r="A494" s="1"/>
      <c r="B494" s="103"/>
      <c r="C494" s="8"/>
      <c r="E494" s="29"/>
      <c r="F494" s="47"/>
      <c r="J494" s="47"/>
      <c r="K494" s="47"/>
      <c r="L494" s="66"/>
      <c r="M494" s="66"/>
      <c r="N494" s="76"/>
      <c r="O494" s="115"/>
      <c r="P494" s="116"/>
      <c r="Q494" s="66"/>
      <c r="V494" s="1"/>
    </row>
    <row r="495" spans="1:22" ht="15.75" customHeight="1">
      <c r="A495" s="1"/>
      <c r="B495" s="103"/>
      <c r="C495" s="8"/>
      <c r="E495" s="29"/>
      <c r="F495" s="47"/>
      <c r="J495" s="47"/>
      <c r="K495" s="47"/>
      <c r="L495" s="66"/>
      <c r="M495" s="66"/>
      <c r="N495" s="76"/>
      <c r="O495" s="115"/>
      <c r="P495" s="116"/>
      <c r="Q495" s="66"/>
      <c r="V495" s="1"/>
    </row>
    <row r="496" spans="1:22" ht="15.75" customHeight="1">
      <c r="A496" s="1"/>
      <c r="B496" s="103"/>
      <c r="C496" s="8"/>
      <c r="E496" s="29"/>
      <c r="F496" s="47"/>
      <c r="J496" s="47"/>
      <c r="K496" s="47"/>
      <c r="L496" s="66"/>
      <c r="M496" s="66"/>
      <c r="N496" s="76"/>
      <c r="O496" s="115"/>
      <c r="P496" s="116"/>
      <c r="Q496" s="66"/>
      <c r="V496" s="1"/>
    </row>
    <row r="497" spans="1:22" ht="15.75" customHeight="1">
      <c r="A497" s="1"/>
      <c r="B497" s="103"/>
      <c r="C497" s="8"/>
      <c r="E497" s="29"/>
      <c r="F497" s="47"/>
      <c r="J497" s="47"/>
      <c r="K497" s="47"/>
      <c r="L497" s="66"/>
      <c r="M497" s="66"/>
      <c r="N497" s="76"/>
      <c r="O497" s="115"/>
      <c r="P497" s="116"/>
      <c r="Q497" s="66"/>
      <c r="V497" s="1"/>
    </row>
    <row r="498" spans="1:22" ht="15.75" customHeight="1">
      <c r="A498" s="1"/>
      <c r="B498" s="103"/>
      <c r="C498" s="8"/>
      <c r="E498" s="29"/>
      <c r="F498" s="47"/>
      <c r="J498" s="47"/>
      <c r="K498" s="47"/>
      <c r="L498" s="66"/>
      <c r="M498" s="66"/>
      <c r="N498" s="76"/>
      <c r="O498" s="115"/>
      <c r="P498" s="116"/>
      <c r="Q498" s="66"/>
      <c r="V498" s="1"/>
    </row>
    <row r="499" spans="1:22" ht="15.75" customHeight="1">
      <c r="A499" s="1"/>
      <c r="B499" s="103"/>
      <c r="C499" s="8"/>
      <c r="E499" s="29"/>
      <c r="F499" s="47"/>
      <c r="J499" s="47"/>
      <c r="K499" s="47"/>
      <c r="L499" s="66"/>
      <c r="M499" s="66"/>
      <c r="N499" s="76"/>
      <c r="O499" s="115"/>
      <c r="P499" s="116"/>
      <c r="Q499" s="66"/>
      <c r="V499" s="1"/>
    </row>
    <row r="500" spans="1:22" ht="15.75" customHeight="1">
      <c r="A500" s="1"/>
      <c r="B500" s="103"/>
      <c r="C500" s="8"/>
      <c r="E500" s="29"/>
      <c r="F500" s="47"/>
      <c r="J500" s="47"/>
      <c r="K500" s="47"/>
      <c r="L500" s="66"/>
      <c r="M500" s="66"/>
      <c r="N500" s="76"/>
      <c r="O500" s="115"/>
      <c r="P500" s="116"/>
      <c r="Q500" s="66"/>
      <c r="V500" s="1"/>
    </row>
    <row r="501" spans="1:22" ht="15.75" customHeight="1">
      <c r="A501" s="1"/>
      <c r="B501" s="103"/>
      <c r="C501" s="8"/>
      <c r="E501" s="29"/>
      <c r="F501" s="47"/>
      <c r="J501" s="47"/>
      <c r="K501" s="47"/>
      <c r="L501" s="66"/>
      <c r="M501" s="66"/>
      <c r="N501" s="76"/>
      <c r="O501" s="115"/>
      <c r="P501" s="116"/>
      <c r="Q501" s="66"/>
      <c r="V501" s="1"/>
    </row>
    <row r="502" spans="1:22" ht="15.75" customHeight="1">
      <c r="A502" s="1"/>
      <c r="B502" s="103"/>
      <c r="C502" s="8"/>
      <c r="E502" s="29"/>
      <c r="F502" s="47"/>
      <c r="J502" s="47"/>
      <c r="K502" s="47"/>
      <c r="L502" s="66"/>
      <c r="M502" s="66"/>
      <c r="N502" s="76"/>
      <c r="O502" s="115"/>
      <c r="P502" s="116"/>
      <c r="Q502" s="66"/>
      <c r="V502" s="1"/>
    </row>
    <row r="503" spans="1:22" ht="15.75" customHeight="1">
      <c r="A503" s="1"/>
      <c r="B503" s="103"/>
      <c r="C503" s="8"/>
      <c r="E503" s="29"/>
      <c r="F503" s="47"/>
      <c r="J503" s="47"/>
      <c r="K503" s="47"/>
      <c r="L503" s="66"/>
      <c r="M503" s="66"/>
      <c r="N503" s="76"/>
      <c r="O503" s="115"/>
      <c r="P503" s="116"/>
      <c r="Q503" s="66"/>
      <c r="V503" s="1"/>
    </row>
    <row r="504" spans="1:22" ht="15.75" customHeight="1">
      <c r="A504" s="1"/>
      <c r="B504" s="103"/>
      <c r="C504" s="8"/>
      <c r="E504" s="29"/>
      <c r="F504" s="47"/>
      <c r="J504" s="47"/>
      <c r="K504" s="47"/>
      <c r="L504" s="66"/>
      <c r="M504" s="66"/>
      <c r="N504" s="76"/>
      <c r="O504" s="115"/>
      <c r="P504" s="116"/>
      <c r="Q504" s="66"/>
      <c r="V504" s="1"/>
    </row>
    <row r="505" spans="1:22" ht="15.75" customHeight="1">
      <c r="A505" s="1"/>
      <c r="B505" s="103"/>
      <c r="C505" s="8"/>
      <c r="E505" s="29"/>
      <c r="F505" s="47"/>
      <c r="J505" s="47"/>
      <c r="K505" s="47"/>
      <c r="L505" s="66"/>
      <c r="M505" s="66"/>
      <c r="N505" s="76"/>
      <c r="O505" s="115"/>
      <c r="P505" s="116"/>
      <c r="Q505" s="66"/>
      <c r="V505" s="1"/>
    </row>
    <row r="506" spans="1:22" ht="15.75" customHeight="1">
      <c r="A506" s="1"/>
      <c r="B506" s="103"/>
      <c r="C506" s="8"/>
      <c r="E506" s="29"/>
      <c r="F506" s="47"/>
      <c r="J506" s="47"/>
      <c r="K506" s="47"/>
      <c r="L506" s="66"/>
      <c r="M506" s="66"/>
      <c r="N506" s="76"/>
      <c r="O506" s="115"/>
      <c r="P506" s="116"/>
      <c r="Q506" s="66"/>
      <c r="V506" s="1"/>
    </row>
    <row r="507" spans="1:22" ht="15.75" customHeight="1">
      <c r="A507" s="1"/>
      <c r="B507" s="103"/>
      <c r="C507" s="8"/>
      <c r="E507" s="29"/>
      <c r="F507" s="47"/>
      <c r="J507" s="47"/>
      <c r="K507" s="47"/>
      <c r="L507" s="66"/>
      <c r="M507" s="66"/>
      <c r="N507" s="76"/>
      <c r="O507" s="115"/>
      <c r="P507" s="116"/>
      <c r="Q507" s="66"/>
      <c r="V507" s="1"/>
    </row>
    <row r="508" spans="1:22" ht="15.75" customHeight="1">
      <c r="A508" s="1"/>
      <c r="B508" s="103"/>
      <c r="C508" s="8"/>
      <c r="E508" s="29"/>
      <c r="F508" s="47"/>
      <c r="J508" s="47"/>
      <c r="K508" s="47"/>
      <c r="L508" s="66"/>
      <c r="M508" s="66"/>
      <c r="N508" s="76"/>
      <c r="O508" s="115"/>
      <c r="P508" s="116"/>
      <c r="Q508" s="66"/>
      <c r="V508" s="1"/>
    </row>
    <row r="509" spans="1:22" ht="15.75" customHeight="1">
      <c r="A509" s="1"/>
      <c r="B509" s="103"/>
      <c r="C509" s="8"/>
      <c r="E509" s="29"/>
      <c r="F509" s="47"/>
      <c r="J509" s="47"/>
      <c r="K509" s="47"/>
      <c r="L509" s="66"/>
      <c r="M509" s="66"/>
      <c r="N509" s="76"/>
      <c r="O509" s="115"/>
      <c r="P509" s="116"/>
      <c r="Q509" s="66"/>
      <c r="V509" s="1"/>
    </row>
    <row r="510" spans="1:22" ht="15.75" customHeight="1">
      <c r="A510" s="1"/>
      <c r="B510" s="103"/>
      <c r="C510" s="8"/>
      <c r="E510" s="29"/>
      <c r="F510" s="47"/>
      <c r="J510" s="47"/>
      <c r="K510" s="47"/>
      <c r="L510" s="66"/>
      <c r="M510" s="66"/>
      <c r="N510" s="76"/>
      <c r="O510" s="115"/>
      <c r="P510" s="116"/>
      <c r="Q510" s="66"/>
      <c r="V510" s="1"/>
    </row>
    <row r="511" spans="1:22" ht="15.75" customHeight="1">
      <c r="A511" s="1"/>
      <c r="B511" s="103"/>
      <c r="C511" s="8"/>
      <c r="E511" s="29"/>
      <c r="F511" s="47"/>
      <c r="J511" s="47"/>
      <c r="K511" s="47"/>
      <c r="L511" s="66"/>
      <c r="M511" s="66"/>
      <c r="N511" s="76"/>
      <c r="O511" s="115"/>
      <c r="P511" s="116"/>
      <c r="Q511" s="66"/>
      <c r="V511" s="1"/>
    </row>
    <row r="512" spans="1:22" ht="15.75" customHeight="1">
      <c r="A512" s="1"/>
      <c r="B512" s="103"/>
      <c r="C512" s="8"/>
      <c r="E512" s="29"/>
      <c r="F512" s="47"/>
      <c r="J512" s="47"/>
      <c r="K512" s="47"/>
      <c r="L512" s="66"/>
      <c r="M512" s="66"/>
      <c r="N512" s="76"/>
      <c r="O512" s="115"/>
      <c r="P512" s="116"/>
      <c r="Q512" s="66"/>
      <c r="V512" s="1"/>
    </row>
    <row r="513" spans="1:22" ht="15.75" customHeight="1">
      <c r="A513" s="1"/>
      <c r="B513" s="103"/>
      <c r="C513" s="8"/>
      <c r="E513" s="29"/>
      <c r="F513" s="47"/>
      <c r="J513" s="47"/>
      <c r="K513" s="47"/>
      <c r="L513" s="66"/>
      <c r="M513" s="66"/>
      <c r="N513" s="76"/>
      <c r="O513" s="115"/>
      <c r="P513" s="116"/>
      <c r="Q513" s="66"/>
      <c r="V513" s="1"/>
    </row>
    <row r="514" spans="1:22" ht="15.75" customHeight="1">
      <c r="A514" s="1"/>
      <c r="B514" s="103"/>
      <c r="C514" s="8"/>
      <c r="E514" s="29"/>
      <c r="F514" s="47"/>
      <c r="J514" s="47"/>
      <c r="K514" s="47"/>
      <c r="L514" s="66"/>
      <c r="M514" s="66"/>
      <c r="N514" s="76"/>
      <c r="O514" s="115"/>
      <c r="P514" s="116"/>
      <c r="Q514" s="66"/>
      <c r="V514" s="1"/>
    </row>
    <row r="515" spans="1:22" ht="15.75" customHeight="1">
      <c r="A515" s="1"/>
      <c r="B515" s="103"/>
      <c r="C515" s="8"/>
      <c r="E515" s="29"/>
      <c r="F515" s="47"/>
      <c r="J515" s="47"/>
      <c r="K515" s="47"/>
      <c r="L515" s="66"/>
      <c r="M515" s="66"/>
      <c r="N515" s="76"/>
      <c r="O515" s="115"/>
      <c r="P515" s="116"/>
      <c r="Q515" s="66"/>
      <c r="V515" s="1"/>
    </row>
    <row r="516" spans="1:22" ht="15.75" customHeight="1">
      <c r="A516" s="1"/>
      <c r="B516" s="103"/>
      <c r="C516" s="8"/>
      <c r="E516" s="29"/>
      <c r="F516" s="47"/>
      <c r="J516" s="47"/>
      <c r="K516" s="47"/>
      <c r="L516" s="66"/>
      <c r="M516" s="66"/>
      <c r="N516" s="76"/>
      <c r="O516" s="115"/>
      <c r="P516" s="116"/>
      <c r="Q516" s="66"/>
      <c r="V516" s="1"/>
    </row>
    <row r="517" spans="1:22" ht="15.75" customHeight="1">
      <c r="A517" s="1"/>
      <c r="B517" s="103"/>
      <c r="C517" s="8"/>
      <c r="E517" s="29"/>
      <c r="F517" s="47"/>
      <c r="J517" s="47"/>
      <c r="K517" s="47"/>
      <c r="L517" s="66"/>
      <c r="M517" s="66"/>
      <c r="N517" s="76"/>
      <c r="O517" s="115"/>
      <c r="P517" s="116"/>
      <c r="Q517" s="66"/>
      <c r="V517" s="1"/>
    </row>
    <row r="518" spans="1:22" ht="15.75" customHeight="1">
      <c r="A518" s="1"/>
      <c r="B518" s="103"/>
      <c r="C518" s="8"/>
      <c r="E518" s="29"/>
      <c r="F518" s="47"/>
      <c r="J518" s="47"/>
      <c r="K518" s="47"/>
      <c r="L518" s="66"/>
      <c r="M518" s="66"/>
      <c r="N518" s="76"/>
      <c r="O518" s="115"/>
      <c r="P518" s="116"/>
      <c r="Q518" s="66"/>
      <c r="V518" s="1"/>
    </row>
    <row r="519" spans="1:22" ht="15.75" customHeight="1">
      <c r="A519" s="1"/>
      <c r="B519" s="103"/>
      <c r="C519" s="8"/>
      <c r="E519" s="29"/>
      <c r="F519" s="47"/>
      <c r="J519" s="47"/>
      <c r="K519" s="47"/>
      <c r="L519" s="66"/>
      <c r="M519" s="66"/>
      <c r="N519" s="76"/>
      <c r="O519" s="115"/>
      <c r="P519" s="116"/>
      <c r="Q519" s="66"/>
      <c r="V519" s="1"/>
    </row>
    <row r="520" spans="1:22" ht="15.75" customHeight="1">
      <c r="A520" s="1"/>
      <c r="B520" s="103"/>
      <c r="C520" s="8"/>
      <c r="E520" s="29"/>
      <c r="F520" s="47"/>
      <c r="J520" s="47"/>
      <c r="K520" s="47"/>
      <c r="L520" s="66"/>
      <c r="M520" s="66"/>
      <c r="N520" s="76"/>
      <c r="O520" s="115"/>
      <c r="P520" s="116"/>
      <c r="Q520" s="66"/>
      <c r="V520" s="1"/>
    </row>
    <row r="521" spans="1:22" ht="15.75" customHeight="1">
      <c r="A521" s="1"/>
      <c r="B521" s="103"/>
      <c r="C521" s="8"/>
      <c r="E521" s="29"/>
      <c r="F521" s="47"/>
      <c r="J521" s="47"/>
      <c r="K521" s="47"/>
      <c r="L521" s="66"/>
      <c r="M521" s="66"/>
      <c r="N521" s="76"/>
      <c r="O521" s="115"/>
      <c r="P521" s="116"/>
      <c r="Q521" s="66"/>
      <c r="V521" s="1"/>
    </row>
    <row r="522" spans="1:22" ht="15.75" customHeight="1">
      <c r="A522" s="1"/>
      <c r="B522" s="103"/>
      <c r="C522" s="8"/>
      <c r="E522" s="29"/>
      <c r="F522" s="47"/>
      <c r="J522" s="47"/>
      <c r="K522" s="47"/>
      <c r="L522" s="66"/>
      <c r="M522" s="66"/>
      <c r="N522" s="76"/>
      <c r="O522" s="115"/>
      <c r="P522" s="116"/>
      <c r="Q522" s="66"/>
      <c r="V522" s="1"/>
    </row>
    <row r="523" spans="1:22" ht="15.75" customHeight="1">
      <c r="A523" s="1"/>
      <c r="B523" s="103"/>
      <c r="C523" s="8"/>
      <c r="E523" s="29"/>
      <c r="F523" s="47"/>
      <c r="J523" s="47"/>
      <c r="K523" s="47"/>
      <c r="L523" s="66"/>
      <c r="M523" s="66"/>
      <c r="N523" s="76"/>
      <c r="O523" s="115"/>
      <c r="P523" s="116"/>
      <c r="Q523" s="66"/>
      <c r="V523" s="1"/>
    </row>
    <row r="524" spans="1:22" ht="15.75" customHeight="1">
      <c r="A524" s="1"/>
      <c r="B524" s="103"/>
      <c r="C524" s="8"/>
      <c r="E524" s="29"/>
      <c r="F524" s="47"/>
      <c r="J524" s="47"/>
      <c r="K524" s="47"/>
      <c r="L524" s="66"/>
      <c r="M524" s="66"/>
      <c r="N524" s="76"/>
      <c r="O524" s="115"/>
      <c r="P524" s="116"/>
      <c r="Q524" s="66"/>
      <c r="V524" s="1"/>
    </row>
    <row r="525" spans="1:22" ht="15.75" customHeight="1">
      <c r="A525" s="1"/>
      <c r="B525" s="103"/>
      <c r="C525" s="8"/>
      <c r="E525" s="29"/>
      <c r="F525" s="47"/>
      <c r="J525" s="47"/>
      <c r="K525" s="47"/>
      <c r="L525" s="66"/>
      <c r="M525" s="66"/>
      <c r="N525" s="76"/>
      <c r="O525" s="115"/>
      <c r="P525" s="116"/>
      <c r="Q525" s="66"/>
      <c r="V525" s="1"/>
    </row>
    <row r="526" spans="1:22" ht="15.75" customHeight="1">
      <c r="A526" s="1"/>
      <c r="B526" s="103"/>
      <c r="C526" s="8"/>
      <c r="E526" s="29"/>
      <c r="F526" s="47"/>
      <c r="J526" s="47"/>
      <c r="K526" s="47"/>
      <c r="L526" s="66"/>
      <c r="M526" s="66"/>
      <c r="N526" s="76"/>
      <c r="O526" s="115"/>
      <c r="P526" s="116"/>
      <c r="Q526" s="66"/>
      <c r="V526" s="1"/>
    </row>
    <row r="527" spans="1:22" ht="15.75" customHeight="1">
      <c r="A527" s="1"/>
      <c r="B527" s="103"/>
      <c r="C527" s="8"/>
      <c r="E527" s="29"/>
      <c r="F527" s="47"/>
      <c r="J527" s="47"/>
      <c r="K527" s="47"/>
      <c r="L527" s="66"/>
      <c r="M527" s="66"/>
      <c r="N527" s="76"/>
      <c r="O527" s="115"/>
      <c r="P527" s="116"/>
      <c r="Q527" s="66"/>
      <c r="V527" s="1"/>
    </row>
    <row r="528" spans="1:22" ht="15.75" customHeight="1">
      <c r="A528" s="1"/>
      <c r="B528" s="103"/>
      <c r="C528" s="8"/>
      <c r="E528" s="29"/>
      <c r="F528" s="47"/>
      <c r="J528" s="47"/>
      <c r="K528" s="47"/>
      <c r="L528" s="66"/>
      <c r="M528" s="66"/>
      <c r="N528" s="76"/>
      <c r="O528" s="115"/>
      <c r="P528" s="116"/>
      <c r="Q528" s="66"/>
      <c r="V528" s="1"/>
    </row>
    <row r="529" spans="1:22" ht="15.75" customHeight="1">
      <c r="A529" s="1"/>
      <c r="B529" s="103"/>
      <c r="C529" s="8"/>
      <c r="E529" s="29"/>
      <c r="F529" s="47"/>
      <c r="J529" s="47"/>
      <c r="K529" s="47"/>
      <c r="L529" s="66"/>
      <c r="M529" s="66"/>
      <c r="N529" s="76"/>
      <c r="O529" s="115"/>
      <c r="P529" s="116"/>
      <c r="Q529" s="66"/>
      <c r="V529" s="1"/>
    </row>
    <row r="530" spans="1:22" ht="15.75" customHeight="1">
      <c r="A530" s="1"/>
      <c r="B530" s="103"/>
      <c r="C530" s="8"/>
      <c r="E530" s="29"/>
      <c r="F530" s="47"/>
      <c r="J530" s="47"/>
      <c r="K530" s="47"/>
      <c r="L530" s="66"/>
      <c r="M530" s="66"/>
      <c r="N530" s="76"/>
      <c r="O530" s="115"/>
      <c r="P530" s="116"/>
      <c r="Q530" s="66"/>
      <c r="V530" s="1"/>
    </row>
    <row r="531" spans="1:22" ht="15.75" customHeight="1">
      <c r="A531" s="1"/>
      <c r="B531" s="103"/>
      <c r="C531" s="8"/>
      <c r="E531" s="29"/>
      <c r="F531" s="47"/>
      <c r="J531" s="47"/>
      <c r="K531" s="47"/>
      <c r="L531" s="66"/>
      <c r="M531" s="66"/>
      <c r="N531" s="76"/>
      <c r="O531" s="115"/>
      <c r="P531" s="116"/>
      <c r="Q531" s="66"/>
      <c r="V531" s="1"/>
    </row>
    <row r="532" spans="1:22" ht="15.75" customHeight="1">
      <c r="A532" s="1"/>
      <c r="B532" s="103"/>
      <c r="C532" s="8"/>
      <c r="E532" s="29"/>
      <c r="F532" s="47"/>
      <c r="J532" s="47"/>
      <c r="K532" s="47"/>
      <c r="L532" s="66"/>
      <c r="M532" s="66"/>
      <c r="N532" s="76"/>
      <c r="O532" s="115"/>
      <c r="P532" s="116"/>
      <c r="Q532" s="66"/>
      <c r="V532" s="1"/>
    </row>
    <row r="533" spans="1:22" ht="15.75" customHeight="1">
      <c r="A533" s="1"/>
      <c r="B533" s="103"/>
      <c r="C533" s="8"/>
      <c r="E533" s="29"/>
      <c r="F533" s="47"/>
      <c r="J533" s="47"/>
      <c r="K533" s="47"/>
      <c r="L533" s="66"/>
      <c r="M533" s="66"/>
      <c r="N533" s="76"/>
      <c r="O533" s="115"/>
      <c r="P533" s="116"/>
      <c r="Q533" s="66"/>
      <c r="V533" s="1"/>
    </row>
    <row r="534" spans="1:22" ht="15.75" customHeight="1">
      <c r="A534" s="1"/>
      <c r="B534" s="103"/>
      <c r="C534" s="8"/>
      <c r="E534" s="29"/>
      <c r="F534" s="47"/>
      <c r="J534" s="47"/>
      <c r="K534" s="47"/>
      <c r="L534" s="66"/>
      <c r="M534" s="66"/>
      <c r="N534" s="76"/>
      <c r="O534" s="115"/>
      <c r="P534" s="116"/>
      <c r="Q534" s="66"/>
      <c r="V534" s="1"/>
    </row>
    <row r="535" spans="1:22" ht="15.75" customHeight="1">
      <c r="A535" s="1"/>
      <c r="B535" s="103"/>
      <c r="C535" s="8"/>
      <c r="E535" s="29"/>
      <c r="F535" s="47"/>
      <c r="J535" s="47"/>
      <c r="K535" s="47"/>
      <c r="L535" s="66"/>
      <c r="M535" s="66"/>
      <c r="N535" s="76"/>
      <c r="O535" s="115"/>
      <c r="P535" s="116"/>
      <c r="Q535" s="66"/>
      <c r="V535" s="1"/>
    </row>
    <row r="536" spans="1:22" ht="15.75" customHeight="1">
      <c r="A536" s="1"/>
      <c r="B536" s="103"/>
      <c r="C536" s="8"/>
      <c r="E536" s="29"/>
      <c r="F536" s="47"/>
      <c r="J536" s="47"/>
      <c r="K536" s="47"/>
      <c r="L536" s="66"/>
      <c r="M536" s="66"/>
      <c r="N536" s="76"/>
      <c r="O536" s="115"/>
      <c r="P536" s="116"/>
      <c r="Q536" s="66"/>
      <c r="V536" s="1"/>
    </row>
    <row r="537" spans="1:22" ht="15.75" customHeight="1">
      <c r="A537" s="1"/>
      <c r="B537" s="103"/>
      <c r="C537" s="8"/>
      <c r="E537" s="29"/>
      <c r="F537" s="47"/>
      <c r="J537" s="47"/>
      <c r="K537" s="47"/>
      <c r="L537" s="66"/>
      <c r="M537" s="66"/>
      <c r="N537" s="76"/>
      <c r="O537" s="115"/>
      <c r="P537" s="116"/>
      <c r="Q537" s="66"/>
      <c r="V537" s="1"/>
    </row>
    <row r="538" spans="1:22" ht="15.75" customHeight="1">
      <c r="A538" s="1"/>
      <c r="B538" s="103"/>
      <c r="C538" s="8"/>
      <c r="E538" s="29"/>
      <c r="F538" s="47"/>
      <c r="J538" s="47"/>
      <c r="K538" s="47"/>
      <c r="L538" s="66"/>
      <c r="M538" s="66"/>
      <c r="N538" s="76"/>
      <c r="O538" s="115"/>
      <c r="P538" s="116"/>
      <c r="Q538" s="66"/>
      <c r="V538" s="1"/>
    </row>
    <row r="539" spans="1:22" ht="15.75" customHeight="1">
      <c r="A539" s="1"/>
      <c r="B539" s="103"/>
      <c r="C539" s="8"/>
      <c r="E539" s="29"/>
      <c r="F539" s="47"/>
      <c r="J539" s="47"/>
      <c r="K539" s="47"/>
      <c r="L539" s="66"/>
      <c r="M539" s="66"/>
      <c r="N539" s="76"/>
      <c r="O539" s="115"/>
      <c r="P539" s="116"/>
      <c r="Q539" s="66"/>
      <c r="V539" s="1"/>
    </row>
    <row r="540" spans="1:22" ht="15.75" customHeight="1">
      <c r="A540" s="1"/>
      <c r="B540" s="103"/>
      <c r="C540" s="8"/>
      <c r="E540" s="29"/>
      <c r="F540" s="47"/>
      <c r="J540" s="47"/>
      <c r="K540" s="47"/>
      <c r="L540" s="66"/>
      <c r="M540" s="66"/>
      <c r="N540" s="76"/>
      <c r="O540" s="115"/>
      <c r="P540" s="116"/>
      <c r="Q540" s="66"/>
      <c r="V540" s="1"/>
    </row>
    <row r="541" spans="1:22" ht="15.75" customHeight="1">
      <c r="A541" s="1"/>
      <c r="B541" s="103"/>
      <c r="C541" s="8"/>
      <c r="E541" s="29"/>
      <c r="F541" s="47"/>
      <c r="J541" s="47"/>
      <c r="K541" s="47"/>
      <c r="L541" s="66"/>
      <c r="M541" s="66"/>
      <c r="N541" s="76"/>
      <c r="O541" s="115"/>
      <c r="P541" s="116"/>
      <c r="Q541" s="66"/>
      <c r="V541" s="1"/>
    </row>
    <row r="542" spans="1:22" ht="15.75" customHeight="1">
      <c r="A542" s="1"/>
      <c r="B542" s="103"/>
      <c r="C542" s="8"/>
      <c r="E542" s="29"/>
      <c r="F542" s="47"/>
      <c r="J542" s="47"/>
      <c r="K542" s="47"/>
      <c r="L542" s="66"/>
      <c r="M542" s="66"/>
      <c r="N542" s="76"/>
      <c r="O542" s="115"/>
      <c r="P542" s="116"/>
      <c r="Q542" s="66"/>
      <c r="V542" s="1"/>
    </row>
    <row r="543" spans="1:22" ht="15.75" customHeight="1">
      <c r="A543" s="1"/>
      <c r="B543" s="103"/>
      <c r="C543" s="8"/>
      <c r="E543" s="29"/>
      <c r="F543" s="47"/>
      <c r="J543" s="47"/>
      <c r="K543" s="47"/>
      <c r="L543" s="66"/>
      <c r="M543" s="66"/>
      <c r="N543" s="76"/>
      <c r="O543" s="115"/>
      <c r="P543" s="116"/>
      <c r="Q543" s="66"/>
      <c r="V543" s="1"/>
    </row>
    <row r="544" spans="1:22" ht="15.75" customHeight="1">
      <c r="A544" s="1"/>
      <c r="B544" s="103"/>
      <c r="C544" s="8"/>
      <c r="E544" s="29"/>
      <c r="F544" s="47"/>
      <c r="J544" s="47"/>
      <c r="K544" s="47"/>
      <c r="L544" s="66"/>
      <c r="M544" s="66"/>
      <c r="N544" s="76"/>
      <c r="O544" s="115"/>
      <c r="P544" s="116"/>
      <c r="Q544" s="66"/>
      <c r="V544" s="1"/>
    </row>
    <row r="545" spans="1:22" ht="15.75" customHeight="1">
      <c r="A545" s="1"/>
      <c r="B545" s="103"/>
      <c r="C545" s="8"/>
      <c r="E545" s="29"/>
      <c r="F545" s="47"/>
      <c r="J545" s="47"/>
      <c r="K545" s="47"/>
      <c r="L545" s="66"/>
      <c r="M545" s="66"/>
      <c r="N545" s="76"/>
      <c r="O545" s="115"/>
      <c r="P545" s="116"/>
      <c r="Q545" s="66"/>
      <c r="V545" s="1"/>
    </row>
    <row r="546" spans="1:22" ht="15.75" customHeight="1">
      <c r="A546" s="1"/>
      <c r="B546" s="103"/>
      <c r="C546" s="8"/>
      <c r="E546" s="29"/>
      <c r="F546" s="47"/>
      <c r="J546" s="47"/>
      <c r="K546" s="47"/>
      <c r="L546" s="66"/>
      <c r="M546" s="66"/>
      <c r="N546" s="76"/>
      <c r="O546" s="115"/>
      <c r="P546" s="116"/>
      <c r="Q546" s="66"/>
      <c r="V546" s="1"/>
    </row>
    <row r="547" spans="1:22" ht="15.75" customHeight="1">
      <c r="A547" s="1"/>
      <c r="B547" s="103"/>
      <c r="C547" s="8"/>
      <c r="E547" s="29"/>
      <c r="F547" s="47"/>
      <c r="J547" s="47"/>
      <c r="K547" s="47"/>
      <c r="L547" s="66"/>
      <c r="M547" s="66"/>
      <c r="N547" s="76"/>
      <c r="O547" s="115"/>
      <c r="P547" s="116"/>
      <c r="Q547" s="66"/>
      <c r="V547" s="1"/>
    </row>
    <row r="548" spans="1:22" ht="15.75" customHeight="1">
      <c r="A548" s="1"/>
      <c r="B548" s="103"/>
      <c r="C548" s="8"/>
      <c r="E548" s="29"/>
      <c r="F548" s="47"/>
      <c r="J548" s="47"/>
      <c r="K548" s="47"/>
      <c r="L548" s="66"/>
      <c r="M548" s="66"/>
      <c r="N548" s="76"/>
      <c r="O548" s="115"/>
      <c r="P548" s="116"/>
      <c r="Q548" s="66"/>
      <c r="V548" s="1"/>
    </row>
    <row r="549" spans="1:22" ht="15.75" customHeight="1">
      <c r="A549" s="1"/>
      <c r="B549" s="103"/>
      <c r="C549" s="8"/>
      <c r="E549" s="29"/>
      <c r="F549" s="47"/>
      <c r="J549" s="47"/>
      <c r="K549" s="47"/>
      <c r="L549" s="66"/>
      <c r="M549" s="66"/>
      <c r="N549" s="76"/>
      <c r="O549" s="115"/>
      <c r="P549" s="116"/>
      <c r="Q549" s="66"/>
      <c r="V549" s="1"/>
    </row>
    <row r="550" spans="1:22" ht="15.75" customHeight="1">
      <c r="A550" s="1"/>
      <c r="B550" s="103"/>
      <c r="C550" s="8"/>
      <c r="E550" s="29"/>
      <c r="F550" s="47"/>
      <c r="J550" s="47"/>
      <c r="K550" s="47"/>
      <c r="L550" s="66"/>
      <c r="M550" s="66"/>
      <c r="N550" s="76"/>
      <c r="O550" s="115"/>
      <c r="P550" s="116"/>
      <c r="Q550" s="66"/>
      <c r="V550" s="1"/>
    </row>
    <row r="551" spans="1:22" ht="15.75" customHeight="1">
      <c r="A551" s="1"/>
      <c r="B551" s="103"/>
      <c r="C551" s="8"/>
      <c r="E551" s="29"/>
      <c r="F551" s="47"/>
      <c r="J551" s="47"/>
      <c r="K551" s="47"/>
      <c r="L551" s="66"/>
      <c r="M551" s="66"/>
      <c r="N551" s="76"/>
      <c r="O551" s="115"/>
      <c r="P551" s="116"/>
      <c r="Q551" s="66"/>
      <c r="V551" s="1"/>
    </row>
    <row r="552" spans="1:22" ht="15.75" customHeight="1">
      <c r="A552" s="1"/>
      <c r="B552" s="103"/>
      <c r="C552" s="8"/>
      <c r="E552" s="29"/>
      <c r="F552" s="47"/>
      <c r="J552" s="47"/>
      <c r="K552" s="47"/>
      <c r="L552" s="66"/>
      <c r="M552" s="66"/>
      <c r="N552" s="76"/>
      <c r="O552" s="115"/>
      <c r="P552" s="116"/>
      <c r="Q552" s="66"/>
      <c r="V552" s="1"/>
    </row>
    <row r="553" spans="1:22" ht="15.75" customHeight="1">
      <c r="A553" s="1"/>
      <c r="B553" s="103"/>
      <c r="C553" s="8"/>
      <c r="E553" s="29"/>
      <c r="F553" s="47"/>
      <c r="J553" s="47"/>
      <c r="K553" s="47"/>
      <c r="L553" s="66"/>
      <c r="M553" s="66"/>
      <c r="N553" s="76"/>
      <c r="O553" s="115"/>
      <c r="P553" s="116"/>
      <c r="Q553" s="66"/>
      <c r="V553" s="1"/>
    </row>
    <row r="554" spans="1:22" ht="15.75" customHeight="1">
      <c r="A554" s="1"/>
      <c r="B554" s="103"/>
      <c r="C554" s="8"/>
      <c r="E554" s="29"/>
      <c r="F554" s="47"/>
      <c r="J554" s="47"/>
      <c r="K554" s="47"/>
      <c r="L554" s="66"/>
      <c r="M554" s="66"/>
      <c r="N554" s="76"/>
      <c r="O554" s="115"/>
      <c r="P554" s="116"/>
      <c r="Q554" s="66"/>
      <c r="V554" s="1"/>
    </row>
    <row r="555" spans="1:22" ht="15.75" customHeight="1">
      <c r="A555" s="1"/>
      <c r="B555" s="103"/>
      <c r="C555" s="8"/>
      <c r="E555" s="29"/>
      <c r="F555" s="47"/>
      <c r="J555" s="47"/>
      <c r="K555" s="47"/>
      <c r="L555" s="66"/>
      <c r="M555" s="66"/>
      <c r="N555" s="76"/>
      <c r="O555" s="115"/>
      <c r="P555" s="116"/>
      <c r="Q555" s="66"/>
      <c r="V555" s="1"/>
    </row>
    <row r="556" spans="1:22" ht="15.75" customHeight="1">
      <c r="A556" s="1"/>
      <c r="B556" s="103"/>
      <c r="C556" s="8"/>
      <c r="E556" s="29"/>
      <c r="F556" s="47"/>
      <c r="J556" s="47"/>
      <c r="K556" s="47"/>
      <c r="L556" s="66"/>
      <c r="M556" s="66"/>
      <c r="N556" s="76"/>
      <c r="O556" s="115"/>
      <c r="P556" s="116"/>
      <c r="Q556" s="66"/>
      <c r="V556" s="1"/>
    </row>
    <row r="557" spans="1:22" ht="15.75" customHeight="1">
      <c r="A557" s="1"/>
      <c r="B557" s="103"/>
      <c r="C557" s="8"/>
      <c r="E557" s="29"/>
      <c r="F557" s="47"/>
      <c r="J557" s="47"/>
      <c r="K557" s="47"/>
      <c r="L557" s="66"/>
      <c r="M557" s="66"/>
      <c r="N557" s="76"/>
      <c r="O557" s="115"/>
      <c r="P557" s="116"/>
      <c r="Q557" s="66"/>
      <c r="V557" s="1"/>
    </row>
    <row r="558" spans="1:22" ht="15.75" customHeight="1">
      <c r="A558" s="1"/>
      <c r="B558" s="103"/>
      <c r="C558" s="8"/>
      <c r="E558" s="29"/>
      <c r="F558" s="47"/>
      <c r="J558" s="47"/>
      <c r="K558" s="47"/>
      <c r="L558" s="66"/>
      <c r="M558" s="66"/>
      <c r="N558" s="76"/>
      <c r="O558" s="115"/>
      <c r="P558" s="116"/>
      <c r="Q558" s="66"/>
      <c r="V558" s="1"/>
    </row>
    <row r="559" spans="1:22" ht="15.75" customHeight="1">
      <c r="A559" s="1"/>
      <c r="B559" s="103"/>
      <c r="C559" s="8"/>
      <c r="E559" s="29"/>
      <c r="F559" s="47"/>
      <c r="J559" s="47"/>
      <c r="K559" s="47"/>
      <c r="L559" s="66"/>
      <c r="M559" s="66"/>
      <c r="N559" s="76"/>
      <c r="O559" s="115"/>
      <c r="P559" s="116"/>
      <c r="Q559" s="66"/>
      <c r="V559" s="1"/>
    </row>
    <row r="560" spans="1:22" ht="15.75" customHeight="1">
      <c r="A560" s="1"/>
      <c r="B560" s="103"/>
      <c r="C560" s="8"/>
      <c r="E560" s="29"/>
      <c r="F560" s="47"/>
      <c r="J560" s="47"/>
      <c r="K560" s="47"/>
      <c r="L560" s="66"/>
      <c r="M560" s="66"/>
      <c r="N560" s="76"/>
      <c r="O560" s="115"/>
      <c r="P560" s="116"/>
      <c r="Q560" s="66"/>
      <c r="V560" s="1"/>
    </row>
    <row r="561" spans="1:22" ht="15.75" customHeight="1">
      <c r="A561" s="1"/>
      <c r="B561" s="103"/>
      <c r="C561" s="8"/>
      <c r="E561" s="29"/>
      <c r="F561" s="47"/>
      <c r="J561" s="47"/>
      <c r="K561" s="47"/>
      <c r="L561" s="66"/>
      <c r="M561" s="66"/>
      <c r="N561" s="76"/>
      <c r="O561" s="115"/>
      <c r="P561" s="116"/>
      <c r="Q561" s="66"/>
      <c r="V561" s="1"/>
    </row>
    <row r="562" spans="1:22" ht="15.75" customHeight="1">
      <c r="A562" s="1"/>
      <c r="B562" s="103"/>
      <c r="C562" s="8"/>
      <c r="E562" s="29"/>
      <c r="F562" s="47"/>
      <c r="J562" s="47"/>
      <c r="K562" s="47"/>
      <c r="L562" s="66"/>
      <c r="M562" s="66"/>
      <c r="N562" s="76"/>
      <c r="O562" s="115"/>
      <c r="P562" s="116"/>
      <c r="Q562" s="66"/>
      <c r="V562" s="1"/>
    </row>
    <row r="563" spans="1:22" ht="15.75" customHeight="1">
      <c r="A563" s="1"/>
      <c r="B563" s="103"/>
      <c r="C563" s="8"/>
      <c r="E563" s="29"/>
      <c r="F563" s="47"/>
      <c r="J563" s="47"/>
      <c r="K563" s="47"/>
      <c r="L563" s="66"/>
      <c r="M563" s="66"/>
      <c r="N563" s="76"/>
      <c r="O563" s="115"/>
      <c r="P563" s="116"/>
      <c r="Q563" s="66"/>
      <c r="V563" s="1"/>
    </row>
    <row r="564" spans="1:22" ht="15.75" customHeight="1">
      <c r="A564" s="1"/>
      <c r="B564" s="103"/>
      <c r="C564" s="8"/>
      <c r="E564" s="29"/>
      <c r="F564" s="47"/>
      <c r="J564" s="47"/>
      <c r="K564" s="47"/>
      <c r="L564" s="66"/>
      <c r="M564" s="66"/>
      <c r="N564" s="76"/>
      <c r="O564" s="115"/>
      <c r="P564" s="116"/>
      <c r="Q564" s="66"/>
      <c r="V564" s="1"/>
    </row>
    <row r="565" spans="1:22" ht="15.75" customHeight="1">
      <c r="A565" s="1"/>
      <c r="B565" s="103"/>
      <c r="C565" s="8"/>
      <c r="E565" s="29"/>
      <c r="F565" s="47"/>
      <c r="J565" s="47"/>
      <c r="K565" s="47"/>
      <c r="L565" s="66"/>
      <c r="M565" s="66"/>
      <c r="N565" s="76"/>
      <c r="O565" s="115"/>
      <c r="P565" s="116"/>
      <c r="Q565" s="66"/>
      <c r="V565" s="1"/>
    </row>
    <row r="566" spans="1:22" ht="15.75" customHeight="1">
      <c r="A566" s="1"/>
      <c r="B566" s="103"/>
      <c r="C566" s="8"/>
      <c r="E566" s="29"/>
      <c r="F566" s="47"/>
      <c r="J566" s="47"/>
      <c r="K566" s="47"/>
      <c r="L566" s="66"/>
      <c r="M566" s="66"/>
      <c r="N566" s="76"/>
      <c r="O566" s="115"/>
      <c r="P566" s="116"/>
      <c r="Q566" s="66"/>
      <c r="V566" s="1"/>
    </row>
    <row r="567" spans="1:22" ht="15.75" customHeight="1">
      <c r="A567" s="1"/>
      <c r="B567" s="103"/>
      <c r="C567" s="8"/>
      <c r="E567" s="29"/>
      <c r="F567" s="47"/>
      <c r="J567" s="47"/>
      <c r="K567" s="47"/>
      <c r="L567" s="66"/>
      <c r="M567" s="66"/>
      <c r="N567" s="76"/>
      <c r="O567" s="115"/>
      <c r="P567" s="116"/>
      <c r="Q567" s="66"/>
      <c r="V567" s="1"/>
    </row>
    <row r="568" spans="1:22" ht="15.75" customHeight="1">
      <c r="A568" s="1"/>
      <c r="B568" s="103"/>
      <c r="C568" s="8"/>
      <c r="E568" s="29"/>
      <c r="F568" s="47"/>
      <c r="J568" s="47"/>
      <c r="K568" s="47"/>
      <c r="L568" s="66"/>
      <c r="M568" s="66"/>
      <c r="N568" s="76"/>
      <c r="O568" s="115"/>
      <c r="P568" s="116"/>
      <c r="Q568" s="66"/>
      <c r="V568" s="1"/>
    </row>
    <row r="569" spans="1:22" ht="15.75" customHeight="1">
      <c r="A569" s="1"/>
      <c r="B569" s="103"/>
      <c r="C569" s="8"/>
      <c r="E569" s="29"/>
      <c r="F569" s="47"/>
      <c r="J569" s="47"/>
      <c r="K569" s="47"/>
      <c r="L569" s="66"/>
      <c r="M569" s="66"/>
      <c r="N569" s="76"/>
      <c r="O569" s="115"/>
      <c r="P569" s="116"/>
      <c r="Q569" s="66"/>
      <c r="V569" s="1"/>
    </row>
    <row r="570" spans="1:22" ht="15.75" customHeight="1">
      <c r="A570" s="1"/>
      <c r="B570" s="103"/>
      <c r="C570" s="8"/>
      <c r="E570" s="29"/>
      <c r="F570" s="47"/>
      <c r="J570" s="47"/>
      <c r="K570" s="47"/>
      <c r="L570" s="66"/>
      <c r="M570" s="66"/>
      <c r="N570" s="76"/>
      <c r="O570" s="115"/>
      <c r="P570" s="116"/>
      <c r="Q570" s="66"/>
      <c r="V570" s="1"/>
    </row>
    <row r="571" spans="1:22" ht="15.75" customHeight="1">
      <c r="A571" s="1"/>
      <c r="B571" s="103"/>
      <c r="C571" s="8"/>
      <c r="E571" s="29"/>
      <c r="F571" s="47"/>
      <c r="J571" s="47"/>
      <c r="K571" s="47"/>
      <c r="L571" s="66"/>
      <c r="M571" s="66"/>
      <c r="N571" s="76"/>
      <c r="O571" s="115"/>
      <c r="P571" s="116"/>
      <c r="Q571" s="66"/>
      <c r="V571" s="1"/>
    </row>
    <row r="572" spans="1:22" ht="15.75" customHeight="1">
      <c r="A572" s="1"/>
      <c r="B572" s="103"/>
      <c r="C572" s="8"/>
      <c r="E572" s="29"/>
      <c r="F572" s="47"/>
      <c r="J572" s="47"/>
      <c r="K572" s="47"/>
      <c r="L572" s="66"/>
      <c r="M572" s="66"/>
      <c r="N572" s="76"/>
      <c r="O572" s="115"/>
      <c r="P572" s="116"/>
      <c r="Q572" s="66"/>
      <c r="V572" s="1"/>
    </row>
    <row r="573" spans="1:22" ht="15.75" customHeight="1">
      <c r="A573" s="1"/>
      <c r="B573" s="103"/>
      <c r="C573" s="8"/>
      <c r="E573" s="29"/>
      <c r="F573" s="47"/>
      <c r="J573" s="47"/>
      <c r="K573" s="47"/>
      <c r="L573" s="66"/>
      <c r="M573" s="66"/>
      <c r="N573" s="76"/>
      <c r="O573" s="115"/>
      <c r="P573" s="116"/>
      <c r="Q573" s="66"/>
      <c r="V573" s="1"/>
    </row>
    <row r="574" spans="1:22" ht="15.75" customHeight="1">
      <c r="A574" s="1"/>
      <c r="B574" s="103"/>
      <c r="C574" s="8"/>
      <c r="E574" s="29"/>
      <c r="F574" s="47"/>
      <c r="J574" s="47"/>
      <c r="K574" s="47"/>
      <c r="L574" s="66"/>
      <c r="M574" s="66"/>
      <c r="N574" s="76"/>
      <c r="O574" s="115"/>
      <c r="P574" s="116"/>
      <c r="Q574" s="66"/>
      <c r="V574" s="1"/>
    </row>
    <row r="575" spans="1:22" ht="15.75" customHeight="1">
      <c r="A575" s="1"/>
      <c r="B575" s="103"/>
      <c r="C575" s="8"/>
      <c r="E575" s="29"/>
      <c r="F575" s="47"/>
      <c r="J575" s="47"/>
      <c r="K575" s="47"/>
      <c r="L575" s="66"/>
      <c r="M575" s="66"/>
      <c r="N575" s="76"/>
      <c r="O575" s="115"/>
      <c r="P575" s="116"/>
      <c r="Q575" s="66"/>
      <c r="V575" s="1"/>
    </row>
    <row r="576" spans="1:22" ht="15.75" customHeight="1">
      <c r="A576" s="1"/>
      <c r="B576" s="103"/>
      <c r="C576" s="8"/>
      <c r="E576" s="29"/>
      <c r="F576" s="47"/>
      <c r="J576" s="47"/>
      <c r="K576" s="47"/>
      <c r="L576" s="66"/>
      <c r="M576" s="66"/>
      <c r="N576" s="76"/>
      <c r="O576" s="115"/>
      <c r="P576" s="116"/>
      <c r="Q576" s="66"/>
      <c r="V576" s="1"/>
    </row>
    <row r="577" spans="1:22" ht="15.75" customHeight="1">
      <c r="A577" s="1"/>
      <c r="B577" s="103"/>
      <c r="C577" s="8"/>
      <c r="E577" s="29"/>
      <c r="F577" s="47"/>
      <c r="J577" s="47"/>
      <c r="K577" s="47"/>
      <c r="L577" s="66"/>
      <c r="M577" s="66"/>
      <c r="N577" s="76"/>
      <c r="O577" s="115"/>
      <c r="P577" s="116"/>
      <c r="Q577" s="66"/>
      <c r="V577" s="1"/>
    </row>
    <row r="578" spans="1:22" ht="15.75" customHeight="1">
      <c r="A578" s="1"/>
      <c r="B578" s="103"/>
      <c r="C578" s="8"/>
      <c r="E578" s="29"/>
      <c r="F578" s="47"/>
      <c r="J578" s="47"/>
      <c r="K578" s="47"/>
      <c r="L578" s="66"/>
      <c r="M578" s="66"/>
      <c r="N578" s="76"/>
      <c r="O578" s="115"/>
      <c r="P578" s="116"/>
      <c r="Q578" s="66"/>
      <c r="V578" s="1"/>
    </row>
    <row r="579" spans="1:22" ht="15.75" customHeight="1">
      <c r="A579" s="1"/>
      <c r="B579" s="103"/>
      <c r="C579" s="8"/>
      <c r="E579" s="29"/>
      <c r="F579" s="47"/>
      <c r="J579" s="47"/>
      <c r="K579" s="47"/>
      <c r="L579" s="66"/>
      <c r="M579" s="66"/>
      <c r="N579" s="76"/>
      <c r="O579" s="115"/>
      <c r="P579" s="116"/>
      <c r="Q579" s="66"/>
      <c r="V579" s="1"/>
    </row>
    <row r="580" spans="1:22" ht="15.75" customHeight="1">
      <c r="A580" s="1"/>
      <c r="B580" s="103"/>
      <c r="C580" s="8"/>
      <c r="E580" s="29"/>
      <c r="F580" s="47"/>
      <c r="J580" s="47"/>
      <c r="K580" s="47"/>
      <c r="L580" s="66"/>
      <c r="M580" s="66"/>
      <c r="N580" s="76"/>
      <c r="O580" s="115"/>
      <c r="P580" s="116"/>
      <c r="Q580" s="66"/>
      <c r="V580" s="1"/>
    </row>
    <row r="581" spans="1:22" ht="15.75" customHeight="1">
      <c r="A581" s="1"/>
      <c r="B581" s="103"/>
      <c r="C581" s="8"/>
      <c r="E581" s="29"/>
      <c r="F581" s="47"/>
      <c r="J581" s="47"/>
      <c r="K581" s="47"/>
      <c r="L581" s="66"/>
      <c r="M581" s="66"/>
      <c r="N581" s="76"/>
      <c r="O581" s="115"/>
      <c r="P581" s="116"/>
      <c r="Q581" s="66"/>
      <c r="V581" s="1"/>
    </row>
    <row r="582" spans="1:22" ht="15.75" customHeight="1">
      <c r="A582" s="1"/>
      <c r="B582" s="103"/>
      <c r="C582" s="8"/>
      <c r="E582" s="29"/>
      <c r="F582" s="47"/>
      <c r="J582" s="47"/>
      <c r="K582" s="47"/>
      <c r="L582" s="66"/>
      <c r="M582" s="66"/>
      <c r="N582" s="76"/>
      <c r="O582" s="115"/>
      <c r="P582" s="116"/>
      <c r="Q582" s="66"/>
      <c r="V582" s="1"/>
    </row>
    <row r="583" spans="1:22" ht="15.75" customHeight="1">
      <c r="A583" s="1"/>
      <c r="B583" s="103"/>
      <c r="C583" s="8"/>
      <c r="E583" s="29"/>
      <c r="F583" s="47"/>
      <c r="J583" s="47"/>
      <c r="K583" s="47"/>
      <c r="L583" s="66"/>
      <c r="M583" s="66"/>
      <c r="N583" s="76"/>
      <c r="O583" s="115"/>
      <c r="P583" s="116"/>
      <c r="Q583" s="66"/>
      <c r="V583" s="1"/>
    </row>
    <row r="584" spans="1:22" ht="15.75" customHeight="1">
      <c r="A584" s="1"/>
      <c r="B584" s="103"/>
      <c r="C584" s="8"/>
      <c r="E584" s="29"/>
      <c r="F584" s="47"/>
      <c r="J584" s="47"/>
      <c r="K584" s="47"/>
      <c r="L584" s="66"/>
      <c r="M584" s="66"/>
      <c r="N584" s="76"/>
      <c r="O584" s="115"/>
      <c r="P584" s="116"/>
      <c r="Q584" s="66"/>
      <c r="V584" s="1"/>
    </row>
    <row r="585" spans="1:22" ht="15.75" customHeight="1">
      <c r="A585" s="1"/>
      <c r="B585" s="103"/>
      <c r="C585" s="8"/>
      <c r="E585" s="29"/>
      <c r="F585" s="47"/>
      <c r="J585" s="47"/>
      <c r="K585" s="47"/>
      <c r="L585" s="66"/>
      <c r="M585" s="66"/>
      <c r="N585" s="76"/>
      <c r="O585" s="115"/>
      <c r="P585" s="116"/>
      <c r="Q585" s="66"/>
      <c r="V585" s="1"/>
    </row>
    <row r="586" spans="1:22" ht="15.75" customHeight="1">
      <c r="A586" s="1"/>
      <c r="B586" s="103"/>
      <c r="C586" s="8"/>
      <c r="E586" s="29"/>
      <c r="F586" s="47"/>
      <c r="J586" s="47"/>
      <c r="K586" s="47"/>
      <c r="L586" s="66"/>
      <c r="M586" s="66"/>
      <c r="N586" s="76"/>
      <c r="O586" s="115"/>
      <c r="P586" s="116"/>
      <c r="Q586" s="66"/>
      <c r="V586" s="1"/>
    </row>
    <row r="587" spans="1:22" ht="15.75" customHeight="1">
      <c r="A587" s="1"/>
      <c r="B587" s="103"/>
      <c r="C587" s="8"/>
      <c r="E587" s="29"/>
      <c r="F587" s="47"/>
      <c r="J587" s="47"/>
      <c r="K587" s="47"/>
      <c r="L587" s="66"/>
      <c r="M587" s="66"/>
      <c r="N587" s="76"/>
      <c r="O587" s="115"/>
      <c r="P587" s="116"/>
      <c r="Q587" s="66"/>
      <c r="V587" s="1"/>
    </row>
    <row r="588" spans="1:22" ht="15.75" customHeight="1">
      <c r="A588" s="1"/>
      <c r="B588" s="103"/>
      <c r="C588" s="8"/>
      <c r="E588" s="29"/>
      <c r="F588" s="47"/>
      <c r="J588" s="47"/>
      <c r="K588" s="47"/>
      <c r="L588" s="66"/>
      <c r="M588" s="66"/>
      <c r="N588" s="76"/>
      <c r="O588" s="115"/>
      <c r="P588" s="116"/>
      <c r="Q588" s="66"/>
      <c r="V588" s="1"/>
    </row>
    <row r="589" spans="1:22" ht="15.75" customHeight="1">
      <c r="A589" s="1"/>
      <c r="B589" s="103"/>
      <c r="C589" s="8"/>
      <c r="E589" s="29"/>
      <c r="F589" s="47"/>
      <c r="J589" s="47"/>
      <c r="K589" s="47"/>
      <c r="L589" s="66"/>
      <c r="M589" s="66"/>
      <c r="N589" s="76"/>
      <c r="O589" s="115"/>
      <c r="P589" s="116"/>
      <c r="Q589" s="66"/>
      <c r="V589" s="1"/>
    </row>
    <row r="590" spans="1:22" ht="15.75" customHeight="1">
      <c r="A590" s="1"/>
      <c r="B590" s="103"/>
      <c r="C590" s="8"/>
      <c r="E590" s="29"/>
      <c r="F590" s="47"/>
      <c r="J590" s="47"/>
      <c r="K590" s="47"/>
      <c r="L590" s="66"/>
      <c r="M590" s="66"/>
      <c r="N590" s="76"/>
      <c r="O590" s="115"/>
      <c r="P590" s="116"/>
      <c r="Q590" s="66"/>
      <c r="V590" s="1"/>
    </row>
    <row r="591" spans="1:22" ht="15.75" customHeight="1">
      <c r="A591" s="1"/>
      <c r="B591" s="103"/>
      <c r="C591" s="8"/>
      <c r="E591" s="29"/>
      <c r="F591" s="47"/>
      <c r="J591" s="47"/>
      <c r="K591" s="47"/>
      <c r="L591" s="66"/>
      <c r="M591" s="66"/>
      <c r="N591" s="76"/>
      <c r="O591" s="115"/>
      <c r="P591" s="116"/>
      <c r="Q591" s="66"/>
      <c r="V591" s="1"/>
    </row>
    <row r="592" spans="1:22" ht="15.75" customHeight="1">
      <c r="A592" s="1"/>
      <c r="B592" s="103"/>
      <c r="C592" s="8"/>
      <c r="E592" s="29"/>
      <c r="F592" s="47"/>
      <c r="J592" s="47"/>
      <c r="K592" s="47"/>
      <c r="L592" s="66"/>
      <c r="M592" s="66"/>
      <c r="N592" s="76"/>
      <c r="O592" s="115"/>
      <c r="P592" s="116"/>
      <c r="Q592" s="66"/>
      <c r="V592" s="1"/>
    </row>
    <row r="593" spans="1:22" ht="15.75" customHeight="1">
      <c r="A593" s="1"/>
      <c r="B593" s="103"/>
      <c r="C593" s="8"/>
      <c r="E593" s="29"/>
      <c r="F593" s="47"/>
      <c r="J593" s="47"/>
      <c r="K593" s="47"/>
      <c r="L593" s="66"/>
      <c r="M593" s="66"/>
      <c r="N593" s="76"/>
      <c r="O593" s="115"/>
      <c r="P593" s="116"/>
      <c r="Q593" s="66"/>
      <c r="V593" s="1"/>
    </row>
    <row r="594" spans="1:22" ht="15.75" customHeight="1">
      <c r="A594" s="1"/>
      <c r="B594" s="103"/>
      <c r="C594" s="8"/>
      <c r="E594" s="29"/>
      <c r="F594" s="47"/>
      <c r="J594" s="47"/>
      <c r="K594" s="47"/>
      <c r="L594" s="66"/>
      <c r="M594" s="66"/>
      <c r="N594" s="76"/>
      <c r="O594" s="115"/>
      <c r="P594" s="116"/>
      <c r="Q594" s="66"/>
      <c r="V594" s="1"/>
    </row>
    <row r="595" spans="1:22" ht="15.75" customHeight="1">
      <c r="A595" s="1"/>
      <c r="B595" s="103"/>
      <c r="C595" s="8"/>
      <c r="E595" s="29"/>
      <c r="F595" s="47"/>
      <c r="J595" s="47"/>
      <c r="K595" s="47"/>
      <c r="L595" s="66"/>
      <c r="M595" s="66"/>
      <c r="N595" s="76"/>
      <c r="O595" s="115"/>
      <c r="P595" s="116"/>
      <c r="Q595" s="66"/>
      <c r="V595" s="1"/>
    </row>
    <row r="596" spans="1:22" ht="15.75" customHeight="1">
      <c r="A596" s="1"/>
      <c r="B596" s="103"/>
      <c r="C596" s="8"/>
      <c r="E596" s="29"/>
      <c r="F596" s="47"/>
      <c r="J596" s="47"/>
      <c r="K596" s="47"/>
      <c r="L596" s="66"/>
      <c r="M596" s="66"/>
      <c r="N596" s="76"/>
      <c r="O596" s="115"/>
      <c r="P596" s="116"/>
      <c r="Q596" s="66"/>
      <c r="V596" s="1"/>
    </row>
    <row r="597" spans="1:22" ht="15.75" customHeight="1">
      <c r="A597" s="1"/>
      <c r="B597" s="103"/>
      <c r="C597" s="8"/>
      <c r="E597" s="29"/>
      <c r="F597" s="47"/>
      <c r="J597" s="47"/>
      <c r="K597" s="47"/>
      <c r="L597" s="66"/>
      <c r="M597" s="66"/>
      <c r="N597" s="76"/>
      <c r="O597" s="115"/>
      <c r="P597" s="116"/>
      <c r="Q597" s="66"/>
      <c r="V597" s="1"/>
    </row>
    <row r="598" spans="1:22" ht="15.75" customHeight="1">
      <c r="A598" s="1"/>
      <c r="B598" s="103"/>
      <c r="C598" s="8"/>
      <c r="E598" s="29"/>
      <c r="F598" s="47"/>
      <c r="J598" s="47"/>
      <c r="K598" s="47"/>
      <c r="L598" s="66"/>
      <c r="M598" s="66"/>
      <c r="N598" s="76"/>
      <c r="O598" s="115"/>
      <c r="P598" s="116"/>
      <c r="Q598" s="66"/>
      <c r="V598" s="1"/>
    </row>
    <row r="599" spans="1:22" ht="15.75" customHeight="1">
      <c r="A599" s="1"/>
      <c r="B599" s="103"/>
      <c r="C599" s="8"/>
      <c r="E599" s="29"/>
      <c r="F599" s="47"/>
      <c r="J599" s="47"/>
      <c r="K599" s="47"/>
      <c r="L599" s="66"/>
      <c r="M599" s="66"/>
      <c r="N599" s="76"/>
      <c r="O599" s="115"/>
      <c r="P599" s="116"/>
      <c r="Q599" s="66"/>
      <c r="V599" s="1"/>
    </row>
    <row r="600" spans="1:22" ht="15.75" customHeight="1">
      <c r="A600" s="1"/>
      <c r="B600" s="103"/>
      <c r="C600" s="8"/>
      <c r="E600" s="29"/>
      <c r="F600" s="47"/>
      <c r="J600" s="47"/>
      <c r="K600" s="47"/>
      <c r="L600" s="66"/>
      <c r="M600" s="66"/>
      <c r="N600" s="76"/>
      <c r="O600" s="115"/>
      <c r="P600" s="116"/>
      <c r="Q600" s="66"/>
      <c r="V600" s="1"/>
    </row>
    <row r="601" spans="1:22" ht="15.75" customHeight="1">
      <c r="A601" s="1"/>
      <c r="B601" s="103"/>
      <c r="C601" s="8"/>
      <c r="E601" s="29"/>
      <c r="F601" s="47"/>
      <c r="J601" s="47"/>
      <c r="K601" s="47"/>
      <c r="L601" s="66"/>
      <c r="M601" s="66"/>
      <c r="N601" s="76"/>
      <c r="O601" s="115"/>
      <c r="P601" s="116"/>
      <c r="Q601" s="66"/>
      <c r="V601" s="1"/>
    </row>
    <row r="602" spans="1:22" ht="15.75" customHeight="1">
      <c r="A602" s="1"/>
      <c r="B602" s="103"/>
      <c r="C602" s="8"/>
      <c r="E602" s="29"/>
      <c r="F602" s="47"/>
      <c r="J602" s="47"/>
      <c r="K602" s="47"/>
      <c r="L602" s="66"/>
      <c r="M602" s="66"/>
      <c r="N602" s="76"/>
      <c r="O602" s="115"/>
      <c r="P602" s="116"/>
      <c r="Q602" s="66"/>
      <c r="V602" s="1"/>
    </row>
    <row r="603" spans="1:22" ht="15.75" customHeight="1">
      <c r="A603" s="1"/>
      <c r="B603" s="103"/>
      <c r="C603" s="8"/>
      <c r="E603" s="29"/>
      <c r="F603" s="47"/>
      <c r="J603" s="47"/>
      <c r="K603" s="47"/>
      <c r="L603" s="66"/>
      <c r="M603" s="66"/>
      <c r="N603" s="76"/>
      <c r="O603" s="115"/>
      <c r="P603" s="116"/>
      <c r="Q603" s="66"/>
      <c r="V603" s="1"/>
    </row>
    <row r="604" spans="1:22" ht="15.75" customHeight="1">
      <c r="A604" s="1"/>
      <c r="B604" s="103"/>
      <c r="C604" s="8"/>
      <c r="E604" s="29"/>
      <c r="F604" s="47"/>
      <c r="J604" s="47"/>
      <c r="K604" s="47"/>
      <c r="L604" s="66"/>
      <c r="M604" s="66"/>
      <c r="N604" s="76"/>
      <c r="O604" s="115"/>
      <c r="P604" s="116"/>
      <c r="Q604" s="66"/>
      <c r="V604" s="1"/>
    </row>
    <row r="605" spans="1:22" ht="15.75" customHeight="1">
      <c r="A605" s="1"/>
      <c r="B605" s="103"/>
      <c r="C605" s="8"/>
      <c r="E605" s="29"/>
      <c r="F605" s="47"/>
      <c r="J605" s="47"/>
      <c r="K605" s="47"/>
      <c r="L605" s="66"/>
      <c r="M605" s="66"/>
      <c r="N605" s="76"/>
      <c r="O605" s="115"/>
      <c r="P605" s="116"/>
      <c r="Q605" s="66"/>
      <c r="V605" s="1"/>
    </row>
    <row r="606" spans="1:22" ht="15.75" customHeight="1">
      <c r="A606" s="1"/>
      <c r="B606" s="103"/>
      <c r="C606" s="8"/>
      <c r="E606" s="29"/>
      <c r="F606" s="47"/>
      <c r="J606" s="47"/>
      <c r="K606" s="47"/>
      <c r="L606" s="66"/>
      <c r="M606" s="66"/>
      <c r="N606" s="76"/>
      <c r="O606" s="115"/>
      <c r="P606" s="116"/>
      <c r="Q606" s="66"/>
      <c r="V606" s="1"/>
    </row>
    <row r="607" spans="1:22" ht="15.75" customHeight="1">
      <c r="A607" s="1"/>
      <c r="B607" s="103"/>
      <c r="C607" s="8"/>
      <c r="E607" s="29"/>
      <c r="F607" s="47"/>
      <c r="J607" s="47"/>
      <c r="K607" s="47"/>
      <c r="L607" s="66"/>
      <c r="M607" s="66"/>
      <c r="N607" s="76"/>
      <c r="O607" s="115"/>
      <c r="P607" s="116"/>
      <c r="Q607" s="66"/>
      <c r="V607" s="1"/>
    </row>
    <row r="608" spans="1:22" ht="15.75" customHeight="1">
      <c r="A608" s="1"/>
      <c r="B608" s="103"/>
      <c r="C608" s="8"/>
      <c r="E608" s="29"/>
      <c r="F608" s="47"/>
      <c r="J608" s="47"/>
      <c r="K608" s="47"/>
      <c r="L608" s="66"/>
      <c r="M608" s="66"/>
      <c r="N608" s="76"/>
      <c r="O608" s="115"/>
      <c r="P608" s="116"/>
      <c r="Q608" s="66"/>
      <c r="V608" s="1"/>
    </row>
    <row r="609" spans="1:22" ht="15.75" customHeight="1">
      <c r="A609" s="1"/>
      <c r="B609" s="103"/>
      <c r="C609" s="8"/>
      <c r="E609" s="29"/>
      <c r="F609" s="47"/>
      <c r="J609" s="47"/>
      <c r="K609" s="47"/>
      <c r="L609" s="66"/>
      <c r="M609" s="66"/>
      <c r="N609" s="76"/>
      <c r="O609" s="115"/>
      <c r="P609" s="116"/>
      <c r="Q609" s="66"/>
      <c r="V609" s="1"/>
    </row>
    <row r="610" spans="1:22" ht="15.75" customHeight="1">
      <c r="A610" s="1"/>
      <c r="B610" s="103"/>
      <c r="C610" s="8"/>
      <c r="E610" s="29"/>
      <c r="F610" s="47"/>
      <c r="J610" s="47"/>
      <c r="K610" s="47"/>
      <c r="L610" s="66"/>
      <c r="M610" s="66"/>
      <c r="N610" s="76"/>
      <c r="O610" s="115"/>
      <c r="P610" s="116"/>
      <c r="Q610" s="66"/>
      <c r="V610" s="1"/>
    </row>
    <row r="611" spans="1:22" ht="15.75" customHeight="1">
      <c r="A611" s="1"/>
      <c r="B611" s="103"/>
      <c r="C611" s="8"/>
      <c r="E611" s="29"/>
      <c r="F611" s="47"/>
      <c r="J611" s="47"/>
      <c r="K611" s="47"/>
      <c r="L611" s="66"/>
      <c r="M611" s="66"/>
      <c r="N611" s="76"/>
      <c r="O611" s="115"/>
      <c r="P611" s="116"/>
      <c r="Q611" s="66"/>
      <c r="V611" s="1"/>
    </row>
    <row r="612" spans="1:22" ht="15.75" customHeight="1">
      <c r="A612" s="1"/>
      <c r="B612" s="103"/>
      <c r="C612" s="8"/>
      <c r="E612" s="29"/>
      <c r="F612" s="47"/>
      <c r="J612" s="47"/>
      <c r="K612" s="47"/>
      <c r="L612" s="66"/>
      <c r="M612" s="66"/>
      <c r="N612" s="76"/>
      <c r="O612" s="115"/>
      <c r="P612" s="116"/>
      <c r="Q612" s="66"/>
      <c r="V612" s="1"/>
    </row>
    <row r="613" spans="1:22" ht="15.75" customHeight="1">
      <c r="A613" s="1"/>
      <c r="B613" s="103"/>
      <c r="C613" s="8"/>
      <c r="E613" s="29"/>
      <c r="F613" s="47"/>
      <c r="J613" s="47"/>
      <c r="K613" s="47"/>
      <c r="L613" s="66"/>
      <c r="M613" s="66"/>
      <c r="N613" s="76"/>
      <c r="O613" s="115"/>
      <c r="P613" s="116"/>
      <c r="Q613" s="66"/>
      <c r="V613" s="1"/>
    </row>
    <row r="614" spans="1:22" ht="15.75" customHeight="1">
      <c r="A614" s="1"/>
      <c r="B614" s="103"/>
      <c r="C614" s="8"/>
      <c r="E614" s="29"/>
      <c r="F614" s="47"/>
      <c r="J614" s="47"/>
      <c r="K614" s="47"/>
      <c r="L614" s="66"/>
      <c r="M614" s="66"/>
      <c r="N614" s="76"/>
      <c r="O614" s="115"/>
      <c r="P614" s="116"/>
      <c r="Q614" s="66"/>
      <c r="V614" s="1"/>
    </row>
    <row r="615" spans="1:22" ht="15.75" customHeight="1">
      <c r="A615" s="1"/>
      <c r="B615" s="103"/>
      <c r="C615" s="8"/>
      <c r="E615" s="29"/>
      <c r="F615" s="47"/>
      <c r="J615" s="47"/>
      <c r="K615" s="47"/>
      <c r="L615" s="66"/>
      <c r="M615" s="66"/>
      <c r="N615" s="76"/>
      <c r="O615" s="115"/>
      <c r="P615" s="116"/>
      <c r="Q615" s="66"/>
      <c r="V615" s="1"/>
    </row>
    <row r="616" spans="1:22" ht="15.75" customHeight="1">
      <c r="A616" s="1"/>
      <c r="B616" s="103"/>
      <c r="C616" s="8"/>
      <c r="E616" s="29"/>
      <c r="F616" s="47"/>
      <c r="J616" s="47"/>
      <c r="K616" s="47"/>
      <c r="L616" s="66"/>
      <c r="M616" s="66"/>
      <c r="N616" s="76"/>
      <c r="O616" s="115"/>
      <c r="P616" s="116"/>
      <c r="Q616" s="66"/>
      <c r="V616" s="1"/>
    </row>
    <row r="617" spans="1:22" ht="15.75" customHeight="1">
      <c r="A617" s="1"/>
      <c r="B617" s="103"/>
      <c r="C617" s="8"/>
      <c r="E617" s="29"/>
      <c r="F617" s="47"/>
      <c r="J617" s="47"/>
      <c r="K617" s="47"/>
      <c r="L617" s="66"/>
      <c r="M617" s="66"/>
      <c r="N617" s="76"/>
      <c r="O617" s="115"/>
      <c r="P617" s="116"/>
      <c r="Q617" s="66"/>
      <c r="V617" s="1"/>
    </row>
    <row r="618" spans="1:22" ht="15.75" customHeight="1">
      <c r="A618" s="1"/>
      <c r="B618" s="103"/>
      <c r="C618" s="8"/>
      <c r="E618" s="29"/>
      <c r="F618" s="47"/>
      <c r="J618" s="47"/>
      <c r="K618" s="47"/>
      <c r="L618" s="66"/>
      <c r="M618" s="66"/>
      <c r="N618" s="76"/>
      <c r="O618" s="115"/>
      <c r="P618" s="116"/>
      <c r="Q618" s="66"/>
      <c r="V618" s="1"/>
    </row>
    <row r="619" spans="1:22" ht="15.75" customHeight="1">
      <c r="A619" s="1"/>
      <c r="B619" s="103"/>
      <c r="C619" s="8"/>
      <c r="E619" s="29"/>
      <c r="F619" s="47"/>
      <c r="J619" s="47"/>
      <c r="K619" s="47"/>
      <c r="L619" s="66"/>
      <c r="M619" s="66"/>
      <c r="N619" s="76"/>
      <c r="O619" s="115"/>
      <c r="P619" s="116"/>
      <c r="Q619" s="66"/>
      <c r="V619" s="1"/>
    </row>
    <row r="620" spans="1:22" ht="15.75" customHeight="1">
      <c r="A620" s="1"/>
      <c r="B620" s="103"/>
      <c r="C620" s="8"/>
      <c r="E620" s="29"/>
      <c r="F620" s="47"/>
      <c r="J620" s="47"/>
      <c r="K620" s="47"/>
      <c r="L620" s="66"/>
      <c r="M620" s="66"/>
      <c r="N620" s="76"/>
      <c r="O620" s="115"/>
      <c r="P620" s="116"/>
      <c r="Q620" s="66"/>
      <c r="V620" s="1"/>
    </row>
    <row r="621" spans="1:22" ht="15.75" customHeight="1">
      <c r="A621" s="1"/>
      <c r="B621" s="103"/>
      <c r="C621" s="8"/>
      <c r="E621" s="29"/>
      <c r="F621" s="47"/>
      <c r="J621" s="47"/>
      <c r="K621" s="47"/>
      <c r="L621" s="66"/>
      <c r="M621" s="66"/>
      <c r="N621" s="76"/>
      <c r="O621" s="115"/>
      <c r="P621" s="116"/>
      <c r="Q621" s="66"/>
      <c r="V621" s="1"/>
    </row>
    <row r="622" spans="1:22" ht="15.75" customHeight="1">
      <c r="A622" s="1"/>
      <c r="B622" s="103"/>
      <c r="C622" s="8"/>
      <c r="E622" s="29"/>
      <c r="F622" s="47"/>
      <c r="J622" s="47"/>
      <c r="K622" s="47"/>
      <c r="L622" s="66"/>
      <c r="M622" s="66"/>
      <c r="N622" s="76"/>
      <c r="O622" s="115"/>
      <c r="P622" s="116"/>
      <c r="Q622" s="66"/>
      <c r="V622" s="1"/>
    </row>
    <row r="623" spans="1:22" ht="15.75" customHeight="1">
      <c r="A623" s="1"/>
      <c r="B623" s="103"/>
      <c r="C623" s="8"/>
      <c r="E623" s="29"/>
      <c r="F623" s="47"/>
      <c r="J623" s="47"/>
      <c r="K623" s="47"/>
      <c r="L623" s="66"/>
      <c r="M623" s="66"/>
      <c r="N623" s="76"/>
      <c r="O623" s="115"/>
      <c r="P623" s="116"/>
      <c r="Q623" s="66"/>
      <c r="V623" s="1"/>
    </row>
    <row r="624" spans="1:22" ht="15.75" customHeight="1">
      <c r="A624" s="1"/>
      <c r="B624" s="103"/>
      <c r="C624" s="8"/>
      <c r="E624" s="29"/>
      <c r="F624" s="47"/>
      <c r="J624" s="47"/>
      <c r="K624" s="47"/>
      <c r="L624" s="66"/>
      <c r="M624" s="66"/>
      <c r="N624" s="76"/>
      <c r="O624" s="115"/>
      <c r="P624" s="116"/>
      <c r="Q624" s="66"/>
      <c r="V624" s="1"/>
    </row>
    <row r="625" spans="1:22" ht="15.75" customHeight="1">
      <c r="A625" s="1"/>
      <c r="B625" s="103"/>
      <c r="C625" s="8"/>
      <c r="E625" s="29"/>
      <c r="F625" s="47"/>
      <c r="J625" s="47"/>
      <c r="K625" s="47"/>
      <c r="L625" s="66"/>
      <c r="M625" s="66"/>
      <c r="N625" s="76"/>
      <c r="O625" s="115"/>
      <c r="P625" s="116"/>
      <c r="Q625" s="66"/>
      <c r="V625" s="1"/>
    </row>
    <row r="626" spans="1:22" ht="15.75" customHeight="1">
      <c r="A626" s="1"/>
      <c r="B626" s="103"/>
      <c r="C626" s="8"/>
      <c r="E626" s="29"/>
      <c r="F626" s="47"/>
      <c r="J626" s="47"/>
      <c r="K626" s="47"/>
      <c r="L626" s="66"/>
      <c r="M626" s="66"/>
      <c r="N626" s="76"/>
      <c r="O626" s="115"/>
      <c r="P626" s="116"/>
      <c r="Q626" s="66"/>
      <c r="V626" s="1"/>
    </row>
    <row r="627" spans="1:22" ht="15.75" customHeight="1">
      <c r="A627" s="1"/>
      <c r="B627" s="103"/>
      <c r="C627" s="8"/>
      <c r="E627" s="29"/>
      <c r="F627" s="47"/>
      <c r="J627" s="47"/>
      <c r="K627" s="47"/>
      <c r="L627" s="66"/>
      <c r="M627" s="66"/>
      <c r="N627" s="76"/>
      <c r="O627" s="115"/>
      <c r="P627" s="116"/>
      <c r="Q627" s="66"/>
      <c r="V627" s="1"/>
    </row>
    <row r="628" spans="1:22" ht="15.75" customHeight="1">
      <c r="A628" s="1"/>
      <c r="B628" s="103"/>
      <c r="C628" s="8"/>
      <c r="E628" s="29"/>
      <c r="F628" s="47"/>
      <c r="J628" s="47"/>
      <c r="K628" s="47"/>
      <c r="L628" s="66"/>
      <c r="M628" s="66"/>
      <c r="N628" s="76"/>
      <c r="O628" s="115"/>
      <c r="P628" s="116"/>
      <c r="Q628" s="66"/>
      <c r="V628" s="1"/>
    </row>
    <row r="629" spans="1:22" ht="15.75" customHeight="1">
      <c r="A629" s="1"/>
      <c r="B629" s="103"/>
      <c r="C629" s="8"/>
      <c r="E629" s="29"/>
      <c r="F629" s="47"/>
      <c r="J629" s="47"/>
      <c r="K629" s="47"/>
      <c r="L629" s="66"/>
      <c r="M629" s="66"/>
      <c r="N629" s="76"/>
      <c r="O629" s="115"/>
      <c r="P629" s="116"/>
      <c r="Q629" s="66"/>
      <c r="V629" s="1"/>
    </row>
    <row r="630" spans="1:22" ht="15.75" customHeight="1">
      <c r="A630" s="1"/>
      <c r="B630" s="103"/>
      <c r="C630" s="8"/>
      <c r="E630" s="29"/>
      <c r="F630" s="47"/>
      <c r="J630" s="47"/>
      <c r="K630" s="47"/>
      <c r="L630" s="66"/>
      <c r="M630" s="66"/>
      <c r="N630" s="76"/>
      <c r="O630" s="115"/>
      <c r="P630" s="116"/>
      <c r="Q630" s="66"/>
      <c r="V630" s="1"/>
    </row>
    <row r="631" spans="1:22" ht="15.75" customHeight="1">
      <c r="A631" s="1"/>
      <c r="B631" s="103"/>
      <c r="C631" s="8"/>
      <c r="E631" s="29"/>
      <c r="F631" s="47"/>
      <c r="J631" s="47"/>
      <c r="K631" s="47"/>
      <c r="L631" s="66"/>
      <c r="M631" s="66"/>
      <c r="N631" s="76"/>
      <c r="O631" s="115"/>
      <c r="P631" s="116"/>
      <c r="Q631" s="66"/>
      <c r="V631" s="1"/>
    </row>
    <row r="632" spans="1:22" ht="15.75" customHeight="1">
      <c r="A632" s="1"/>
      <c r="B632" s="103"/>
      <c r="C632" s="8"/>
      <c r="E632" s="29"/>
      <c r="F632" s="47"/>
      <c r="J632" s="47"/>
      <c r="K632" s="47"/>
      <c r="L632" s="66"/>
      <c r="M632" s="66"/>
      <c r="N632" s="76"/>
      <c r="O632" s="115"/>
      <c r="P632" s="116"/>
      <c r="Q632" s="66"/>
      <c r="V632" s="1"/>
    </row>
    <row r="633" spans="1:22" ht="15.75" customHeight="1">
      <c r="A633" s="1"/>
      <c r="B633" s="103"/>
      <c r="C633" s="8"/>
      <c r="E633" s="29"/>
      <c r="F633" s="47"/>
      <c r="J633" s="47"/>
      <c r="K633" s="47"/>
      <c r="L633" s="66"/>
      <c r="M633" s="66"/>
      <c r="N633" s="76"/>
      <c r="O633" s="115"/>
      <c r="P633" s="116"/>
      <c r="Q633" s="66"/>
      <c r="V633" s="1"/>
    </row>
    <row r="634" spans="1:22" ht="15.75" customHeight="1">
      <c r="A634" s="1"/>
      <c r="B634" s="103"/>
      <c r="C634" s="8"/>
      <c r="E634" s="29"/>
      <c r="F634" s="47"/>
      <c r="J634" s="47"/>
      <c r="K634" s="47"/>
      <c r="L634" s="66"/>
      <c r="M634" s="66"/>
      <c r="N634" s="76"/>
      <c r="O634" s="115"/>
      <c r="P634" s="116"/>
      <c r="Q634" s="66"/>
      <c r="V634" s="1"/>
    </row>
    <row r="635" spans="1:22" ht="15.75" customHeight="1">
      <c r="A635" s="1"/>
      <c r="B635" s="103"/>
      <c r="C635" s="8"/>
      <c r="E635" s="29"/>
      <c r="F635" s="47"/>
      <c r="J635" s="47"/>
      <c r="K635" s="47"/>
      <c r="L635" s="66"/>
      <c r="M635" s="66"/>
      <c r="N635" s="76"/>
      <c r="O635" s="115"/>
      <c r="P635" s="116"/>
      <c r="Q635" s="66"/>
      <c r="V635" s="1"/>
    </row>
    <row r="636" spans="1:22" ht="15.75" customHeight="1">
      <c r="A636" s="1"/>
      <c r="B636" s="103"/>
      <c r="C636" s="8"/>
      <c r="E636" s="29"/>
      <c r="F636" s="47"/>
      <c r="J636" s="47"/>
      <c r="K636" s="47"/>
      <c r="L636" s="66"/>
      <c r="M636" s="66"/>
      <c r="N636" s="76"/>
      <c r="O636" s="115"/>
      <c r="P636" s="116"/>
      <c r="Q636" s="66"/>
      <c r="V636" s="1"/>
    </row>
    <row r="637" spans="1:22" ht="15.75" customHeight="1">
      <c r="A637" s="1"/>
      <c r="B637" s="103"/>
      <c r="C637" s="8"/>
      <c r="E637" s="29"/>
      <c r="F637" s="47"/>
      <c r="J637" s="47"/>
      <c r="K637" s="47"/>
      <c r="L637" s="66"/>
      <c r="M637" s="66"/>
      <c r="N637" s="76"/>
      <c r="O637" s="115"/>
      <c r="P637" s="116"/>
      <c r="Q637" s="66"/>
      <c r="V637" s="1"/>
    </row>
    <row r="638" spans="1:22" ht="15.75" customHeight="1">
      <c r="A638" s="1"/>
      <c r="B638" s="103"/>
      <c r="C638" s="8"/>
      <c r="E638" s="29"/>
      <c r="F638" s="47"/>
      <c r="J638" s="47"/>
      <c r="K638" s="47"/>
      <c r="L638" s="66"/>
      <c r="M638" s="66"/>
      <c r="N638" s="76"/>
      <c r="O638" s="115"/>
      <c r="P638" s="116"/>
      <c r="Q638" s="66"/>
      <c r="V638" s="1"/>
    </row>
    <row r="639" spans="1:22" ht="15.75" customHeight="1">
      <c r="A639" s="1"/>
      <c r="B639" s="103"/>
      <c r="C639" s="8"/>
      <c r="E639" s="29"/>
      <c r="F639" s="47"/>
      <c r="J639" s="47"/>
      <c r="K639" s="47"/>
      <c r="L639" s="66"/>
      <c r="M639" s="66"/>
      <c r="N639" s="76"/>
      <c r="O639" s="115"/>
      <c r="P639" s="116"/>
      <c r="Q639" s="66"/>
      <c r="V639" s="1"/>
    </row>
    <row r="640" spans="1:22" ht="15.75" customHeight="1">
      <c r="A640" s="1"/>
      <c r="B640" s="103"/>
      <c r="C640" s="8"/>
      <c r="E640" s="29"/>
      <c r="F640" s="47"/>
      <c r="J640" s="47"/>
      <c r="K640" s="47"/>
      <c r="L640" s="66"/>
      <c r="M640" s="66"/>
      <c r="N640" s="76"/>
      <c r="O640" s="115"/>
      <c r="P640" s="116"/>
      <c r="Q640" s="66"/>
      <c r="V640" s="1"/>
    </row>
    <row r="641" spans="1:22" ht="15.75" customHeight="1">
      <c r="A641" s="1"/>
      <c r="B641" s="103"/>
      <c r="C641" s="8"/>
      <c r="E641" s="29"/>
      <c r="F641" s="47"/>
      <c r="J641" s="47"/>
      <c r="K641" s="47"/>
      <c r="L641" s="66"/>
      <c r="M641" s="66"/>
      <c r="N641" s="76"/>
      <c r="O641" s="115"/>
      <c r="P641" s="116"/>
      <c r="Q641" s="66"/>
      <c r="V641" s="1"/>
    </row>
    <row r="642" spans="1:22" ht="15.75" customHeight="1">
      <c r="A642" s="1"/>
      <c r="B642" s="103"/>
      <c r="C642" s="8"/>
      <c r="E642" s="29"/>
      <c r="F642" s="47"/>
      <c r="J642" s="47"/>
      <c r="K642" s="47"/>
      <c r="L642" s="66"/>
      <c r="M642" s="66"/>
      <c r="N642" s="76"/>
      <c r="O642" s="115"/>
      <c r="P642" s="116"/>
      <c r="Q642" s="66"/>
      <c r="V642" s="1"/>
    </row>
    <row r="643" spans="1:22" ht="15.75" customHeight="1">
      <c r="A643" s="1"/>
      <c r="B643" s="103"/>
      <c r="C643" s="8"/>
      <c r="E643" s="29"/>
      <c r="F643" s="47"/>
      <c r="J643" s="47"/>
      <c r="K643" s="47"/>
      <c r="L643" s="66"/>
      <c r="M643" s="66"/>
      <c r="N643" s="76"/>
      <c r="O643" s="115"/>
      <c r="P643" s="116"/>
      <c r="Q643" s="66"/>
      <c r="V643" s="1"/>
    </row>
    <row r="644" spans="1:22" ht="15.75" customHeight="1">
      <c r="A644" s="1"/>
      <c r="B644" s="103"/>
      <c r="C644" s="8"/>
      <c r="E644" s="29"/>
      <c r="F644" s="47"/>
      <c r="J644" s="47"/>
      <c r="K644" s="47"/>
      <c r="L644" s="66"/>
      <c r="M644" s="66"/>
      <c r="N644" s="76"/>
      <c r="O644" s="115"/>
      <c r="P644" s="116"/>
      <c r="Q644" s="66"/>
      <c r="V644" s="1"/>
    </row>
    <row r="645" spans="1:22" ht="15.75" customHeight="1">
      <c r="A645" s="1"/>
      <c r="B645" s="103"/>
      <c r="C645" s="8"/>
      <c r="E645" s="29"/>
      <c r="F645" s="47"/>
      <c r="J645" s="47"/>
      <c r="K645" s="47"/>
      <c r="L645" s="66"/>
      <c r="M645" s="66"/>
      <c r="N645" s="76"/>
      <c r="O645" s="115"/>
      <c r="P645" s="116"/>
      <c r="Q645" s="66"/>
      <c r="V645" s="1"/>
    </row>
    <row r="646" spans="1:22" ht="15.75" customHeight="1">
      <c r="A646" s="1"/>
      <c r="B646" s="103"/>
      <c r="C646" s="8"/>
      <c r="E646" s="29"/>
      <c r="F646" s="47"/>
      <c r="J646" s="47"/>
      <c r="K646" s="47"/>
      <c r="L646" s="66"/>
      <c r="M646" s="66"/>
      <c r="N646" s="76"/>
      <c r="O646" s="115"/>
      <c r="P646" s="116"/>
      <c r="Q646" s="66"/>
      <c r="V646" s="1"/>
    </row>
    <row r="647" spans="1:22" ht="15.75" customHeight="1">
      <c r="A647" s="1"/>
      <c r="B647" s="103"/>
      <c r="C647" s="8"/>
      <c r="E647" s="29"/>
      <c r="F647" s="47"/>
      <c r="J647" s="47"/>
      <c r="K647" s="47"/>
      <c r="L647" s="66"/>
      <c r="M647" s="66"/>
      <c r="N647" s="76"/>
      <c r="O647" s="115"/>
      <c r="P647" s="116"/>
      <c r="Q647" s="66"/>
      <c r="V647" s="1"/>
    </row>
    <row r="648" spans="1:22" ht="15.75" customHeight="1">
      <c r="A648" s="1"/>
      <c r="B648" s="103"/>
      <c r="C648" s="8"/>
      <c r="E648" s="29"/>
      <c r="F648" s="47"/>
      <c r="J648" s="47"/>
      <c r="K648" s="47"/>
      <c r="L648" s="66"/>
      <c r="M648" s="66"/>
      <c r="N648" s="76"/>
      <c r="O648" s="115"/>
      <c r="P648" s="116"/>
      <c r="Q648" s="66"/>
      <c r="V648" s="1"/>
    </row>
    <row r="649" spans="1:22" ht="15.75" customHeight="1">
      <c r="A649" s="1"/>
      <c r="B649" s="103"/>
      <c r="C649" s="8"/>
      <c r="E649" s="29"/>
      <c r="F649" s="47"/>
      <c r="J649" s="47"/>
      <c r="K649" s="47"/>
      <c r="L649" s="66"/>
      <c r="M649" s="66"/>
      <c r="N649" s="76"/>
      <c r="O649" s="115"/>
      <c r="P649" s="116"/>
      <c r="Q649" s="66"/>
      <c r="V649" s="1"/>
    </row>
    <row r="650" spans="1:22" ht="15.75" customHeight="1">
      <c r="A650" s="1"/>
      <c r="B650" s="103"/>
      <c r="C650" s="8"/>
      <c r="E650" s="29"/>
      <c r="F650" s="47"/>
      <c r="J650" s="47"/>
      <c r="K650" s="47"/>
      <c r="L650" s="66"/>
      <c r="M650" s="66"/>
      <c r="N650" s="76"/>
      <c r="O650" s="115"/>
      <c r="P650" s="116"/>
      <c r="Q650" s="66"/>
      <c r="V650" s="1"/>
    </row>
    <row r="651" spans="1:22" ht="15.75" customHeight="1">
      <c r="A651" s="1"/>
      <c r="B651" s="103"/>
      <c r="C651" s="8"/>
      <c r="E651" s="29"/>
      <c r="F651" s="47"/>
      <c r="J651" s="47"/>
      <c r="K651" s="47"/>
      <c r="L651" s="66"/>
      <c r="M651" s="66"/>
      <c r="N651" s="76"/>
      <c r="O651" s="115"/>
      <c r="P651" s="116"/>
      <c r="Q651" s="66"/>
      <c r="V651" s="1"/>
    </row>
    <row r="652" spans="1:22" ht="15.75" customHeight="1">
      <c r="A652" s="1"/>
      <c r="B652" s="103"/>
      <c r="C652" s="8"/>
      <c r="E652" s="29"/>
      <c r="F652" s="47"/>
      <c r="J652" s="47"/>
      <c r="K652" s="47"/>
      <c r="L652" s="66"/>
      <c r="M652" s="66"/>
      <c r="N652" s="76"/>
      <c r="O652" s="115"/>
      <c r="P652" s="116"/>
      <c r="Q652" s="66"/>
      <c r="V652" s="1"/>
    </row>
    <row r="653" spans="1:22" ht="15.75" customHeight="1">
      <c r="A653" s="1"/>
      <c r="B653" s="103"/>
      <c r="C653" s="8"/>
      <c r="E653" s="29"/>
      <c r="F653" s="47"/>
      <c r="J653" s="47"/>
      <c r="K653" s="47"/>
      <c r="L653" s="66"/>
      <c r="M653" s="66"/>
      <c r="N653" s="76"/>
      <c r="O653" s="115"/>
      <c r="P653" s="116"/>
      <c r="Q653" s="66"/>
      <c r="V653" s="1"/>
    </row>
    <row r="654" spans="1:22" ht="15.75" customHeight="1">
      <c r="A654" s="1"/>
      <c r="B654" s="103"/>
      <c r="C654" s="8"/>
      <c r="E654" s="29"/>
      <c r="F654" s="47"/>
      <c r="J654" s="47"/>
      <c r="K654" s="47"/>
      <c r="L654" s="66"/>
      <c r="M654" s="66"/>
      <c r="N654" s="76"/>
      <c r="O654" s="115"/>
      <c r="P654" s="116"/>
      <c r="Q654" s="66"/>
      <c r="V654" s="1"/>
    </row>
    <row r="655" spans="1:22" ht="15.75" customHeight="1">
      <c r="A655" s="1"/>
      <c r="B655" s="103"/>
      <c r="C655" s="8"/>
      <c r="E655" s="29"/>
      <c r="F655" s="47"/>
      <c r="J655" s="47"/>
      <c r="K655" s="47"/>
      <c r="L655" s="66"/>
      <c r="M655" s="66"/>
      <c r="N655" s="76"/>
      <c r="O655" s="115"/>
      <c r="P655" s="116"/>
      <c r="Q655" s="66"/>
      <c r="V655" s="1"/>
    </row>
    <row r="656" spans="1:22" ht="15.75" customHeight="1">
      <c r="A656" s="1"/>
      <c r="B656" s="103"/>
      <c r="C656" s="8"/>
      <c r="E656" s="29"/>
      <c r="F656" s="47"/>
      <c r="J656" s="47"/>
      <c r="K656" s="47"/>
      <c r="L656" s="66"/>
      <c r="M656" s="66"/>
      <c r="N656" s="76"/>
      <c r="O656" s="115"/>
      <c r="P656" s="116"/>
      <c r="Q656" s="66"/>
      <c r="V656" s="1"/>
    </row>
    <row r="657" spans="1:22" ht="15.75" customHeight="1">
      <c r="A657" s="1"/>
      <c r="B657" s="103"/>
      <c r="C657" s="8"/>
      <c r="E657" s="29"/>
      <c r="F657" s="47"/>
      <c r="J657" s="47"/>
      <c r="K657" s="47"/>
      <c r="L657" s="66"/>
      <c r="M657" s="66"/>
      <c r="N657" s="76"/>
      <c r="O657" s="115"/>
      <c r="P657" s="116"/>
      <c r="Q657" s="66"/>
      <c r="V657" s="1"/>
    </row>
    <row r="658" spans="1:22" ht="15.75" customHeight="1">
      <c r="A658" s="1"/>
      <c r="B658" s="103"/>
      <c r="C658" s="8"/>
      <c r="E658" s="29"/>
      <c r="F658" s="47"/>
      <c r="J658" s="47"/>
      <c r="K658" s="47"/>
      <c r="L658" s="66"/>
      <c r="M658" s="66"/>
      <c r="N658" s="76"/>
      <c r="O658" s="115"/>
      <c r="P658" s="116"/>
      <c r="Q658" s="66"/>
      <c r="V658" s="1"/>
    </row>
    <row r="659" spans="1:22" ht="15.75" customHeight="1">
      <c r="A659" s="1"/>
      <c r="B659" s="103"/>
      <c r="C659" s="8"/>
      <c r="E659" s="29"/>
      <c r="F659" s="47"/>
      <c r="J659" s="47"/>
      <c r="K659" s="47"/>
      <c r="L659" s="66"/>
      <c r="M659" s="66"/>
      <c r="N659" s="76"/>
      <c r="O659" s="115"/>
      <c r="P659" s="116"/>
      <c r="Q659" s="66"/>
      <c r="V659" s="1"/>
    </row>
    <row r="660" spans="1:22" ht="15.75" customHeight="1">
      <c r="A660" s="1"/>
      <c r="B660" s="103"/>
      <c r="C660" s="8"/>
      <c r="E660" s="29"/>
      <c r="F660" s="47"/>
      <c r="J660" s="47"/>
      <c r="K660" s="47"/>
      <c r="L660" s="66"/>
      <c r="M660" s="66"/>
      <c r="N660" s="76"/>
      <c r="O660" s="115"/>
      <c r="P660" s="116"/>
      <c r="Q660" s="66"/>
      <c r="V660" s="1"/>
    </row>
    <row r="661" spans="1:22" ht="15.75" customHeight="1">
      <c r="A661" s="1"/>
      <c r="B661" s="103"/>
      <c r="C661" s="8"/>
      <c r="E661" s="29"/>
      <c r="F661" s="47"/>
      <c r="J661" s="47"/>
      <c r="K661" s="47"/>
      <c r="L661" s="66"/>
      <c r="M661" s="66"/>
      <c r="N661" s="76"/>
      <c r="O661" s="115"/>
      <c r="P661" s="116"/>
      <c r="Q661" s="66"/>
      <c r="V661" s="1"/>
    </row>
    <row r="662" spans="1:22" ht="15.75" customHeight="1">
      <c r="A662" s="1"/>
      <c r="B662" s="103"/>
      <c r="C662" s="8"/>
      <c r="E662" s="29"/>
      <c r="F662" s="47"/>
      <c r="J662" s="47"/>
      <c r="K662" s="47"/>
      <c r="L662" s="66"/>
      <c r="M662" s="66"/>
      <c r="N662" s="76"/>
      <c r="O662" s="115"/>
      <c r="P662" s="116"/>
      <c r="Q662" s="66"/>
      <c r="V662" s="1"/>
    </row>
    <row r="663" spans="1:22" ht="15.75" customHeight="1">
      <c r="A663" s="1"/>
      <c r="B663" s="103"/>
      <c r="C663" s="8"/>
      <c r="E663" s="29"/>
      <c r="F663" s="47"/>
      <c r="J663" s="47"/>
      <c r="K663" s="47"/>
      <c r="L663" s="66"/>
      <c r="M663" s="66"/>
      <c r="N663" s="76"/>
      <c r="O663" s="115"/>
      <c r="P663" s="116"/>
      <c r="Q663" s="66"/>
      <c r="V663" s="1"/>
    </row>
    <row r="664" spans="1:22" ht="15.75" customHeight="1">
      <c r="A664" s="1"/>
      <c r="B664" s="103"/>
      <c r="C664" s="8"/>
      <c r="E664" s="29"/>
      <c r="F664" s="47"/>
      <c r="J664" s="47"/>
      <c r="K664" s="47"/>
      <c r="L664" s="66"/>
      <c r="M664" s="66"/>
      <c r="N664" s="76"/>
      <c r="O664" s="115"/>
      <c r="P664" s="116"/>
      <c r="Q664" s="66"/>
      <c r="V664" s="1"/>
    </row>
    <row r="665" spans="1:22" ht="15.75" customHeight="1">
      <c r="A665" s="1"/>
      <c r="B665" s="103"/>
      <c r="C665" s="8"/>
      <c r="E665" s="29"/>
      <c r="F665" s="47"/>
      <c r="J665" s="47"/>
      <c r="K665" s="47"/>
      <c r="L665" s="66"/>
      <c r="M665" s="66"/>
      <c r="N665" s="76"/>
      <c r="O665" s="115"/>
      <c r="P665" s="116"/>
      <c r="Q665" s="66"/>
      <c r="V665" s="1"/>
    </row>
    <row r="666" spans="1:22" ht="15.75" customHeight="1">
      <c r="A666" s="1"/>
      <c r="B666" s="103"/>
      <c r="C666" s="8"/>
      <c r="E666" s="29"/>
      <c r="F666" s="47"/>
      <c r="J666" s="47"/>
      <c r="K666" s="47"/>
      <c r="L666" s="66"/>
      <c r="M666" s="66"/>
      <c r="N666" s="76"/>
      <c r="O666" s="115"/>
      <c r="P666" s="116"/>
      <c r="Q666" s="66"/>
      <c r="V666" s="1"/>
    </row>
    <row r="667" spans="1:22" ht="15.75" customHeight="1">
      <c r="A667" s="1"/>
      <c r="B667" s="103"/>
      <c r="C667" s="8"/>
      <c r="E667" s="29"/>
      <c r="F667" s="47"/>
      <c r="J667" s="47"/>
      <c r="K667" s="47"/>
      <c r="L667" s="66"/>
      <c r="M667" s="66"/>
      <c r="N667" s="76"/>
      <c r="O667" s="115"/>
      <c r="P667" s="116"/>
      <c r="Q667" s="66"/>
      <c r="V667" s="1"/>
    </row>
    <row r="668" spans="1:22" ht="15.75" customHeight="1">
      <c r="A668" s="1"/>
      <c r="B668" s="103"/>
      <c r="C668" s="8"/>
      <c r="E668" s="29"/>
      <c r="F668" s="47"/>
      <c r="J668" s="47"/>
      <c r="K668" s="47"/>
      <c r="L668" s="66"/>
      <c r="M668" s="66"/>
      <c r="N668" s="76"/>
      <c r="O668" s="115"/>
      <c r="P668" s="116"/>
      <c r="Q668" s="66"/>
      <c r="V668" s="1"/>
    </row>
    <row r="669" spans="1:22" ht="15.75" customHeight="1">
      <c r="A669" s="1"/>
      <c r="B669" s="103"/>
      <c r="C669" s="8"/>
      <c r="E669" s="29"/>
      <c r="F669" s="47"/>
      <c r="J669" s="47"/>
      <c r="K669" s="47"/>
      <c r="L669" s="66"/>
      <c r="M669" s="66"/>
      <c r="N669" s="76"/>
      <c r="O669" s="115"/>
      <c r="P669" s="116"/>
      <c r="Q669" s="66"/>
      <c r="V669" s="1"/>
    </row>
    <row r="670" spans="1:22" ht="15.75" customHeight="1">
      <c r="A670" s="1"/>
      <c r="B670" s="103"/>
      <c r="C670" s="8"/>
      <c r="E670" s="29"/>
      <c r="F670" s="47"/>
      <c r="J670" s="47"/>
      <c r="K670" s="47"/>
      <c r="L670" s="66"/>
      <c r="M670" s="66"/>
      <c r="N670" s="76"/>
      <c r="O670" s="115"/>
      <c r="P670" s="116"/>
      <c r="Q670" s="66"/>
      <c r="V670" s="1"/>
    </row>
    <row r="671" spans="1:22" ht="15.75" customHeight="1">
      <c r="A671" s="1"/>
      <c r="B671" s="103"/>
      <c r="C671" s="8"/>
      <c r="E671" s="29"/>
      <c r="F671" s="47"/>
      <c r="J671" s="47"/>
      <c r="K671" s="47"/>
      <c r="L671" s="66"/>
      <c r="M671" s="66"/>
      <c r="N671" s="76"/>
      <c r="O671" s="115"/>
      <c r="P671" s="116"/>
      <c r="Q671" s="66"/>
      <c r="V671" s="1"/>
    </row>
    <row r="672" spans="1:22" ht="15.75" customHeight="1">
      <c r="A672" s="1"/>
      <c r="B672" s="103"/>
      <c r="C672" s="8"/>
      <c r="E672" s="29"/>
      <c r="F672" s="47"/>
      <c r="J672" s="47"/>
      <c r="K672" s="47"/>
      <c r="L672" s="66"/>
      <c r="M672" s="66"/>
      <c r="N672" s="76"/>
      <c r="O672" s="115"/>
      <c r="P672" s="116"/>
      <c r="Q672" s="66"/>
      <c r="V672" s="1"/>
    </row>
    <row r="673" spans="1:22" ht="15.75" customHeight="1">
      <c r="A673" s="1"/>
      <c r="B673" s="103"/>
      <c r="C673" s="8"/>
      <c r="E673" s="29"/>
      <c r="F673" s="47"/>
      <c r="J673" s="47"/>
      <c r="K673" s="47"/>
      <c r="L673" s="66"/>
      <c r="M673" s="66"/>
      <c r="N673" s="76"/>
      <c r="O673" s="115"/>
      <c r="P673" s="116"/>
      <c r="Q673" s="66"/>
      <c r="V673" s="1"/>
    </row>
    <row r="674" spans="1:22" ht="15.75" customHeight="1">
      <c r="A674" s="1"/>
      <c r="B674" s="103"/>
      <c r="C674" s="8"/>
      <c r="E674" s="29"/>
      <c r="F674" s="47"/>
      <c r="J674" s="47"/>
      <c r="K674" s="47"/>
      <c r="L674" s="66"/>
      <c r="M674" s="66"/>
      <c r="N674" s="76"/>
      <c r="O674" s="115"/>
      <c r="P674" s="116"/>
      <c r="Q674" s="66"/>
      <c r="V674" s="1"/>
    </row>
    <row r="675" spans="1:22" ht="15.75" customHeight="1">
      <c r="A675" s="1"/>
      <c r="B675" s="103"/>
      <c r="C675" s="8"/>
      <c r="E675" s="29"/>
      <c r="F675" s="47"/>
      <c r="J675" s="47"/>
      <c r="K675" s="47"/>
      <c r="L675" s="66"/>
      <c r="M675" s="66"/>
      <c r="N675" s="76"/>
      <c r="O675" s="115"/>
      <c r="P675" s="116"/>
      <c r="Q675" s="66"/>
      <c r="V675" s="1"/>
    </row>
    <row r="676" spans="1:22" ht="15.75" customHeight="1">
      <c r="A676" s="1"/>
      <c r="B676" s="103"/>
      <c r="C676" s="8"/>
      <c r="E676" s="29"/>
      <c r="F676" s="47"/>
      <c r="J676" s="47"/>
      <c r="K676" s="47"/>
      <c r="L676" s="66"/>
      <c r="M676" s="66"/>
      <c r="N676" s="76"/>
      <c r="O676" s="115"/>
      <c r="P676" s="116"/>
      <c r="Q676" s="66"/>
      <c r="V676" s="1"/>
    </row>
    <row r="677" spans="1:22" ht="15.75" customHeight="1">
      <c r="A677" s="1"/>
      <c r="B677" s="103"/>
      <c r="C677" s="8"/>
      <c r="E677" s="29"/>
      <c r="F677" s="47"/>
      <c r="J677" s="47"/>
      <c r="K677" s="47"/>
      <c r="L677" s="66"/>
      <c r="M677" s="66"/>
      <c r="N677" s="76"/>
      <c r="O677" s="115"/>
      <c r="P677" s="116"/>
      <c r="Q677" s="66"/>
      <c r="V677" s="1"/>
    </row>
    <row r="678" spans="1:22" ht="15.75" customHeight="1">
      <c r="A678" s="1"/>
      <c r="B678" s="103"/>
      <c r="C678" s="8"/>
      <c r="E678" s="29"/>
      <c r="F678" s="47"/>
      <c r="J678" s="47"/>
      <c r="K678" s="47"/>
      <c r="L678" s="66"/>
      <c r="M678" s="66"/>
      <c r="N678" s="76"/>
      <c r="O678" s="115"/>
      <c r="P678" s="116"/>
      <c r="Q678" s="66"/>
      <c r="V678" s="1"/>
    </row>
    <row r="679" spans="1:22" ht="15.75" customHeight="1">
      <c r="A679" s="1"/>
      <c r="B679" s="103"/>
      <c r="C679" s="8"/>
      <c r="E679" s="29"/>
      <c r="F679" s="47"/>
      <c r="J679" s="47"/>
      <c r="K679" s="47"/>
      <c r="L679" s="66"/>
      <c r="M679" s="66"/>
      <c r="N679" s="76"/>
      <c r="O679" s="115"/>
      <c r="P679" s="116"/>
      <c r="Q679" s="66"/>
      <c r="V679" s="1"/>
    </row>
    <row r="680" spans="1:22" ht="15.75" customHeight="1">
      <c r="A680" s="1"/>
      <c r="B680" s="103"/>
      <c r="C680" s="8"/>
      <c r="E680" s="29"/>
      <c r="F680" s="47"/>
      <c r="J680" s="47"/>
      <c r="K680" s="47"/>
      <c r="L680" s="66"/>
      <c r="M680" s="66"/>
      <c r="N680" s="76"/>
      <c r="O680" s="115"/>
      <c r="P680" s="116"/>
      <c r="Q680" s="66"/>
      <c r="V680" s="1"/>
    </row>
    <row r="681" spans="1:22" ht="15.75" customHeight="1">
      <c r="A681" s="1"/>
      <c r="B681" s="103"/>
      <c r="C681" s="8"/>
      <c r="E681" s="29"/>
      <c r="F681" s="47"/>
      <c r="J681" s="47"/>
      <c r="K681" s="47"/>
      <c r="L681" s="66"/>
      <c r="M681" s="66"/>
      <c r="N681" s="76"/>
      <c r="O681" s="115"/>
      <c r="P681" s="116"/>
      <c r="Q681" s="66"/>
      <c r="V681" s="1"/>
    </row>
    <row r="682" spans="1:22" ht="15.75" customHeight="1">
      <c r="A682" s="1"/>
      <c r="B682" s="103"/>
      <c r="C682" s="8"/>
      <c r="E682" s="29"/>
      <c r="F682" s="47"/>
      <c r="J682" s="47"/>
      <c r="K682" s="47"/>
      <c r="L682" s="66"/>
      <c r="M682" s="66"/>
      <c r="N682" s="76"/>
      <c r="O682" s="115"/>
      <c r="P682" s="116"/>
      <c r="Q682" s="66"/>
      <c r="V682" s="1"/>
    </row>
    <row r="683" spans="1:22" ht="15.75" customHeight="1">
      <c r="A683" s="1"/>
      <c r="B683" s="103"/>
      <c r="C683" s="8"/>
      <c r="E683" s="29"/>
      <c r="F683" s="47"/>
      <c r="J683" s="47"/>
      <c r="K683" s="47"/>
      <c r="L683" s="66"/>
      <c r="M683" s="66"/>
      <c r="N683" s="76"/>
      <c r="O683" s="115"/>
      <c r="P683" s="116"/>
      <c r="Q683" s="66"/>
      <c r="V683" s="1"/>
    </row>
    <row r="684" spans="1:22" ht="15.75" customHeight="1">
      <c r="A684" s="1"/>
      <c r="B684" s="103"/>
      <c r="C684" s="8"/>
      <c r="E684" s="29"/>
      <c r="F684" s="47"/>
      <c r="J684" s="47"/>
      <c r="K684" s="47"/>
      <c r="L684" s="66"/>
      <c r="M684" s="66"/>
      <c r="N684" s="76"/>
      <c r="O684" s="115"/>
      <c r="P684" s="116"/>
      <c r="Q684" s="66"/>
      <c r="V684" s="1"/>
    </row>
    <row r="685" spans="1:22" ht="15.75" customHeight="1">
      <c r="A685" s="1"/>
      <c r="B685" s="103"/>
      <c r="C685" s="8"/>
      <c r="E685" s="29"/>
      <c r="F685" s="47"/>
      <c r="J685" s="47"/>
      <c r="K685" s="47"/>
      <c r="L685" s="66"/>
      <c r="M685" s="66"/>
      <c r="N685" s="76"/>
      <c r="O685" s="115"/>
      <c r="P685" s="116"/>
      <c r="Q685" s="66"/>
      <c r="V685" s="1"/>
    </row>
    <row r="686" spans="1:22" ht="15.75" customHeight="1">
      <c r="A686" s="1"/>
      <c r="B686" s="103"/>
      <c r="C686" s="8"/>
      <c r="E686" s="29"/>
      <c r="F686" s="47"/>
      <c r="J686" s="47"/>
      <c r="K686" s="47"/>
      <c r="L686" s="66"/>
      <c r="M686" s="66"/>
      <c r="N686" s="76"/>
      <c r="O686" s="115"/>
      <c r="P686" s="116"/>
      <c r="Q686" s="66"/>
      <c r="V686" s="1"/>
    </row>
    <row r="687" spans="1:22" ht="15.75" customHeight="1">
      <c r="A687" s="1"/>
      <c r="B687" s="103"/>
      <c r="C687" s="8"/>
      <c r="E687" s="29"/>
      <c r="F687" s="47"/>
      <c r="J687" s="47"/>
      <c r="K687" s="47"/>
      <c r="L687" s="66"/>
      <c r="M687" s="66"/>
      <c r="N687" s="76"/>
      <c r="O687" s="115"/>
      <c r="P687" s="116"/>
      <c r="Q687" s="66"/>
      <c r="V687" s="1"/>
    </row>
    <row r="688" spans="1:22" ht="15.75" customHeight="1">
      <c r="A688" s="1"/>
      <c r="B688" s="103"/>
      <c r="C688" s="8"/>
      <c r="E688" s="29"/>
      <c r="F688" s="47"/>
      <c r="J688" s="47"/>
      <c r="K688" s="47"/>
      <c r="L688" s="66"/>
      <c r="M688" s="66"/>
      <c r="N688" s="76"/>
      <c r="O688" s="115"/>
      <c r="P688" s="116"/>
      <c r="Q688" s="66"/>
      <c r="V688" s="1"/>
    </row>
    <row r="689" spans="1:22" ht="15.75" customHeight="1">
      <c r="A689" s="1"/>
      <c r="B689" s="103"/>
      <c r="C689" s="8"/>
      <c r="E689" s="29"/>
      <c r="F689" s="47"/>
      <c r="J689" s="47"/>
      <c r="K689" s="47"/>
      <c r="L689" s="66"/>
      <c r="M689" s="66"/>
      <c r="N689" s="76"/>
      <c r="O689" s="115"/>
      <c r="P689" s="116"/>
      <c r="Q689" s="66"/>
      <c r="V689" s="1"/>
    </row>
    <row r="690" spans="1:22" ht="15.75" customHeight="1">
      <c r="A690" s="1"/>
      <c r="B690" s="103"/>
      <c r="C690" s="8"/>
      <c r="E690" s="29"/>
      <c r="F690" s="47"/>
      <c r="J690" s="47"/>
      <c r="K690" s="47"/>
      <c r="L690" s="66"/>
      <c r="M690" s="66"/>
      <c r="N690" s="76"/>
      <c r="O690" s="115"/>
      <c r="P690" s="116"/>
      <c r="Q690" s="66"/>
      <c r="V690" s="1"/>
    </row>
    <row r="691" spans="1:22" ht="15.75" customHeight="1">
      <c r="A691" s="1"/>
      <c r="B691" s="103"/>
      <c r="C691" s="8"/>
      <c r="E691" s="29"/>
      <c r="F691" s="47"/>
      <c r="J691" s="47"/>
      <c r="K691" s="47"/>
      <c r="L691" s="66"/>
      <c r="M691" s="66"/>
      <c r="N691" s="76"/>
      <c r="O691" s="115"/>
      <c r="P691" s="116"/>
      <c r="Q691" s="66"/>
      <c r="V691" s="1"/>
    </row>
    <row r="692" spans="1:22" ht="15.75" customHeight="1">
      <c r="A692" s="1"/>
      <c r="B692" s="103"/>
      <c r="C692" s="8"/>
      <c r="E692" s="29"/>
      <c r="F692" s="47"/>
      <c r="J692" s="47"/>
      <c r="K692" s="47"/>
      <c r="L692" s="66"/>
      <c r="M692" s="66"/>
      <c r="N692" s="76"/>
      <c r="O692" s="115"/>
      <c r="P692" s="116"/>
      <c r="Q692" s="66"/>
      <c r="V692" s="1"/>
    </row>
    <row r="693" spans="1:22" ht="15.75" customHeight="1">
      <c r="A693" s="1"/>
      <c r="B693" s="103"/>
      <c r="C693" s="8"/>
      <c r="E693" s="29"/>
      <c r="F693" s="47"/>
      <c r="J693" s="47"/>
      <c r="K693" s="47"/>
      <c r="L693" s="66"/>
      <c r="M693" s="66"/>
      <c r="N693" s="76"/>
      <c r="O693" s="115"/>
      <c r="P693" s="116"/>
      <c r="Q693" s="66"/>
      <c r="V693" s="1"/>
    </row>
    <row r="694" spans="1:22" ht="15.75" customHeight="1">
      <c r="A694" s="1"/>
      <c r="B694" s="103"/>
      <c r="C694" s="8"/>
      <c r="E694" s="29"/>
      <c r="F694" s="47"/>
      <c r="J694" s="47"/>
      <c r="K694" s="47"/>
      <c r="L694" s="66"/>
      <c r="M694" s="66"/>
      <c r="N694" s="76"/>
      <c r="O694" s="115"/>
      <c r="P694" s="116"/>
      <c r="Q694" s="66"/>
      <c r="V694" s="1"/>
    </row>
    <row r="695" spans="1:22" ht="15.75" customHeight="1">
      <c r="A695" s="1"/>
      <c r="B695" s="103"/>
      <c r="C695" s="8"/>
      <c r="E695" s="29"/>
      <c r="F695" s="47"/>
      <c r="J695" s="47"/>
      <c r="K695" s="47"/>
      <c r="L695" s="66"/>
      <c r="M695" s="66"/>
      <c r="N695" s="76"/>
      <c r="O695" s="115"/>
      <c r="P695" s="116"/>
      <c r="Q695" s="66"/>
      <c r="V695" s="1"/>
    </row>
    <row r="696" spans="1:22" ht="15.75" customHeight="1">
      <c r="A696" s="1"/>
      <c r="B696" s="103"/>
      <c r="C696" s="8"/>
      <c r="E696" s="29"/>
      <c r="F696" s="47"/>
      <c r="J696" s="47"/>
      <c r="K696" s="47"/>
      <c r="L696" s="66"/>
      <c r="M696" s="66"/>
      <c r="N696" s="76"/>
      <c r="O696" s="115"/>
      <c r="P696" s="116"/>
      <c r="Q696" s="66"/>
      <c r="V696" s="1"/>
    </row>
    <row r="697" spans="1:22" ht="15.75" customHeight="1">
      <c r="A697" s="1"/>
      <c r="B697" s="103"/>
      <c r="C697" s="8"/>
      <c r="E697" s="29"/>
      <c r="F697" s="47"/>
      <c r="J697" s="47"/>
      <c r="K697" s="47"/>
      <c r="L697" s="66"/>
      <c r="M697" s="66"/>
      <c r="N697" s="76"/>
      <c r="O697" s="115"/>
      <c r="P697" s="116"/>
      <c r="Q697" s="66"/>
      <c r="V697" s="1"/>
    </row>
    <row r="698" spans="1:22" ht="15.75" customHeight="1">
      <c r="A698" s="1"/>
      <c r="B698" s="103"/>
      <c r="C698" s="8"/>
      <c r="E698" s="29"/>
      <c r="F698" s="47"/>
      <c r="J698" s="47"/>
      <c r="K698" s="47"/>
      <c r="L698" s="66"/>
      <c r="M698" s="66"/>
      <c r="N698" s="76"/>
      <c r="O698" s="115"/>
      <c r="P698" s="116"/>
      <c r="Q698" s="66"/>
      <c r="V698" s="1"/>
    </row>
    <row r="699" spans="1:22" ht="15.75" customHeight="1">
      <c r="A699" s="1"/>
      <c r="B699" s="103"/>
      <c r="C699" s="8"/>
      <c r="E699" s="29"/>
      <c r="F699" s="47"/>
      <c r="J699" s="47"/>
      <c r="K699" s="47"/>
      <c r="L699" s="66"/>
      <c r="M699" s="66"/>
      <c r="N699" s="76"/>
      <c r="O699" s="115"/>
      <c r="P699" s="116"/>
      <c r="Q699" s="66"/>
      <c r="V699" s="1"/>
    </row>
    <row r="700" spans="1:22" ht="15.75" customHeight="1">
      <c r="A700" s="1"/>
      <c r="B700" s="103"/>
      <c r="C700" s="8"/>
      <c r="E700" s="29"/>
      <c r="F700" s="47"/>
      <c r="J700" s="47"/>
      <c r="K700" s="47"/>
      <c r="L700" s="66"/>
      <c r="M700" s="66"/>
      <c r="N700" s="76"/>
      <c r="O700" s="115"/>
      <c r="P700" s="116"/>
      <c r="Q700" s="66"/>
      <c r="V700" s="1"/>
    </row>
    <row r="701" spans="1:22" ht="15.75" customHeight="1">
      <c r="A701" s="1"/>
      <c r="B701" s="103"/>
      <c r="C701" s="8"/>
      <c r="E701" s="29"/>
      <c r="F701" s="47"/>
      <c r="J701" s="47"/>
      <c r="K701" s="47"/>
      <c r="L701" s="66"/>
      <c r="M701" s="66"/>
      <c r="N701" s="76"/>
      <c r="O701" s="115"/>
      <c r="P701" s="116"/>
      <c r="Q701" s="66"/>
      <c r="V701" s="1"/>
    </row>
    <row r="702" spans="1:22" ht="15.75" customHeight="1">
      <c r="A702" s="1"/>
      <c r="B702" s="103"/>
      <c r="C702" s="8"/>
      <c r="E702" s="29"/>
      <c r="F702" s="47"/>
      <c r="J702" s="47"/>
      <c r="K702" s="47"/>
      <c r="L702" s="66"/>
      <c r="M702" s="66"/>
      <c r="N702" s="76"/>
      <c r="O702" s="115"/>
      <c r="P702" s="116"/>
      <c r="Q702" s="66"/>
      <c r="V702" s="1"/>
    </row>
    <row r="703" spans="1:22" ht="15.75" customHeight="1">
      <c r="A703" s="1"/>
      <c r="B703" s="103"/>
      <c r="C703" s="8"/>
      <c r="E703" s="29"/>
      <c r="F703" s="47"/>
      <c r="J703" s="47"/>
      <c r="K703" s="47"/>
      <c r="L703" s="66"/>
      <c r="M703" s="66"/>
      <c r="N703" s="76"/>
      <c r="O703" s="115"/>
      <c r="P703" s="116"/>
      <c r="Q703" s="66"/>
      <c r="V703" s="1"/>
    </row>
    <row r="704" spans="1:22" ht="15.75" customHeight="1">
      <c r="A704" s="1"/>
      <c r="B704" s="103"/>
      <c r="C704" s="8"/>
      <c r="E704" s="29"/>
      <c r="F704" s="47"/>
      <c r="J704" s="47"/>
      <c r="K704" s="47"/>
      <c r="L704" s="66"/>
      <c r="M704" s="66"/>
      <c r="N704" s="76"/>
      <c r="O704" s="115"/>
      <c r="P704" s="116"/>
      <c r="Q704" s="66"/>
      <c r="V704" s="1"/>
    </row>
    <row r="705" spans="1:22" ht="15.75" customHeight="1">
      <c r="A705" s="1"/>
      <c r="B705" s="103"/>
      <c r="C705" s="8"/>
      <c r="E705" s="29"/>
      <c r="F705" s="47"/>
      <c r="J705" s="47"/>
      <c r="K705" s="47"/>
      <c r="L705" s="66"/>
      <c r="M705" s="66"/>
      <c r="N705" s="76"/>
      <c r="O705" s="115"/>
      <c r="P705" s="116"/>
      <c r="Q705" s="66"/>
      <c r="V705" s="1"/>
    </row>
    <row r="706" spans="1:22" ht="15.75" customHeight="1">
      <c r="A706" s="1"/>
      <c r="B706" s="103"/>
      <c r="C706" s="8"/>
      <c r="E706" s="29"/>
      <c r="F706" s="47"/>
      <c r="J706" s="47"/>
      <c r="K706" s="47"/>
      <c r="L706" s="66"/>
      <c r="M706" s="66"/>
      <c r="N706" s="76"/>
      <c r="O706" s="115"/>
      <c r="P706" s="116"/>
      <c r="Q706" s="66"/>
      <c r="V706" s="1"/>
    </row>
    <row r="707" spans="1:22" ht="15.75" customHeight="1">
      <c r="A707" s="1"/>
      <c r="B707" s="103"/>
      <c r="C707" s="8"/>
      <c r="E707" s="29"/>
      <c r="F707" s="47"/>
      <c r="J707" s="47"/>
      <c r="K707" s="47"/>
      <c r="L707" s="66"/>
      <c r="M707" s="66"/>
      <c r="N707" s="76"/>
      <c r="O707" s="115"/>
      <c r="P707" s="116"/>
      <c r="Q707" s="66"/>
      <c r="V707" s="1"/>
    </row>
    <row r="708" spans="1:22" ht="15.75" customHeight="1">
      <c r="A708" s="1"/>
      <c r="B708" s="103"/>
      <c r="C708" s="8"/>
      <c r="E708" s="29"/>
      <c r="F708" s="47"/>
      <c r="J708" s="47"/>
      <c r="K708" s="47"/>
      <c r="L708" s="66"/>
      <c r="M708" s="66"/>
      <c r="N708" s="76"/>
      <c r="O708" s="115"/>
      <c r="P708" s="116"/>
      <c r="Q708" s="66"/>
      <c r="V708" s="1"/>
    </row>
    <row r="709" spans="1:22" ht="15.75" customHeight="1">
      <c r="A709" s="1"/>
      <c r="B709" s="103"/>
      <c r="C709" s="8"/>
      <c r="E709" s="29"/>
      <c r="F709" s="47"/>
      <c r="J709" s="47"/>
      <c r="K709" s="47"/>
      <c r="L709" s="66"/>
      <c r="M709" s="66"/>
      <c r="N709" s="76"/>
      <c r="O709" s="115"/>
      <c r="P709" s="116"/>
      <c r="Q709" s="66"/>
      <c r="V709" s="1"/>
    </row>
    <row r="710" spans="1:22" ht="15.75" customHeight="1">
      <c r="A710" s="1"/>
      <c r="B710" s="103"/>
      <c r="C710" s="8"/>
      <c r="E710" s="29"/>
      <c r="F710" s="47"/>
      <c r="J710" s="47"/>
      <c r="K710" s="47"/>
      <c r="L710" s="66"/>
      <c r="M710" s="66"/>
      <c r="N710" s="76"/>
      <c r="O710" s="115"/>
      <c r="P710" s="116"/>
      <c r="Q710" s="66"/>
      <c r="V710" s="1"/>
    </row>
    <row r="711" spans="1:22" ht="15.75" customHeight="1">
      <c r="A711" s="1"/>
      <c r="B711" s="103"/>
      <c r="C711" s="8"/>
      <c r="E711" s="29"/>
      <c r="F711" s="47"/>
      <c r="J711" s="47"/>
      <c r="K711" s="47"/>
      <c r="L711" s="66"/>
      <c r="M711" s="66"/>
      <c r="N711" s="76"/>
      <c r="O711" s="115"/>
      <c r="P711" s="116"/>
      <c r="Q711" s="66"/>
      <c r="V711" s="1"/>
    </row>
    <row r="712" spans="1:22" ht="15.75" customHeight="1">
      <c r="A712" s="1"/>
      <c r="B712" s="103"/>
      <c r="C712" s="8"/>
      <c r="E712" s="29"/>
      <c r="F712" s="47"/>
      <c r="J712" s="47"/>
      <c r="K712" s="47"/>
      <c r="L712" s="66"/>
      <c r="M712" s="66"/>
      <c r="N712" s="76"/>
      <c r="O712" s="115"/>
      <c r="P712" s="116"/>
      <c r="Q712" s="66"/>
      <c r="V712" s="1"/>
    </row>
    <row r="713" spans="1:22" ht="15.75" customHeight="1">
      <c r="A713" s="1"/>
      <c r="B713" s="103"/>
      <c r="C713" s="8"/>
      <c r="E713" s="29"/>
      <c r="F713" s="47"/>
      <c r="J713" s="47"/>
      <c r="K713" s="47"/>
      <c r="L713" s="66"/>
      <c r="M713" s="66"/>
      <c r="N713" s="76"/>
      <c r="O713" s="115"/>
      <c r="P713" s="116"/>
      <c r="Q713" s="66"/>
      <c r="V713" s="1"/>
    </row>
    <row r="714" spans="1:22" ht="15.75" customHeight="1">
      <c r="A714" s="1"/>
      <c r="B714" s="103"/>
      <c r="C714" s="8"/>
      <c r="E714" s="29"/>
      <c r="F714" s="47"/>
      <c r="J714" s="47"/>
      <c r="K714" s="47"/>
      <c r="L714" s="66"/>
      <c r="M714" s="66"/>
      <c r="N714" s="76"/>
      <c r="O714" s="115"/>
      <c r="P714" s="116"/>
      <c r="Q714" s="66"/>
      <c r="V714" s="1"/>
    </row>
    <row r="715" spans="1:22" ht="15.75" customHeight="1">
      <c r="A715" s="1"/>
      <c r="B715" s="103"/>
      <c r="C715" s="8"/>
      <c r="E715" s="29"/>
      <c r="F715" s="47"/>
      <c r="J715" s="47"/>
      <c r="K715" s="47"/>
      <c r="L715" s="66"/>
      <c r="M715" s="66"/>
      <c r="N715" s="76"/>
      <c r="O715" s="115"/>
      <c r="P715" s="116"/>
      <c r="Q715" s="66"/>
      <c r="V715" s="1"/>
    </row>
    <row r="716" spans="1:22" ht="15.75" customHeight="1">
      <c r="A716" s="1"/>
      <c r="B716" s="103"/>
      <c r="C716" s="8"/>
      <c r="E716" s="29"/>
      <c r="F716" s="47"/>
      <c r="J716" s="47"/>
      <c r="K716" s="47"/>
      <c r="L716" s="66"/>
      <c r="M716" s="66"/>
      <c r="N716" s="76"/>
      <c r="O716" s="115"/>
      <c r="P716" s="116"/>
      <c r="Q716" s="66"/>
      <c r="V716" s="1"/>
    </row>
    <row r="717" spans="1:22" ht="15.75" customHeight="1">
      <c r="A717" s="1"/>
      <c r="B717" s="103"/>
      <c r="C717" s="8"/>
      <c r="E717" s="29"/>
      <c r="F717" s="47"/>
      <c r="J717" s="47"/>
      <c r="K717" s="47"/>
      <c r="L717" s="66"/>
      <c r="M717" s="66"/>
      <c r="N717" s="76"/>
      <c r="O717" s="115"/>
      <c r="P717" s="116"/>
      <c r="Q717" s="66"/>
      <c r="V717" s="1"/>
    </row>
    <row r="718" spans="1:22" ht="15.75" customHeight="1">
      <c r="A718" s="1"/>
      <c r="B718" s="103"/>
      <c r="C718" s="8"/>
      <c r="E718" s="29"/>
      <c r="F718" s="47"/>
      <c r="J718" s="47"/>
      <c r="K718" s="47"/>
      <c r="L718" s="66"/>
      <c r="M718" s="66"/>
      <c r="N718" s="76"/>
      <c r="O718" s="115"/>
      <c r="P718" s="116"/>
      <c r="Q718" s="66"/>
      <c r="V718" s="1"/>
    </row>
    <row r="719" spans="1:22" ht="15.75" customHeight="1">
      <c r="A719" s="1"/>
      <c r="B719" s="103"/>
      <c r="C719" s="8"/>
      <c r="E719" s="29"/>
      <c r="F719" s="47"/>
      <c r="J719" s="47"/>
      <c r="K719" s="47"/>
      <c r="L719" s="66"/>
      <c r="M719" s="66"/>
      <c r="N719" s="76"/>
      <c r="O719" s="115"/>
      <c r="P719" s="116"/>
      <c r="Q719" s="66"/>
      <c r="V719" s="1"/>
    </row>
    <row r="720" spans="1:22" ht="15.75" customHeight="1">
      <c r="A720" s="1"/>
      <c r="B720" s="103"/>
      <c r="C720" s="8"/>
      <c r="E720" s="29"/>
      <c r="F720" s="47"/>
      <c r="J720" s="47"/>
      <c r="K720" s="47"/>
      <c r="L720" s="66"/>
      <c r="M720" s="66"/>
      <c r="N720" s="76"/>
      <c r="O720" s="115"/>
      <c r="P720" s="116"/>
      <c r="Q720" s="66"/>
      <c r="V720" s="1"/>
    </row>
    <row r="721" spans="1:22" ht="15.75" customHeight="1">
      <c r="A721" s="1"/>
      <c r="B721" s="103"/>
      <c r="C721" s="8"/>
      <c r="E721" s="29"/>
      <c r="F721" s="47"/>
      <c r="J721" s="47"/>
      <c r="K721" s="47"/>
      <c r="L721" s="66"/>
      <c r="M721" s="66"/>
      <c r="N721" s="76"/>
      <c r="O721" s="115"/>
      <c r="P721" s="116"/>
      <c r="Q721" s="66"/>
      <c r="V721" s="1"/>
    </row>
    <row r="722" spans="1:22" ht="15.75" customHeight="1">
      <c r="A722" s="1"/>
      <c r="B722" s="103"/>
      <c r="C722" s="8"/>
      <c r="E722" s="29"/>
      <c r="F722" s="47"/>
      <c r="J722" s="47"/>
      <c r="K722" s="47"/>
      <c r="L722" s="66"/>
      <c r="M722" s="66"/>
      <c r="N722" s="76"/>
      <c r="O722" s="115"/>
      <c r="P722" s="116"/>
      <c r="Q722" s="66"/>
      <c r="V722" s="1"/>
    </row>
    <row r="723" spans="1:22" ht="15.75" customHeight="1">
      <c r="A723" s="1"/>
      <c r="B723" s="103"/>
      <c r="C723" s="8"/>
      <c r="E723" s="29"/>
      <c r="F723" s="47"/>
      <c r="J723" s="47"/>
      <c r="K723" s="47"/>
      <c r="L723" s="66"/>
      <c r="M723" s="66"/>
      <c r="N723" s="76"/>
      <c r="O723" s="115"/>
      <c r="P723" s="116"/>
      <c r="Q723" s="66"/>
      <c r="V723" s="1"/>
    </row>
    <row r="724" spans="1:22" ht="15.75" customHeight="1">
      <c r="A724" s="1"/>
      <c r="B724" s="103"/>
      <c r="C724" s="8"/>
      <c r="E724" s="29"/>
      <c r="F724" s="47"/>
      <c r="J724" s="47"/>
      <c r="K724" s="47"/>
      <c r="L724" s="66"/>
      <c r="M724" s="66"/>
      <c r="N724" s="76"/>
      <c r="O724" s="115"/>
      <c r="P724" s="116"/>
      <c r="Q724" s="66"/>
      <c r="V724" s="1"/>
    </row>
    <row r="725" spans="1:22" ht="15.75" customHeight="1">
      <c r="A725" s="1"/>
      <c r="B725" s="103"/>
      <c r="C725" s="8"/>
      <c r="E725" s="29"/>
      <c r="F725" s="47"/>
      <c r="J725" s="47"/>
      <c r="K725" s="47"/>
      <c r="L725" s="66"/>
      <c r="M725" s="66"/>
      <c r="N725" s="76"/>
      <c r="O725" s="115"/>
      <c r="P725" s="116"/>
      <c r="Q725" s="66"/>
      <c r="V725" s="1"/>
    </row>
    <row r="726" spans="1:22" ht="15.75" customHeight="1">
      <c r="A726" s="1"/>
      <c r="B726" s="103"/>
      <c r="C726" s="8"/>
      <c r="E726" s="29"/>
      <c r="F726" s="47"/>
      <c r="J726" s="47"/>
      <c r="K726" s="47"/>
      <c r="L726" s="66"/>
      <c r="M726" s="66"/>
      <c r="N726" s="76"/>
      <c r="O726" s="115"/>
      <c r="P726" s="116"/>
      <c r="Q726" s="66"/>
      <c r="V726" s="1"/>
    </row>
    <row r="727" spans="1:22" ht="15.75" customHeight="1">
      <c r="A727" s="1"/>
      <c r="B727" s="103"/>
      <c r="C727" s="8"/>
      <c r="E727" s="29"/>
      <c r="F727" s="47"/>
      <c r="J727" s="47"/>
      <c r="K727" s="47"/>
      <c r="L727" s="66"/>
      <c r="M727" s="66"/>
      <c r="N727" s="76"/>
      <c r="O727" s="115"/>
      <c r="P727" s="116"/>
      <c r="Q727" s="66"/>
      <c r="V727" s="1"/>
    </row>
    <row r="728" spans="1:22" ht="15.75" customHeight="1">
      <c r="A728" s="1"/>
      <c r="B728" s="103"/>
      <c r="C728" s="8"/>
      <c r="E728" s="29"/>
      <c r="F728" s="47"/>
      <c r="J728" s="47"/>
      <c r="K728" s="47"/>
      <c r="L728" s="66"/>
      <c r="M728" s="66"/>
      <c r="N728" s="76"/>
      <c r="O728" s="115"/>
      <c r="P728" s="116"/>
      <c r="Q728" s="66"/>
      <c r="V728" s="1"/>
    </row>
    <row r="729" spans="1:22" ht="15.75" customHeight="1">
      <c r="A729" s="1"/>
      <c r="B729" s="103"/>
      <c r="C729" s="8"/>
      <c r="E729" s="29"/>
      <c r="F729" s="47"/>
      <c r="J729" s="47"/>
      <c r="K729" s="47"/>
      <c r="L729" s="66"/>
      <c r="M729" s="66"/>
      <c r="N729" s="76"/>
      <c r="O729" s="115"/>
      <c r="P729" s="116"/>
      <c r="Q729" s="66"/>
      <c r="V729" s="1"/>
    </row>
    <row r="730" spans="1:22" ht="15.75" customHeight="1">
      <c r="A730" s="1"/>
      <c r="B730" s="103"/>
      <c r="C730" s="8"/>
      <c r="E730" s="29"/>
      <c r="F730" s="47"/>
      <c r="J730" s="47"/>
      <c r="K730" s="47"/>
      <c r="L730" s="66"/>
      <c r="M730" s="66"/>
      <c r="N730" s="76"/>
      <c r="O730" s="115"/>
      <c r="P730" s="116"/>
      <c r="Q730" s="66"/>
      <c r="V730" s="1"/>
    </row>
    <row r="731" spans="1:22" ht="15.75" customHeight="1">
      <c r="A731" s="1"/>
      <c r="B731" s="103"/>
      <c r="C731" s="8"/>
      <c r="E731" s="29"/>
      <c r="F731" s="47"/>
      <c r="J731" s="47"/>
      <c r="K731" s="47"/>
      <c r="L731" s="66"/>
      <c r="M731" s="66"/>
      <c r="N731" s="76"/>
      <c r="O731" s="115"/>
      <c r="P731" s="116"/>
      <c r="Q731" s="66"/>
      <c r="V731" s="1"/>
    </row>
    <row r="732" spans="1:22" ht="15.75" customHeight="1">
      <c r="A732" s="1"/>
      <c r="B732" s="103"/>
      <c r="C732" s="8"/>
      <c r="E732" s="29"/>
      <c r="F732" s="47"/>
      <c r="J732" s="47"/>
      <c r="K732" s="47"/>
      <c r="L732" s="66"/>
      <c r="M732" s="66"/>
      <c r="N732" s="76"/>
      <c r="O732" s="115"/>
      <c r="P732" s="116"/>
      <c r="Q732" s="66"/>
      <c r="V732" s="1"/>
    </row>
    <row r="733" spans="1:22" ht="15.75" customHeight="1">
      <c r="A733" s="1"/>
      <c r="B733" s="103"/>
      <c r="C733" s="8"/>
      <c r="E733" s="29"/>
      <c r="F733" s="47"/>
      <c r="J733" s="47"/>
      <c r="K733" s="47"/>
      <c r="L733" s="66"/>
      <c r="M733" s="66"/>
      <c r="N733" s="76"/>
      <c r="O733" s="115"/>
      <c r="P733" s="116"/>
      <c r="Q733" s="66"/>
      <c r="V733" s="1"/>
    </row>
    <row r="734" spans="1:22" ht="15.75" customHeight="1">
      <c r="A734" s="1"/>
      <c r="B734" s="103"/>
      <c r="C734" s="8"/>
      <c r="E734" s="29"/>
      <c r="F734" s="47"/>
      <c r="J734" s="47"/>
      <c r="K734" s="47"/>
      <c r="L734" s="66"/>
      <c r="M734" s="66"/>
      <c r="N734" s="76"/>
      <c r="O734" s="115"/>
      <c r="P734" s="116"/>
      <c r="Q734" s="66"/>
      <c r="V734" s="1"/>
    </row>
    <row r="735" spans="1:22" ht="15.75" customHeight="1">
      <c r="A735" s="1"/>
      <c r="B735" s="103"/>
      <c r="C735" s="8"/>
      <c r="E735" s="29"/>
      <c r="F735" s="47"/>
      <c r="J735" s="47"/>
      <c r="K735" s="47"/>
      <c r="L735" s="66"/>
      <c r="M735" s="66"/>
      <c r="N735" s="76"/>
      <c r="O735" s="115"/>
      <c r="P735" s="116"/>
      <c r="Q735" s="66"/>
      <c r="V735" s="1"/>
    </row>
    <row r="736" spans="1:22" ht="15.75" customHeight="1">
      <c r="A736" s="1"/>
      <c r="B736" s="103"/>
      <c r="C736" s="8"/>
      <c r="E736" s="29"/>
      <c r="F736" s="47"/>
      <c r="J736" s="47"/>
      <c r="K736" s="47"/>
      <c r="L736" s="66"/>
      <c r="M736" s="66"/>
      <c r="N736" s="76"/>
      <c r="O736" s="115"/>
      <c r="P736" s="116"/>
      <c r="Q736" s="66"/>
      <c r="V736" s="1"/>
    </row>
    <row r="737" spans="1:22" ht="15.75" customHeight="1">
      <c r="A737" s="1"/>
      <c r="B737" s="103"/>
      <c r="C737" s="8"/>
      <c r="E737" s="29"/>
      <c r="F737" s="47"/>
      <c r="J737" s="47"/>
      <c r="K737" s="47"/>
      <c r="L737" s="66"/>
      <c r="M737" s="66"/>
      <c r="N737" s="76"/>
      <c r="O737" s="115"/>
      <c r="P737" s="116"/>
      <c r="Q737" s="66"/>
      <c r="V737" s="1"/>
    </row>
    <row r="738" spans="1:22" ht="15.75" customHeight="1">
      <c r="A738" s="1"/>
      <c r="B738" s="103"/>
      <c r="C738" s="8"/>
      <c r="E738" s="29"/>
      <c r="F738" s="47"/>
      <c r="J738" s="47"/>
      <c r="K738" s="47"/>
      <c r="L738" s="66"/>
      <c r="M738" s="66"/>
      <c r="N738" s="76"/>
      <c r="O738" s="115"/>
      <c r="P738" s="116"/>
      <c r="Q738" s="66"/>
      <c r="V738" s="1"/>
    </row>
    <row r="739" spans="1:22" ht="15.75" customHeight="1">
      <c r="A739" s="1"/>
      <c r="B739" s="103"/>
      <c r="C739" s="8"/>
      <c r="E739" s="29"/>
      <c r="F739" s="47"/>
      <c r="J739" s="47"/>
      <c r="K739" s="47"/>
      <c r="L739" s="66"/>
      <c r="M739" s="66"/>
      <c r="N739" s="76"/>
      <c r="O739" s="115"/>
      <c r="P739" s="116"/>
      <c r="Q739" s="66"/>
      <c r="V739" s="1"/>
    </row>
    <row r="740" spans="1:22" ht="15.75" customHeight="1">
      <c r="A740" s="1"/>
      <c r="B740" s="103"/>
      <c r="C740" s="8"/>
      <c r="E740" s="29"/>
      <c r="F740" s="47"/>
      <c r="J740" s="47"/>
      <c r="K740" s="47"/>
      <c r="L740" s="66"/>
      <c r="M740" s="66"/>
      <c r="N740" s="76"/>
      <c r="O740" s="115"/>
      <c r="P740" s="116"/>
      <c r="Q740" s="66"/>
      <c r="V740" s="1"/>
    </row>
    <row r="741" spans="1:22" ht="15.75" customHeight="1">
      <c r="A741" s="1"/>
      <c r="B741" s="103"/>
      <c r="C741" s="8"/>
      <c r="E741" s="29"/>
      <c r="F741" s="47"/>
      <c r="J741" s="47"/>
      <c r="K741" s="47"/>
      <c r="L741" s="66"/>
      <c r="M741" s="66"/>
      <c r="N741" s="76"/>
      <c r="O741" s="115"/>
      <c r="P741" s="116"/>
      <c r="Q741" s="66"/>
      <c r="V741" s="1"/>
    </row>
    <row r="742" spans="1:22" ht="15.75" customHeight="1">
      <c r="A742" s="1"/>
      <c r="B742" s="103"/>
      <c r="C742" s="8"/>
      <c r="E742" s="29"/>
      <c r="F742" s="47"/>
      <c r="J742" s="47"/>
      <c r="K742" s="47"/>
      <c r="L742" s="66"/>
      <c r="M742" s="66"/>
      <c r="N742" s="76"/>
      <c r="O742" s="115"/>
      <c r="P742" s="116"/>
      <c r="Q742" s="66"/>
      <c r="V742" s="1"/>
    </row>
    <row r="743" spans="1:22" ht="15.75" customHeight="1">
      <c r="A743" s="1"/>
      <c r="B743" s="103"/>
      <c r="C743" s="8"/>
      <c r="E743" s="29"/>
      <c r="F743" s="47"/>
      <c r="J743" s="47"/>
      <c r="K743" s="47"/>
      <c r="L743" s="66"/>
      <c r="M743" s="66"/>
      <c r="N743" s="76"/>
      <c r="O743" s="115"/>
      <c r="P743" s="116"/>
      <c r="Q743" s="66"/>
      <c r="V743" s="1"/>
    </row>
    <row r="744" spans="1:22" ht="15.75" customHeight="1">
      <c r="A744" s="1"/>
      <c r="B744" s="103"/>
      <c r="C744" s="8"/>
      <c r="E744" s="29"/>
      <c r="F744" s="47"/>
      <c r="J744" s="47"/>
      <c r="K744" s="47"/>
      <c r="L744" s="66"/>
      <c r="M744" s="66"/>
      <c r="N744" s="76"/>
      <c r="O744" s="115"/>
      <c r="P744" s="116"/>
      <c r="Q744" s="66"/>
      <c r="V744" s="1"/>
    </row>
    <row r="745" spans="1:22" ht="15.75" customHeight="1">
      <c r="A745" s="1"/>
      <c r="B745" s="103"/>
      <c r="C745" s="8"/>
      <c r="E745" s="29"/>
      <c r="F745" s="47"/>
      <c r="J745" s="47"/>
      <c r="K745" s="47"/>
      <c r="L745" s="66"/>
      <c r="M745" s="66"/>
      <c r="N745" s="76"/>
      <c r="O745" s="115"/>
      <c r="P745" s="116"/>
      <c r="Q745" s="66"/>
      <c r="V745" s="1"/>
    </row>
    <row r="746" spans="1:22" ht="15.75" customHeight="1">
      <c r="A746" s="1"/>
      <c r="B746" s="103"/>
      <c r="C746" s="8"/>
      <c r="E746" s="29"/>
      <c r="F746" s="47"/>
      <c r="J746" s="47"/>
      <c r="K746" s="47"/>
      <c r="L746" s="66"/>
      <c r="M746" s="66"/>
      <c r="N746" s="76"/>
      <c r="O746" s="115"/>
      <c r="P746" s="116"/>
      <c r="Q746" s="66"/>
      <c r="V746" s="1"/>
    </row>
    <row r="747" spans="1:22" ht="15.75" customHeight="1">
      <c r="A747" s="1"/>
      <c r="B747" s="103"/>
      <c r="C747" s="8"/>
      <c r="E747" s="29"/>
      <c r="F747" s="47"/>
      <c r="J747" s="47"/>
      <c r="K747" s="47"/>
      <c r="L747" s="66"/>
      <c r="M747" s="66"/>
      <c r="N747" s="76"/>
      <c r="O747" s="115"/>
      <c r="P747" s="116"/>
      <c r="Q747" s="66"/>
      <c r="V747" s="1"/>
    </row>
    <row r="748" spans="1:22" ht="15.75" customHeight="1">
      <c r="A748" s="1"/>
      <c r="B748" s="103"/>
      <c r="C748" s="8"/>
      <c r="E748" s="29"/>
      <c r="F748" s="47"/>
      <c r="J748" s="47"/>
      <c r="K748" s="47"/>
      <c r="L748" s="66"/>
      <c r="M748" s="66"/>
      <c r="N748" s="76"/>
      <c r="O748" s="115"/>
      <c r="P748" s="116"/>
      <c r="Q748" s="66"/>
      <c r="V748" s="1"/>
    </row>
    <row r="749" spans="1:22" ht="15.75" customHeight="1">
      <c r="A749" s="1"/>
      <c r="B749" s="103"/>
      <c r="C749" s="8"/>
      <c r="E749" s="29"/>
      <c r="F749" s="47"/>
      <c r="J749" s="47"/>
      <c r="K749" s="47"/>
      <c r="L749" s="66"/>
      <c r="M749" s="66"/>
      <c r="N749" s="76"/>
      <c r="O749" s="115"/>
      <c r="P749" s="116"/>
      <c r="Q749" s="66"/>
      <c r="V749" s="1"/>
    </row>
    <row r="750" spans="1:22" ht="15.75" customHeight="1">
      <c r="A750" s="1"/>
      <c r="B750" s="103"/>
      <c r="C750" s="8"/>
      <c r="E750" s="29"/>
      <c r="F750" s="47"/>
      <c r="J750" s="47"/>
      <c r="K750" s="47"/>
      <c r="L750" s="66"/>
      <c r="M750" s="66"/>
      <c r="N750" s="76"/>
      <c r="O750" s="115"/>
      <c r="P750" s="116"/>
      <c r="Q750" s="66"/>
      <c r="V750" s="1"/>
    </row>
    <row r="751" spans="1:22" ht="15.75" customHeight="1">
      <c r="A751" s="1"/>
      <c r="B751" s="103"/>
      <c r="C751" s="8"/>
      <c r="E751" s="29"/>
      <c r="F751" s="47"/>
      <c r="J751" s="47"/>
      <c r="K751" s="47"/>
      <c r="L751" s="66"/>
      <c r="M751" s="66"/>
      <c r="N751" s="76"/>
      <c r="O751" s="115"/>
      <c r="P751" s="116"/>
      <c r="Q751" s="66"/>
      <c r="V751" s="1"/>
    </row>
    <row r="752" spans="1:22" ht="15.75" customHeight="1">
      <c r="A752" s="1"/>
      <c r="B752" s="103"/>
      <c r="C752" s="8"/>
      <c r="E752" s="29"/>
      <c r="F752" s="47"/>
      <c r="J752" s="47"/>
      <c r="K752" s="47"/>
      <c r="L752" s="66"/>
      <c r="M752" s="66"/>
      <c r="N752" s="76"/>
      <c r="O752" s="115"/>
      <c r="P752" s="116"/>
      <c r="Q752" s="66"/>
      <c r="V752" s="1"/>
    </row>
    <row r="753" spans="1:22" ht="15.75" customHeight="1">
      <c r="A753" s="1"/>
      <c r="B753" s="103"/>
      <c r="C753" s="8"/>
      <c r="E753" s="29"/>
      <c r="F753" s="47"/>
      <c r="J753" s="47"/>
      <c r="K753" s="47"/>
      <c r="L753" s="66"/>
      <c r="M753" s="66"/>
      <c r="N753" s="76"/>
      <c r="O753" s="115"/>
      <c r="P753" s="116"/>
      <c r="Q753" s="66"/>
      <c r="V753" s="1"/>
    </row>
    <row r="754" spans="1:22" ht="15.75" customHeight="1">
      <c r="A754" s="1"/>
      <c r="B754" s="103"/>
      <c r="C754" s="8"/>
      <c r="E754" s="29"/>
      <c r="F754" s="47"/>
      <c r="J754" s="47"/>
      <c r="K754" s="47"/>
      <c r="L754" s="66"/>
      <c r="M754" s="66"/>
      <c r="N754" s="76"/>
      <c r="O754" s="115"/>
      <c r="P754" s="116"/>
      <c r="Q754" s="66"/>
      <c r="V754" s="1"/>
    </row>
    <row r="755" spans="1:22" ht="15.75" customHeight="1">
      <c r="A755" s="1"/>
      <c r="B755" s="103"/>
      <c r="C755" s="8"/>
      <c r="E755" s="29"/>
      <c r="F755" s="47"/>
      <c r="J755" s="47"/>
      <c r="K755" s="47"/>
      <c r="L755" s="66"/>
      <c r="M755" s="66"/>
      <c r="N755" s="76"/>
      <c r="O755" s="115"/>
      <c r="P755" s="116"/>
      <c r="Q755" s="66"/>
      <c r="V755" s="1"/>
    </row>
    <row r="756" spans="1:22" ht="15.75" customHeight="1">
      <c r="A756" s="1"/>
      <c r="B756" s="103"/>
      <c r="C756" s="8"/>
      <c r="E756" s="29"/>
      <c r="F756" s="47"/>
      <c r="J756" s="47"/>
      <c r="K756" s="47"/>
      <c r="L756" s="66"/>
      <c r="M756" s="66"/>
      <c r="N756" s="76"/>
      <c r="O756" s="115"/>
      <c r="P756" s="116"/>
      <c r="Q756" s="66"/>
      <c r="V756" s="1"/>
    </row>
    <row r="757" spans="1:22" ht="15.75" customHeight="1">
      <c r="A757" s="1"/>
      <c r="B757" s="103"/>
      <c r="C757" s="8"/>
      <c r="E757" s="29"/>
      <c r="F757" s="47"/>
      <c r="J757" s="47"/>
      <c r="K757" s="47"/>
      <c r="L757" s="66"/>
      <c r="M757" s="66"/>
      <c r="N757" s="76"/>
      <c r="O757" s="115"/>
      <c r="P757" s="116"/>
      <c r="Q757" s="66"/>
      <c r="V757" s="1"/>
    </row>
    <row r="758" spans="1:22" ht="15.75" customHeight="1">
      <c r="A758" s="1"/>
      <c r="B758" s="103"/>
      <c r="C758" s="8"/>
      <c r="E758" s="29"/>
      <c r="F758" s="47"/>
      <c r="J758" s="47"/>
      <c r="K758" s="47"/>
      <c r="L758" s="66"/>
      <c r="M758" s="66"/>
      <c r="N758" s="76"/>
      <c r="O758" s="115"/>
      <c r="P758" s="116"/>
      <c r="Q758" s="66"/>
      <c r="V758" s="1"/>
    </row>
    <row r="759" spans="1:22" ht="15.75" customHeight="1">
      <c r="A759" s="1"/>
      <c r="B759" s="103"/>
      <c r="C759" s="8"/>
      <c r="E759" s="29"/>
      <c r="F759" s="47"/>
      <c r="J759" s="47"/>
      <c r="K759" s="47"/>
      <c r="L759" s="66"/>
      <c r="M759" s="66"/>
      <c r="N759" s="76"/>
      <c r="O759" s="115"/>
      <c r="P759" s="116"/>
      <c r="Q759" s="66"/>
      <c r="V759" s="1"/>
    </row>
    <row r="760" spans="1:22" ht="15.75" customHeight="1">
      <c r="A760" s="1"/>
      <c r="B760" s="103"/>
      <c r="C760" s="8"/>
      <c r="E760" s="29"/>
      <c r="F760" s="47"/>
      <c r="J760" s="47"/>
      <c r="K760" s="47"/>
      <c r="L760" s="66"/>
      <c r="M760" s="66"/>
      <c r="N760" s="76"/>
      <c r="O760" s="115"/>
      <c r="P760" s="116"/>
      <c r="Q760" s="66"/>
      <c r="V760" s="1"/>
    </row>
    <row r="761" spans="1:22" ht="15.75" customHeight="1">
      <c r="A761" s="1"/>
      <c r="B761" s="103"/>
      <c r="C761" s="8"/>
      <c r="E761" s="29"/>
      <c r="F761" s="47"/>
      <c r="J761" s="47"/>
      <c r="K761" s="47"/>
      <c r="L761" s="66"/>
      <c r="M761" s="66"/>
      <c r="N761" s="76"/>
      <c r="O761" s="115"/>
      <c r="P761" s="116"/>
      <c r="Q761" s="66"/>
      <c r="V761" s="1"/>
    </row>
    <row r="762" spans="1:22" ht="15.75" customHeight="1">
      <c r="A762" s="1"/>
      <c r="B762" s="103"/>
      <c r="C762" s="8"/>
      <c r="E762" s="29"/>
      <c r="F762" s="47"/>
      <c r="J762" s="47"/>
      <c r="K762" s="47"/>
      <c r="L762" s="66"/>
      <c r="M762" s="66"/>
      <c r="N762" s="76"/>
      <c r="O762" s="115"/>
      <c r="P762" s="116"/>
      <c r="Q762" s="66"/>
      <c r="V762" s="1"/>
    </row>
    <row r="763" spans="1:22" ht="15.75" customHeight="1">
      <c r="A763" s="1"/>
      <c r="B763" s="103"/>
      <c r="C763" s="8"/>
      <c r="E763" s="29"/>
      <c r="F763" s="47"/>
      <c r="J763" s="47"/>
      <c r="K763" s="47"/>
      <c r="L763" s="66"/>
      <c r="M763" s="66"/>
      <c r="N763" s="76"/>
      <c r="O763" s="115"/>
      <c r="P763" s="116"/>
      <c r="Q763" s="66"/>
      <c r="V763" s="1"/>
    </row>
    <row r="764" spans="1:22" ht="15.75" customHeight="1">
      <c r="A764" s="1"/>
      <c r="B764" s="103"/>
      <c r="C764" s="8"/>
      <c r="E764" s="29"/>
      <c r="F764" s="47"/>
      <c r="J764" s="47"/>
      <c r="K764" s="47"/>
      <c r="L764" s="66"/>
      <c r="M764" s="66"/>
      <c r="N764" s="76"/>
      <c r="O764" s="115"/>
      <c r="P764" s="116"/>
      <c r="Q764" s="66"/>
      <c r="V764" s="1"/>
    </row>
    <row r="765" spans="1:22" ht="15.75" customHeight="1">
      <c r="A765" s="1"/>
      <c r="B765" s="103"/>
      <c r="C765" s="8"/>
      <c r="E765" s="29"/>
      <c r="F765" s="47"/>
      <c r="J765" s="47"/>
      <c r="K765" s="47"/>
      <c r="L765" s="66"/>
      <c r="M765" s="66"/>
      <c r="N765" s="76"/>
      <c r="O765" s="115"/>
      <c r="P765" s="116"/>
      <c r="Q765" s="66"/>
      <c r="V765" s="1"/>
    </row>
    <row r="766" spans="1:22" ht="15.75" customHeight="1">
      <c r="A766" s="1"/>
      <c r="B766" s="103"/>
      <c r="C766" s="8"/>
      <c r="E766" s="29"/>
      <c r="F766" s="47"/>
      <c r="J766" s="47"/>
      <c r="K766" s="47"/>
      <c r="L766" s="66"/>
      <c r="M766" s="66"/>
      <c r="N766" s="76"/>
      <c r="O766" s="115"/>
      <c r="P766" s="116"/>
      <c r="Q766" s="66"/>
      <c r="V766" s="1"/>
    </row>
    <row r="767" spans="1:22" ht="15.75" customHeight="1">
      <c r="A767" s="1"/>
      <c r="B767" s="103"/>
      <c r="C767" s="8"/>
      <c r="E767" s="29"/>
      <c r="F767" s="47"/>
      <c r="J767" s="47"/>
      <c r="K767" s="47"/>
      <c r="L767" s="66"/>
      <c r="M767" s="66"/>
      <c r="N767" s="76"/>
      <c r="O767" s="115"/>
      <c r="P767" s="116"/>
      <c r="Q767" s="66"/>
      <c r="V767" s="1"/>
    </row>
    <row r="768" spans="1:22" ht="15.75" customHeight="1">
      <c r="A768" s="1"/>
      <c r="B768" s="103"/>
      <c r="C768" s="8"/>
      <c r="E768" s="29"/>
      <c r="F768" s="47"/>
      <c r="J768" s="47"/>
      <c r="K768" s="47"/>
      <c r="L768" s="66"/>
      <c r="M768" s="66"/>
      <c r="N768" s="76"/>
      <c r="O768" s="115"/>
      <c r="P768" s="116"/>
      <c r="Q768" s="66"/>
      <c r="V768" s="1"/>
    </row>
    <row r="769" spans="1:22" ht="15.75" customHeight="1">
      <c r="A769" s="1"/>
      <c r="B769" s="103"/>
      <c r="C769" s="8"/>
      <c r="E769" s="29"/>
      <c r="F769" s="47"/>
      <c r="J769" s="47"/>
      <c r="K769" s="47"/>
      <c r="L769" s="66"/>
      <c r="M769" s="66"/>
      <c r="N769" s="76"/>
      <c r="O769" s="115"/>
      <c r="P769" s="116"/>
      <c r="Q769" s="66"/>
      <c r="V769" s="1"/>
    </row>
    <row r="770" spans="1:22" ht="15.75" customHeight="1">
      <c r="A770" s="1"/>
      <c r="B770" s="103"/>
      <c r="C770" s="8"/>
      <c r="E770" s="29"/>
      <c r="F770" s="47"/>
      <c r="J770" s="47"/>
      <c r="K770" s="47"/>
      <c r="L770" s="66"/>
      <c r="M770" s="66"/>
      <c r="N770" s="76"/>
      <c r="O770" s="115"/>
      <c r="P770" s="116"/>
      <c r="Q770" s="66"/>
      <c r="V770" s="1"/>
    </row>
    <row r="771" spans="1:22" ht="15.75" customHeight="1">
      <c r="A771" s="1"/>
      <c r="B771" s="103"/>
      <c r="C771" s="8"/>
      <c r="E771" s="29"/>
      <c r="F771" s="47"/>
      <c r="J771" s="47"/>
      <c r="K771" s="47"/>
      <c r="L771" s="66"/>
      <c r="M771" s="66"/>
      <c r="N771" s="76"/>
      <c r="O771" s="115"/>
      <c r="P771" s="116"/>
      <c r="Q771" s="66"/>
      <c r="V771" s="1"/>
    </row>
    <row r="772" spans="1:22" ht="15.75" customHeight="1">
      <c r="A772" s="1"/>
      <c r="B772" s="103"/>
      <c r="C772" s="8"/>
      <c r="E772" s="29"/>
      <c r="F772" s="47"/>
      <c r="J772" s="47"/>
      <c r="K772" s="47"/>
      <c r="L772" s="66"/>
      <c r="M772" s="66"/>
      <c r="N772" s="76"/>
      <c r="O772" s="115"/>
      <c r="P772" s="116"/>
      <c r="Q772" s="66"/>
      <c r="V772" s="1"/>
    </row>
    <row r="773" spans="1:22" ht="15.75" customHeight="1">
      <c r="A773" s="1"/>
      <c r="B773" s="103"/>
      <c r="C773" s="8"/>
      <c r="E773" s="29"/>
      <c r="F773" s="47"/>
      <c r="J773" s="47"/>
      <c r="K773" s="47"/>
      <c r="L773" s="66"/>
      <c r="M773" s="66"/>
      <c r="N773" s="76"/>
      <c r="O773" s="115"/>
      <c r="P773" s="116"/>
      <c r="Q773" s="66"/>
      <c r="V773" s="1"/>
    </row>
    <row r="774" spans="1:22" ht="15.75" customHeight="1">
      <c r="A774" s="1"/>
      <c r="B774" s="103"/>
      <c r="C774" s="8"/>
      <c r="E774" s="29"/>
      <c r="F774" s="47"/>
      <c r="J774" s="47"/>
      <c r="K774" s="47"/>
      <c r="L774" s="66"/>
      <c r="M774" s="66"/>
      <c r="N774" s="76"/>
      <c r="O774" s="115"/>
      <c r="P774" s="116"/>
      <c r="Q774" s="66"/>
      <c r="V774" s="1"/>
    </row>
    <row r="775" spans="1:22" ht="15.75" customHeight="1">
      <c r="A775" s="1"/>
      <c r="B775" s="103"/>
      <c r="C775" s="8"/>
      <c r="E775" s="29"/>
      <c r="F775" s="47"/>
      <c r="J775" s="47"/>
      <c r="K775" s="47"/>
      <c r="L775" s="66"/>
      <c r="M775" s="66"/>
      <c r="N775" s="76"/>
      <c r="O775" s="115"/>
      <c r="P775" s="116"/>
      <c r="Q775" s="66"/>
      <c r="V775" s="1"/>
    </row>
    <row r="776" spans="1:22" ht="15.75" customHeight="1">
      <c r="A776" s="1"/>
      <c r="B776" s="103"/>
      <c r="C776" s="8"/>
      <c r="E776" s="29"/>
      <c r="F776" s="47"/>
      <c r="J776" s="47"/>
      <c r="K776" s="47"/>
      <c r="L776" s="66"/>
      <c r="M776" s="66"/>
      <c r="N776" s="76"/>
      <c r="O776" s="115"/>
      <c r="P776" s="116"/>
      <c r="Q776" s="66"/>
      <c r="V776" s="1"/>
    </row>
    <row r="777" spans="1:22" ht="15.75" customHeight="1">
      <c r="A777" s="1"/>
      <c r="B777" s="103"/>
      <c r="C777" s="8"/>
      <c r="E777" s="29"/>
      <c r="F777" s="47"/>
      <c r="J777" s="47"/>
      <c r="K777" s="47"/>
      <c r="L777" s="66"/>
      <c r="M777" s="66"/>
      <c r="N777" s="76"/>
      <c r="O777" s="115"/>
      <c r="P777" s="116"/>
      <c r="Q777" s="66"/>
      <c r="V777" s="1"/>
    </row>
    <row r="778" spans="1:22" ht="15.75" customHeight="1">
      <c r="A778" s="1"/>
      <c r="B778" s="103"/>
      <c r="C778" s="8"/>
      <c r="E778" s="29"/>
      <c r="F778" s="47"/>
      <c r="J778" s="47"/>
      <c r="K778" s="47"/>
      <c r="L778" s="66"/>
      <c r="M778" s="66"/>
      <c r="N778" s="76"/>
      <c r="O778" s="115"/>
      <c r="P778" s="116"/>
      <c r="Q778" s="66"/>
      <c r="V778" s="1"/>
    </row>
    <row r="779" spans="1:22" ht="15.75" customHeight="1">
      <c r="A779" s="1"/>
      <c r="B779" s="103"/>
      <c r="C779" s="8"/>
      <c r="E779" s="29"/>
      <c r="F779" s="47"/>
      <c r="J779" s="47"/>
      <c r="K779" s="47"/>
      <c r="L779" s="66"/>
      <c r="M779" s="66"/>
      <c r="N779" s="76"/>
      <c r="O779" s="115"/>
      <c r="P779" s="116"/>
      <c r="Q779" s="66"/>
      <c r="V779" s="1"/>
    </row>
    <row r="780" spans="1:22" ht="15.75" customHeight="1">
      <c r="A780" s="1"/>
      <c r="B780" s="103"/>
      <c r="C780" s="8"/>
      <c r="E780" s="29"/>
      <c r="F780" s="47"/>
      <c r="J780" s="47"/>
      <c r="K780" s="47"/>
      <c r="L780" s="66"/>
      <c r="M780" s="66"/>
      <c r="N780" s="76"/>
      <c r="O780" s="115"/>
      <c r="P780" s="116"/>
      <c r="Q780" s="66"/>
      <c r="V780" s="1"/>
    </row>
    <row r="781" spans="1:22" ht="15.75" customHeight="1">
      <c r="A781" s="1"/>
      <c r="B781" s="103"/>
      <c r="C781" s="8"/>
      <c r="E781" s="29"/>
      <c r="F781" s="47"/>
      <c r="J781" s="47"/>
      <c r="K781" s="47"/>
      <c r="L781" s="66"/>
      <c r="M781" s="66"/>
      <c r="N781" s="76"/>
      <c r="O781" s="115"/>
      <c r="P781" s="116"/>
      <c r="Q781" s="66"/>
      <c r="V781" s="1"/>
    </row>
    <row r="782" spans="1:22" ht="15.75" customHeight="1">
      <c r="A782" s="1"/>
      <c r="B782" s="103"/>
      <c r="C782" s="8"/>
      <c r="E782" s="29"/>
      <c r="F782" s="47"/>
      <c r="J782" s="47"/>
      <c r="K782" s="47"/>
      <c r="L782" s="66"/>
      <c r="M782" s="66"/>
      <c r="N782" s="76"/>
      <c r="O782" s="115"/>
      <c r="P782" s="116"/>
      <c r="Q782" s="66"/>
      <c r="V782" s="1"/>
    </row>
    <row r="783" spans="1:22" ht="15.75" customHeight="1">
      <c r="A783" s="1"/>
      <c r="B783" s="103"/>
      <c r="C783" s="8"/>
      <c r="E783" s="29"/>
      <c r="F783" s="47"/>
      <c r="J783" s="47"/>
      <c r="K783" s="47"/>
      <c r="L783" s="66"/>
      <c r="M783" s="66"/>
      <c r="N783" s="76"/>
      <c r="O783" s="115"/>
      <c r="P783" s="116"/>
      <c r="Q783" s="66"/>
      <c r="V783" s="1"/>
    </row>
    <row r="784" spans="1:22" ht="15.75" customHeight="1">
      <c r="A784" s="1"/>
      <c r="B784" s="103"/>
      <c r="C784" s="8"/>
      <c r="E784" s="29"/>
      <c r="F784" s="47"/>
      <c r="J784" s="47"/>
      <c r="K784" s="47"/>
      <c r="L784" s="66"/>
      <c r="M784" s="66"/>
      <c r="N784" s="76"/>
      <c r="O784" s="115"/>
      <c r="P784" s="116"/>
      <c r="Q784" s="66"/>
      <c r="V784" s="1"/>
    </row>
    <row r="785" spans="1:22" ht="15.75" customHeight="1">
      <c r="A785" s="1"/>
      <c r="B785" s="103"/>
      <c r="C785" s="8"/>
      <c r="E785" s="29"/>
      <c r="F785" s="47"/>
      <c r="J785" s="47"/>
      <c r="K785" s="47"/>
      <c r="L785" s="66"/>
      <c r="M785" s="66"/>
      <c r="N785" s="76"/>
      <c r="O785" s="115"/>
      <c r="P785" s="116"/>
      <c r="Q785" s="66"/>
      <c r="V785" s="1"/>
    </row>
    <row r="786" spans="1:22" ht="15.75" customHeight="1">
      <c r="A786" s="1"/>
      <c r="B786" s="103"/>
      <c r="C786" s="8"/>
      <c r="E786" s="29"/>
      <c r="F786" s="47"/>
      <c r="J786" s="47"/>
      <c r="K786" s="47"/>
      <c r="L786" s="66"/>
      <c r="M786" s="66"/>
      <c r="N786" s="76"/>
      <c r="O786" s="115"/>
      <c r="P786" s="116"/>
      <c r="Q786" s="66"/>
      <c r="V786" s="1"/>
    </row>
    <row r="787" spans="1:22" ht="15.75" customHeight="1">
      <c r="A787" s="1"/>
      <c r="B787" s="103"/>
      <c r="C787" s="8"/>
      <c r="E787" s="29"/>
      <c r="F787" s="47"/>
      <c r="J787" s="47"/>
      <c r="K787" s="47"/>
      <c r="L787" s="66"/>
      <c r="M787" s="66"/>
      <c r="N787" s="76"/>
      <c r="O787" s="115"/>
      <c r="P787" s="116"/>
      <c r="Q787" s="66"/>
      <c r="V787" s="1"/>
    </row>
    <row r="788" spans="1:22" ht="15.75" customHeight="1">
      <c r="A788" s="1"/>
      <c r="B788" s="103"/>
      <c r="C788" s="8"/>
      <c r="E788" s="29"/>
      <c r="F788" s="47"/>
      <c r="J788" s="47"/>
      <c r="K788" s="47"/>
      <c r="L788" s="66"/>
      <c r="M788" s="66"/>
      <c r="N788" s="76"/>
      <c r="O788" s="115"/>
      <c r="P788" s="116"/>
      <c r="Q788" s="66"/>
      <c r="V788" s="1"/>
    </row>
    <row r="789" spans="1:22" ht="15.75" customHeight="1">
      <c r="A789" s="1"/>
      <c r="B789" s="103"/>
      <c r="C789" s="8"/>
      <c r="E789" s="29"/>
      <c r="F789" s="47"/>
      <c r="J789" s="47"/>
      <c r="K789" s="47"/>
      <c r="L789" s="66"/>
      <c r="M789" s="66"/>
      <c r="N789" s="76"/>
      <c r="O789" s="115"/>
      <c r="P789" s="116"/>
      <c r="Q789" s="66"/>
      <c r="V789" s="1"/>
    </row>
    <row r="790" spans="1:22" ht="15.75" customHeight="1">
      <c r="A790" s="1"/>
      <c r="B790" s="103"/>
      <c r="C790" s="8"/>
      <c r="E790" s="29"/>
      <c r="F790" s="47"/>
      <c r="J790" s="47"/>
      <c r="K790" s="47"/>
      <c r="L790" s="66"/>
      <c r="M790" s="66"/>
      <c r="N790" s="76"/>
      <c r="O790" s="115"/>
      <c r="P790" s="116"/>
      <c r="Q790" s="66"/>
      <c r="V790" s="1"/>
    </row>
    <row r="791" spans="1:22" ht="15.75" customHeight="1">
      <c r="A791" s="1"/>
      <c r="B791" s="103"/>
      <c r="C791" s="8"/>
      <c r="E791" s="29"/>
      <c r="F791" s="47"/>
      <c r="J791" s="47"/>
      <c r="K791" s="47"/>
      <c r="L791" s="66"/>
      <c r="M791" s="66"/>
      <c r="N791" s="76"/>
      <c r="O791" s="115"/>
      <c r="P791" s="116"/>
      <c r="Q791" s="66"/>
      <c r="V791" s="1"/>
    </row>
    <row r="792" spans="1:22" ht="15.75" customHeight="1">
      <c r="A792" s="1"/>
      <c r="B792" s="103"/>
      <c r="C792" s="8"/>
      <c r="E792" s="29"/>
      <c r="F792" s="47"/>
      <c r="J792" s="47"/>
      <c r="K792" s="47"/>
      <c r="L792" s="66"/>
      <c r="M792" s="66"/>
      <c r="N792" s="76"/>
      <c r="O792" s="115"/>
      <c r="P792" s="116"/>
      <c r="Q792" s="66"/>
      <c r="V792" s="1"/>
    </row>
    <row r="793" spans="1:22" ht="15.75" customHeight="1">
      <c r="A793" s="1"/>
      <c r="B793" s="103"/>
      <c r="C793" s="8"/>
      <c r="E793" s="29"/>
      <c r="F793" s="47"/>
      <c r="J793" s="47"/>
      <c r="K793" s="47"/>
      <c r="L793" s="66"/>
      <c r="M793" s="66"/>
      <c r="N793" s="76"/>
      <c r="O793" s="115"/>
      <c r="P793" s="116"/>
      <c r="Q793" s="66"/>
      <c r="V793" s="1"/>
    </row>
    <row r="794" spans="1:22" ht="15.75" customHeight="1">
      <c r="A794" s="1"/>
      <c r="B794" s="103"/>
      <c r="C794" s="8"/>
      <c r="E794" s="29"/>
      <c r="F794" s="47"/>
      <c r="J794" s="47"/>
      <c r="K794" s="47"/>
      <c r="L794" s="66"/>
      <c r="M794" s="66"/>
      <c r="N794" s="76"/>
      <c r="O794" s="115"/>
      <c r="P794" s="116"/>
      <c r="Q794" s="66"/>
      <c r="V794" s="1"/>
    </row>
    <row r="795" spans="1:22" ht="15.75" customHeight="1">
      <c r="A795" s="1"/>
      <c r="B795" s="103"/>
      <c r="C795" s="8"/>
      <c r="E795" s="29"/>
      <c r="F795" s="47"/>
      <c r="J795" s="47"/>
      <c r="K795" s="47"/>
      <c r="L795" s="66"/>
      <c r="M795" s="66"/>
      <c r="N795" s="76"/>
      <c r="O795" s="115"/>
      <c r="P795" s="116"/>
      <c r="Q795" s="66"/>
      <c r="V795" s="1"/>
    </row>
    <row r="796" spans="1:22" ht="15.75" customHeight="1">
      <c r="A796" s="1"/>
      <c r="B796" s="103"/>
      <c r="C796" s="8"/>
      <c r="E796" s="29"/>
      <c r="F796" s="47"/>
      <c r="J796" s="47"/>
      <c r="K796" s="47"/>
      <c r="L796" s="66"/>
      <c r="M796" s="66"/>
      <c r="N796" s="76"/>
      <c r="O796" s="115"/>
      <c r="P796" s="116"/>
      <c r="Q796" s="66"/>
      <c r="V796" s="1"/>
    </row>
    <row r="797" spans="1:22" ht="15.75" customHeight="1">
      <c r="A797" s="1"/>
      <c r="B797" s="103"/>
      <c r="C797" s="8"/>
      <c r="E797" s="29"/>
      <c r="F797" s="47"/>
      <c r="J797" s="47"/>
      <c r="K797" s="47"/>
      <c r="L797" s="66"/>
      <c r="M797" s="66"/>
      <c r="N797" s="76"/>
      <c r="O797" s="115"/>
      <c r="P797" s="116"/>
      <c r="Q797" s="66"/>
      <c r="V797" s="1"/>
    </row>
    <row r="798" spans="1:22" ht="15.75" customHeight="1">
      <c r="A798" s="1"/>
      <c r="B798" s="103"/>
      <c r="C798" s="8"/>
      <c r="E798" s="29"/>
      <c r="F798" s="47"/>
      <c r="J798" s="47"/>
      <c r="K798" s="47"/>
      <c r="L798" s="66"/>
      <c r="M798" s="66"/>
      <c r="N798" s="76"/>
      <c r="O798" s="115"/>
      <c r="P798" s="116"/>
      <c r="Q798" s="66"/>
      <c r="V798" s="1"/>
    </row>
    <row r="799" spans="1:22" ht="15.75" customHeight="1">
      <c r="A799" s="1"/>
      <c r="B799" s="103"/>
      <c r="C799" s="8"/>
      <c r="E799" s="29"/>
      <c r="F799" s="47"/>
      <c r="J799" s="47"/>
      <c r="K799" s="47"/>
      <c r="L799" s="66"/>
      <c r="M799" s="66"/>
      <c r="N799" s="76"/>
      <c r="O799" s="115"/>
      <c r="P799" s="116"/>
      <c r="Q799" s="66"/>
      <c r="V799" s="1"/>
    </row>
    <row r="800" spans="1:22" ht="15.75" customHeight="1">
      <c r="A800" s="1"/>
      <c r="B800" s="103"/>
      <c r="C800" s="8"/>
      <c r="E800" s="29"/>
      <c r="F800" s="47"/>
      <c r="J800" s="47"/>
      <c r="K800" s="47"/>
      <c r="L800" s="66"/>
      <c r="M800" s="66"/>
      <c r="N800" s="76"/>
      <c r="O800" s="115"/>
      <c r="P800" s="116"/>
      <c r="Q800" s="66"/>
      <c r="V800" s="1"/>
    </row>
    <row r="801" spans="1:22" ht="15.75" customHeight="1">
      <c r="A801" s="1"/>
      <c r="B801" s="103"/>
      <c r="C801" s="8"/>
      <c r="E801" s="29"/>
      <c r="F801" s="47"/>
      <c r="J801" s="47"/>
      <c r="K801" s="47"/>
      <c r="L801" s="66"/>
      <c r="M801" s="66"/>
      <c r="N801" s="76"/>
      <c r="O801" s="115"/>
      <c r="P801" s="116"/>
      <c r="Q801" s="66"/>
      <c r="V801" s="1"/>
    </row>
    <row r="802" spans="1:22" ht="15.75" customHeight="1">
      <c r="A802" s="1"/>
      <c r="B802" s="103"/>
      <c r="C802" s="8"/>
      <c r="E802" s="29"/>
      <c r="F802" s="47"/>
      <c r="J802" s="47"/>
      <c r="K802" s="47"/>
      <c r="L802" s="66"/>
      <c r="M802" s="66"/>
      <c r="N802" s="76"/>
      <c r="O802" s="115"/>
      <c r="P802" s="116"/>
      <c r="Q802" s="66"/>
      <c r="V802" s="1"/>
    </row>
    <row r="803" spans="1:22" ht="15.75" customHeight="1">
      <c r="A803" s="1"/>
      <c r="B803" s="103"/>
      <c r="C803" s="8"/>
      <c r="E803" s="29"/>
      <c r="F803" s="47"/>
      <c r="J803" s="47"/>
      <c r="K803" s="47"/>
      <c r="L803" s="66"/>
      <c r="M803" s="66"/>
      <c r="N803" s="76"/>
      <c r="O803" s="115"/>
      <c r="P803" s="116"/>
      <c r="Q803" s="66"/>
      <c r="V803" s="1"/>
    </row>
    <row r="804" spans="1:22" ht="15.75" customHeight="1">
      <c r="A804" s="1"/>
      <c r="B804" s="103"/>
      <c r="C804" s="8"/>
      <c r="E804" s="29"/>
      <c r="F804" s="47"/>
      <c r="J804" s="47"/>
      <c r="K804" s="47"/>
      <c r="L804" s="66"/>
      <c r="M804" s="66"/>
      <c r="N804" s="76"/>
      <c r="O804" s="115"/>
      <c r="P804" s="116"/>
      <c r="Q804" s="66"/>
      <c r="V804" s="1"/>
    </row>
    <row r="805" spans="1:22" ht="15.75" customHeight="1">
      <c r="A805" s="1"/>
      <c r="B805" s="103"/>
      <c r="C805" s="8"/>
      <c r="E805" s="29"/>
      <c r="F805" s="47"/>
      <c r="J805" s="47"/>
      <c r="K805" s="47"/>
      <c r="L805" s="66"/>
      <c r="M805" s="66"/>
      <c r="N805" s="76"/>
      <c r="O805" s="115"/>
      <c r="P805" s="116"/>
      <c r="Q805" s="66"/>
      <c r="V805" s="1"/>
    </row>
    <row r="806" spans="1:22" ht="15.75" customHeight="1">
      <c r="A806" s="1"/>
      <c r="B806" s="103"/>
      <c r="C806" s="8"/>
      <c r="E806" s="29"/>
      <c r="F806" s="47"/>
      <c r="J806" s="47"/>
      <c r="K806" s="47"/>
      <c r="L806" s="66"/>
      <c r="M806" s="66"/>
      <c r="N806" s="76"/>
      <c r="O806" s="115"/>
      <c r="P806" s="116"/>
      <c r="Q806" s="66"/>
      <c r="V806" s="1"/>
    </row>
    <row r="807" spans="1:22" ht="15.75" customHeight="1">
      <c r="A807" s="1"/>
      <c r="B807" s="103"/>
      <c r="C807" s="8"/>
      <c r="E807" s="29"/>
      <c r="F807" s="47"/>
      <c r="J807" s="47"/>
      <c r="K807" s="47"/>
      <c r="L807" s="66"/>
      <c r="M807" s="66"/>
      <c r="N807" s="76"/>
      <c r="O807" s="115"/>
      <c r="P807" s="116"/>
      <c r="Q807" s="66"/>
      <c r="V807" s="1"/>
    </row>
    <row r="808" spans="1:22" ht="15.75" customHeight="1">
      <c r="A808" s="1"/>
      <c r="B808" s="103"/>
      <c r="C808" s="8"/>
      <c r="E808" s="29"/>
      <c r="F808" s="47"/>
      <c r="J808" s="47"/>
      <c r="K808" s="47"/>
      <c r="L808" s="66"/>
      <c r="M808" s="66"/>
      <c r="N808" s="76"/>
      <c r="O808" s="115"/>
      <c r="P808" s="116"/>
      <c r="Q808" s="66"/>
      <c r="V808" s="1"/>
    </row>
    <row r="809" spans="1:22" ht="15.75" customHeight="1">
      <c r="A809" s="1"/>
      <c r="B809" s="103"/>
      <c r="C809" s="8"/>
      <c r="E809" s="29"/>
      <c r="F809" s="47"/>
      <c r="J809" s="47"/>
      <c r="K809" s="47"/>
      <c r="L809" s="66"/>
      <c r="M809" s="66"/>
      <c r="N809" s="76"/>
      <c r="O809" s="115"/>
      <c r="P809" s="116"/>
      <c r="Q809" s="66"/>
      <c r="V809" s="1"/>
    </row>
    <row r="810" spans="1:22" ht="15.75" customHeight="1">
      <c r="A810" s="1"/>
      <c r="B810" s="103"/>
      <c r="C810" s="8"/>
      <c r="E810" s="29"/>
      <c r="F810" s="47"/>
      <c r="J810" s="47"/>
      <c r="K810" s="47"/>
      <c r="L810" s="66"/>
      <c r="M810" s="66"/>
      <c r="N810" s="76"/>
      <c r="O810" s="115"/>
      <c r="P810" s="116"/>
      <c r="Q810" s="66"/>
      <c r="V810" s="1"/>
    </row>
    <row r="811" spans="1:22" ht="15.75" customHeight="1">
      <c r="A811" s="1"/>
      <c r="B811" s="103"/>
      <c r="C811" s="8"/>
      <c r="E811" s="29"/>
      <c r="F811" s="47"/>
      <c r="J811" s="47"/>
      <c r="K811" s="47"/>
      <c r="L811" s="66"/>
      <c r="M811" s="66"/>
      <c r="N811" s="76"/>
      <c r="O811" s="115"/>
      <c r="P811" s="116"/>
      <c r="Q811" s="66"/>
      <c r="V811" s="1"/>
    </row>
    <row r="812" spans="1:22" ht="15.75" customHeight="1">
      <c r="A812" s="1"/>
      <c r="B812" s="103"/>
      <c r="C812" s="8"/>
      <c r="E812" s="29"/>
      <c r="F812" s="47"/>
      <c r="J812" s="47"/>
      <c r="K812" s="47"/>
      <c r="L812" s="66"/>
      <c r="M812" s="66"/>
      <c r="N812" s="76"/>
      <c r="O812" s="115"/>
      <c r="P812" s="116"/>
      <c r="Q812" s="66"/>
      <c r="V812" s="1"/>
    </row>
    <row r="813" spans="1:22" ht="15.75" customHeight="1">
      <c r="A813" s="1"/>
      <c r="B813" s="103"/>
      <c r="C813" s="8"/>
      <c r="E813" s="29"/>
      <c r="F813" s="47"/>
      <c r="J813" s="47"/>
      <c r="K813" s="47"/>
      <c r="L813" s="66"/>
      <c r="M813" s="66"/>
      <c r="N813" s="76"/>
      <c r="O813" s="115"/>
      <c r="P813" s="116"/>
      <c r="Q813" s="66"/>
      <c r="V813" s="1"/>
    </row>
    <row r="814" spans="1:22" ht="15.75" customHeight="1">
      <c r="A814" s="1"/>
      <c r="B814" s="103"/>
      <c r="C814" s="8"/>
      <c r="E814" s="29"/>
      <c r="F814" s="47"/>
      <c r="J814" s="47"/>
      <c r="K814" s="47"/>
      <c r="L814" s="66"/>
      <c r="M814" s="66"/>
      <c r="N814" s="76"/>
      <c r="O814" s="115"/>
      <c r="P814" s="116"/>
      <c r="Q814" s="66"/>
      <c r="V814" s="1"/>
    </row>
    <row r="815" spans="1:22" ht="15.75" customHeight="1">
      <c r="A815" s="1"/>
      <c r="B815" s="103"/>
      <c r="C815" s="8"/>
      <c r="E815" s="29"/>
      <c r="F815" s="47"/>
      <c r="J815" s="47"/>
      <c r="K815" s="47"/>
      <c r="L815" s="66"/>
      <c r="M815" s="66"/>
      <c r="N815" s="76"/>
      <c r="O815" s="115"/>
      <c r="P815" s="116"/>
      <c r="Q815" s="66"/>
      <c r="V815" s="1"/>
    </row>
    <row r="816" spans="1:22" ht="15.75" customHeight="1">
      <c r="A816" s="1"/>
      <c r="B816" s="103"/>
      <c r="C816" s="8"/>
      <c r="E816" s="29"/>
      <c r="F816" s="47"/>
      <c r="J816" s="47"/>
      <c r="K816" s="47"/>
      <c r="L816" s="66"/>
      <c r="M816" s="66"/>
      <c r="N816" s="76"/>
      <c r="O816" s="115"/>
      <c r="P816" s="116"/>
      <c r="Q816" s="66"/>
      <c r="V816" s="1"/>
    </row>
    <row r="817" spans="1:22" ht="15.75" customHeight="1">
      <c r="A817" s="1"/>
      <c r="B817" s="103"/>
      <c r="C817" s="8"/>
      <c r="E817" s="29"/>
      <c r="F817" s="47"/>
      <c r="J817" s="47"/>
      <c r="K817" s="47"/>
      <c r="L817" s="66"/>
      <c r="M817" s="66"/>
      <c r="N817" s="76"/>
      <c r="O817" s="115"/>
      <c r="P817" s="116"/>
      <c r="Q817" s="66"/>
      <c r="V817" s="1"/>
    </row>
    <row r="818" spans="1:22" ht="15.75" customHeight="1">
      <c r="A818" s="1"/>
      <c r="B818" s="103"/>
      <c r="C818" s="8"/>
      <c r="E818" s="29"/>
      <c r="F818" s="47"/>
      <c r="J818" s="47"/>
      <c r="K818" s="47"/>
      <c r="L818" s="66"/>
      <c r="M818" s="66"/>
      <c r="N818" s="76"/>
      <c r="O818" s="115"/>
      <c r="P818" s="116"/>
      <c r="Q818" s="66"/>
      <c r="V818" s="1"/>
    </row>
    <row r="819" spans="1:22" ht="15.75" customHeight="1">
      <c r="A819" s="1"/>
      <c r="B819" s="103"/>
      <c r="C819" s="8"/>
      <c r="E819" s="29"/>
      <c r="F819" s="47"/>
      <c r="J819" s="47"/>
      <c r="K819" s="47"/>
      <c r="L819" s="66"/>
      <c r="M819" s="66"/>
      <c r="N819" s="76"/>
      <c r="O819" s="115"/>
      <c r="P819" s="116"/>
      <c r="Q819" s="66"/>
      <c r="V819" s="1"/>
    </row>
    <row r="820" spans="1:22" ht="15.75" customHeight="1">
      <c r="A820" s="1"/>
      <c r="B820" s="103"/>
      <c r="C820" s="8"/>
      <c r="E820" s="29"/>
      <c r="F820" s="47"/>
      <c r="J820" s="47"/>
      <c r="K820" s="47"/>
      <c r="L820" s="66"/>
      <c r="M820" s="66"/>
      <c r="N820" s="76"/>
      <c r="O820" s="115"/>
      <c r="P820" s="116"/>
      <c r="Q820" s="66"/>
      <c r="V820" s="1"/>
    </row>
    <row r="821" spans="1:22" ht="15.75" customHeight="1">
      <c r="A821" s="1"/>
      <c r="B821" s="103"/>
      <c r="C821" s="8"/>
      <c r="E821" s="29"/>
      <c r="F821" s="47"/>
      <c r="J821" s="47"/>
      <c r="K821" s="47"/>
      <c r="L821" s="66"/>
      <c r="M821" s="66"/>
      <c r="N821" s="76"/>
      <c r="O821" s="115"/>
      <c r="P821" s="116"/>
      <c r="Q821" s="66"/>
      <c r="V821" s="1"/>
    </row>
    <row r="822" spans="1:22" ht="15.75" customHeight="1">
      <c r="A822" s="1"/>
      <c r="B822" s="103"/>
      <c r="C822" s="8"/>
      <c r="E822" s="29"/>
      <c r="F822" s="47"/>
      <c r="J822" s="47"/>
      <c r="K822" s="47"/>
      <c r="L822" s="66"/>
      <c r="M822" s="66"/>
      <c r="N822" s="76"/>
      <c r="O822" s="115"/>
      <c r="P822" s="116"/>
      <c r="Q822" s="66"/>
      <c r="V822" s="1"/>
    </row>
    <row r="823" spans="1:22" ht="15.75" customHeight="1">
      <c r="A823" s="1"/>
      <c r="B823" s="103"/>
      <c r="C823" s="8"/>
      <c r="E823" s="29"/>
      <c r="F823" s="47"/>
      <c r="J823" s="47"/>
      <c r="K823" s="47"/>
      <c r="L823" s="66"/>
      <c r="M823" s="66"/>
      <c r="N823" s="76"/>
      <c r="O823" s="115"/>
      <c r="P823" s="116"/>
      <c r="Q823" s="66"/>
      <c r="V823" s="1"/>
    </row>
    <row r="824" spans="1:22" ht="15.75" customHeight="1">
      <c r="A824" s="1"/>
      <c r="B824" s="103"/>
      <c r="C824" s="8"/>
      <c r="E824" s="29"/>
      <c r="F824" s="47"/>
      <c r="J824" s="47"/>
      <c r="K824" s="47"/>
      <c r="L824" s="66"/>
      <c r="M824" s="66"/>
      <c r="N824" s="76"/>
      <c r="O824" s="115"/>
      <c r="P824" s="116"/>
      <c r="Q824" s="66"/>
      <c r="V824" s="1"/>
    </row>
    <row r="825" spans="1:22" ht="15.75" customHeight="1">
      <c r="A825" s="1"/>
      <c r="B825" s="103"/>
      <c r="C825" s="8"/>
      <c r="E825" s="29"/>
      <c r="F825" s="47"/>
      <c r="J825" s="47"/>
      <c r="K825" s="47"/>
      <c r="L825" s="66"/>
      <c r="M825" s="66"/>
      <c r="N825" s="76"/>
      <c r="O825" s="115"/>
      <c r="P825" s="116"/>
      <c r="Q825" s="66"/>
      <c r="V825" s="1"/>
    </row>
    <row r="826" spans="1:22" ht="15.75" customHeight="1">
      <c r="A826" s="1"/>
      <c r="B826" s="103"/>
      <c r="C826" s="8"/>
      <c r="E826" s="29"/>
      <c r="F826" s="47"/>
      <c r="J826" s="47"/>
      <c r="K826" s="47"/>
      <c r="L826" s="66"/>
      <c r="M826" s="66"/>
      <c r="N826" s="76"/>
      <c r="O826" s="115"/>
      <c r="P826" s="116"/>
      <c r="Q826" s="66"/>
      <c r="V826" s="1"/>
    </row>
    <row r="827" spans="1:22" ht="15.75" customHeight="1">
      <c r="A827" s="1"/>
      <c r="B827" s="103"/>
      <c r="C827" s="8"/>
      <c r="E827" s="29"/>
      <c r="F827" s="47"/>
      <c r="J827" s="47"/>
      <c r="K827" s="47"/>
      <c r="L827" s="66"/>
      <c r="M827" s="66"/>
      <c r="N827" s="76"/>
      <c r="O827" s="115"/>
      <c r="P827" s="116"/>
      <c r="Q827" s="66"/>
      <c r="V827" s="1"/>
    </row>
    <row r="828" spans="1:22" ht="15.75" customHeight="1">
      <c r="A828" s="1"/>
      <c r="B828" s="103"/>
      <c r="C828" s="8"/>
      <c r="E828" s="29"/>
      <c r="F828" s="47"/>
      <c r="J828" s="47"/>
      <c r="K828" s="47"/>
      <c r="L828" s="66"/>
      <c r="M828" s="66"/>
      <c r="N828" s="76"/>
      <c r="O828" s="115"/>
      <c r="P828" s="116"/>
      <c r="Q828" s="66"/>
      <c r="V828" s="1"/>
    </row>
    <row r="829" spans="1:22" ht="15.75" customHeight="1">
      <c r="A829" s="1"/>
      <c r="B829" s="103"/>
      <c r="C829" s="8"/>
      <c r="E829" s="29"/>
      <c r="F829" s="47"/>
      <c r="J829" s="47"/>
      <c r="K829" s="47"/>
      <c r="L829" s="66"/>
      <c r="M829" s="66"/>
      <c r="N829" s="76"/>
      <c r="O829" s="115"/>
      <c r="P829" s="116"/>
      <c r="Q829" s="66"/>
      <c r="V829" s="1"/>
    </row>
    <row r="830" spans="1:22" ht="15.75" customHeight="1">
      <c r="A830" s="1"/>
      <c r="B830" s="103"/>
      <c r="C830" s="8"/>
      <c r="E830" s="29"/>
      <c r="F830" s="47"/>
      <c r="J830" s="47"/>
      <c r="K830" s="47"/>
      <c r="L830" s="66"/>
      <c r="M830" s="66"/>
      <c r="N830" s="76"/>
      <c r="O830" s="115"/>
      <c r="P830" s="116"/>
      <c r="Q830" s="66"/>
      <c r="V830" s="1"/>
    </row>
    <row r="831" spans="1:22" ht="15.75" customHeight="1">
      <c r="A831" s="1"/>
      <c r="B831" s="103"/>
      <c r="C831" s="8"/>
      <c r="E831" s="29"/>
      <c r="F831" s="47"/>
      <c r="J831" s="47"/>
      <c r="K831" s="47"/>
      <c r="L831" s="66"/>
      <c r="M831" s="66"/>
      <c r="N831" s="76"/>
      <c r="O831" s="115"/>
      <c r="P831" s="116"/>
      <c r="Q831" s="66"/>
      <c r="V831" s="1"/>
    </row>
    <row r="832" spans="1:22" ht="15.75" customHeight="1">
      <c r="A832" s="1"/>
      <c r="B832" s="103"/>
      <c r="C832" s="8"/>
      <c r="E832" s="29"/>
      <c r="F832" s="47"/>
      <c r="J832" s="47"/>
      <c r="K832" s="47"/>
      <c r="L832" s="66"/>
      <c r="M832" s="66"/>
      <c r="N832" s="76"/>
      <c r="O832" s="115"/>
      <c r="P832" s="116"/>
      <c r="Q832" s="66"/>
      <c r="V832" s="1"/>
    </row>
    <row r="833" spans="1:22" ht="15.75" customHeight="1">
      <c r="A833" s="1"/>
      <c r="B833" s="103"/>
      <c r="C833" s="8"/>
      <c r="E833" s="29"/>
      <c r="F833" s="47"/>
      <c r="J833" s="47"/>
      <c r="K833" s="47"/>
      <c r="L833" s="66"/>
      <c r="M833" s="66"/>
      <c r="N833" s="76"/>
      <c r="O833" s="115"/>
      <c r="P833" s="116"/>
      <c r="Q833" s="66"/>
      <c r="V833" s="1"/>
    </row>
    <row r="834" spans="1:22" ht="15.75" customHeight="1">
      <c r="A834" s="1"/>
      <c r="B834" s="103"/>
      <c r="C834" s="8"/>
      <c r="E834" s="29"/>
      <c r="F834" s="47"/>
      <c r="J834" s="47"/>
      <c r="K834" s="47"/>
      <c r="L834" s="66"/>
      <c r="M834" s="66"/>
      <c r="N834" s="76"/>
      <c r="O834" s="115"/>
      <c r="P834" s="116"/>
      <c r="Q834" s="66"/>
      <c r="V834" s="1"/>
    </row>
    <row r="835" spans="1:22" ht="15.75" customHeight="1">
      <c r="A835" s="1"/>
      <c r="B835" s="103"/>
      <c r="C835" s="8"/>
      <c r="E835" s="29"/>
      <c r="F835" s="47"/>
      <c r="J835" s="47"/>
      <c r="K835" s="47"/>
      <c r="L835" s="66"/>
      <c r="M835" s="66"/>
      <c r="N835" s="76"/>
      <c r="O835" s="115"/>
      <c r="P835" s="116"/>
      <c r="Q835" s="66"/>
      <c r="V835" s="1"/>
    </row>
    <row r="836" spans="1:22" ht="15.75" customHeight="1">
      <c r="A836" s="1"/>
      <c r="B836" s="103"/>
      <c r="C836" s="8"/>
      <c r="E836" s="29"/>
      <c r="F836" s="47"/>
      <c r="J836" s="47"/>
      <c r="K836" s="47"/>
      <c r="L836" s="66"/>
      <c r="M836" s="66"/>
      <c r="N836" s="76"/>
      <c r="O836" s="115"/>
      <c r="P836" s="116"/>
      <c r="Q836" s="66"/>
      <c r="V836" s="1"/>
    </row>
    <row r="837" spans="1:22" ht="15.75" customHeight="1">
      <c r="A837" s="1"/>
      <c r="B837" s="103"/>
      <c r="C837" s="8"/>
      <c r="E837" s="29"/>
      <c r="F837" s="47"/>
      <c r="J837" s="47"/>
      <c r="K837" s="47"/>
      <c r="L837" s="66"/>
      <c r="M837" s="66"/>
      <c r="N837" s="76"/>
      <c r="O837" s="115"/>
      <c r="P837" s="116"/>
      <c r="Q837" s="66"/>
      <c r="V837" s="1"/>
    </row>
    <row r="838" spans="1:22" ht="15.75" customHeight="1">
      <c r="A838" s="1"/>
      <c r="B838" s="103"/>
      <c r="C838" s="8"/>
      <c r="E838" s="29"/>
      <c r="F838" s="47"/>
      <c r="J838" s="47"/>
      <c r="K838" s="47"/>
      <c r="L838" s="66"/>
      <c r="M838" s="66"/>
      <c r="N838" s="76"/>
      <c r="O838" s="115"/>
      <c r="P838" s="116"/>
      <c r="Q838" s="66"/>
      <c r="V838" s="1"/>
    </row>
    <row r="839" spans="1:22" ht="15.75" customHeight="1">
      <c r="A839" s="1"/>
      <c r="B839" s="103"/>
      <c r="C839" s="8"/>
      <c r="E839" s="29"/>
      <c r="F839" s="47"/>
      <c r="J839" s="47"/>
      <c r="K839" s="47"/>
      <c r="L839" s="66"/>
      <c r="M839" s="66"/>
      <c r="N839" s="76"/>
      <c r="O839" s="115"/>
      <c r="P839" s="116"/>
      <c r="Q839" s="66"/>
      <c r="V839" s="1"/>
    </row>
    <row r="840" spans="1:22" ht="15.75" customHeight="1">
      <c r="A840" s="1"/>
      <c r="B840" s="103"/>
      <c r="C840" s="8"/>
      <c r="E840" s="29"/>
      <c r="F840" s="47"/>
      <c r="J840" s="47"/>
      <c r="K840" s="47"/>
      <c r="L840" s="66"/>
      <c r="M840" s="66"/>
      <c r="N840" s="76"/>
      <c r="O840" s="115"/>
      <c r="P840" s="116"/>
      <c r="Q840" s="66"/>
      <c r="V840" s="1"/>
    </row>
    <row r="841" spans="1:22" ht="15.75" customHeight="1">
      <c r="A841" s="1"/>
      <c r="B841" s="103"/>
      <c r="C841" s="8"/>
      <c r="E841" s="29"/>
      <c r="F841" s="47"/>
      <c r="J841" s="47"/>
      <c r="K841" s="47"/>
      <c r="L841" s="66"/>
      <c r="M841" s="66"/>
      <c r="N841" s="76"/>
      <c r="O841" s="115"/>
      <c r="P841" s="116"/>
      <c r="Q841" s="66"/>
      <c r="V841" s="1"/>
    </row>
    <row r="842" spans="1:22" ht="15.75" customHeight="1">
      <c r="A842" s="1"/>
      <c r="B842" s="103"/>
      <c r="C842" s="8"/>
      <c r="E842" s="29"/>
      <c r="F842" s="47"/>
      <c r="J842" s="47"/>
      <c r="K842" s="47"/>
      <c r="L842" s="66"/>
      <c r="M842" s="66"/>
      <c r="N842" s="76"/>
      <c r="O842" s="115"/>
      <c r="P842" s="116"/>
      <c r="Q842" s="66"/>
      <c r="V842" s="1"/>
    </row>
    <row r="843" spans="1:22" ht="15.75" customHeight="1">
      <c r="A843" s="1"/>
      <c r="B843" s="103"/>
      <c r="C843" s="8"/>
      <c r="E843" s="29"/>
      <c r="F843" s="47"/>
      <c r="J843" s="47"/>
      <c r="K843" s="47"/>
      <c r="L843" s="66"/>
      <c r="M843" s="66"/>
      <c r="N843" s="76"/>
      <c r="O843" s="115"/>
      <c r="P843" s="116"/>
      <c r="Q843" s="66"/>
      <c r="V843" s="1"/>
    </row>
    <row r="844" spans="1:22" ht="15.75" customHeight="1">
      <c r="A844" s="1"/>
      <c r="B844" s="103"/>
      <c r="C844" s="8"/>
      <c r="E844" s="29"/>
      <c r="F844" s="47"/>
      <c r="J844" s="47"/>
      <c r="K844" s="47"/>
      <c r="L844" s="66"/>
      <c r="M844" s="66"/>
      <c r="N844" s="76"/>
      <c r="O844" s="115"/>
      <c r="P844" s="116"/>
      <c r="Q844" s="66"/>
      <c r="V844" s="1"/>
    </row>
    <row r="845" spans="1:22" ht="15.75" customHeight="1">
      <c r="A845" s="1"/>
      <c r="B845" s="103"/>
      <c r="C845" s="8"/>
      <c r="E845" s="29"/>
      <c r="F845" s="47"/>
      <c r="J845" s="47"/>
      <c r="K845" s="47"/>
      <c r="L845" s="66"/>
      <c r="M845" s="66"/>
      <c r="N845" s="76"/>
      <c r="O845" s="115"/>
      <c r="P845" s="116"/>
      <c r="Q845" s="66"/>
      <c r="V845" s="1"/>
    </row>
    <row r="846" spans="1:22" ht="15.75" customHeight="1">
      <c r="A846" s="1"/>
      <c r="B846" s="103"/>
      <c r="C846" s="8"/>
      <c r="E846" s="29"/>
      <c r="F846" s="47"/>
      <c r="J846" s="47"/>
      <c r="K846" s="47"/>
      <c r="L846" s="66"/>
      <c r="M846" s="66"/>
      <c r="N846" s="76"/>
      <c r="O846" s="115"/>
      <c r="P846" s="116"/>
      <c r="Q846" s="66"/>
      <c r="V846" s="1"/>
    </row>
    <row r="847" spans="1:22" ht="15.75" customHeight="1">
      <c r="A847" s="1"/>
      <c r="B847" s="103"/>
      <c r="C847" s="8"/>
      <c r="E847" s="29"/>
      <c r="F847" s="47"/>
      <c r="J847" s="47"/>
      <c r="K847" s="47"/>
      <c r="L847" s="66"/>
      <c r="M847" s="66"/>
      <c r="N847" s="76"/>
      <c r="O847" s="115"/>
      <c r="P847" s="116"/>
      <c r="Q847" s="66"/>
      <c r="V847" s="1"/>
    </row>
    <row r="848" spans="1:22" ht="15.75" customHeight="1">
      <c r="A848" s="1"/>
      <c r="B848" s="103"/>
      <c r="C848" s="8"/>
      <c r="E848" s="29"/>
      <c r="F848" s="47"/>
      <c r="J848" s="47"/>
      <c r="K848" s="47"/>
      <c r="L848" s="66"/>
      <c r="M848" s="66"/>
      <c r="N848" s="76"/>
      <c r="O848" s="115"/>
      <c r="P848" s="116"/>
      <c r="Q848" s="66"/>
      <c r="V848" s="1"/>
    </row>
    <row r="849" spans="1:22" ht="15.75" customHeight="1">
      <c r="A849" s="1"/>
      <c r="B849" s="103"/>
      <c r="C849" s="8"/>
      <c r="E849" s="29"/>
      <c r="F849" s="47"/>
      <c r="J849" s="47"/>
      <c r="K849" s="47"/>
      <c r="L849" s="66"/>
      <c r="M849" s="66"/>
      <c r="N849" s="76"/>
      <c r="O849" s="115"/>
      <c r="P849" s="116"/>
      <c r="Q849" s="66"/>
      <c r="V849" s="1"/>
    </row>
    <row r="850" spans="1:22" ht="15.75" customHeight="1">
      <c r="A850" s="1"/>
      <c r="B850" s="103"/>
      <c r="C850" s="8"/>
      <c r="E850" s="29"/>
      <c r="F850" s="47"/>
      <c r="J850" s="47"/>
      <c r="K850" s="47"/>
      <c r="L850" s="66"/>
      <c r="M850" s="66"/>
      <c r="N850" s="76"/>
      <c r="O850" s="115"/>
      <c r="P850" s="116"/>
      <c r="Q850" s="66"/>
      <c r="V850" s="1"/>
    </row>
    <row r="851" spans="1:22" ht="15.75" customHeight="1">
      <c r="A851" s="1"/>
      <c r="B851" s="103"/>
      <c r="C851" s="8"/>
      <c r="E851" s="29"/>
      <c r="F851" s="47"/>
      <c r="J851" s="47"/>
      <c r="K851" s="47"/>
      <c r="L851" s="66"/>
      <c r="M851" s="66"/>
      <c r="N851" s="76"/>
      <c r="O851" s="115"/>
      <c r="P851" s="116"/>
      <c r="Q851" s="66"/>
      <c r="V851" s="1"/>
    </row>
    <row r="852" spans="1:22" ht="15.75" customHeight="1">
      <c r="A852" s="1"/>
      <c r="B852" s="103"/>
      <c r="C852" s="8"/>
      <c r="E852" s="29"/>
      <c r="F852" s="47"/>
      <c r="J852" s="47"/>
      <c r="K852" s="47"/>
      <c r="L852" s="66"/>
      <c r="M852" s="66"/>
      <c r="N852" s="76"/>
      <c r="O852" s="115"/>
      <c r="P852" s="116"/>
      <c r="Q852" s="66"/>
      <c r="V852" s="1"/>
    </row>
    <row r="853" spans="1:22" ht="15.75" customHeight="1">
      <c r="A853" s="1"/>
      <c r="B853" s="103"/>
      <c r="C853" s="8"/>
      <c r="E853" s="29"/>
      <c r="F853" s="47"/>
      <c r="J853" s="47"/>
      <c r="K853" s="47"/>
      <c r="L853" s="66"/>
      <c r="M853" s="66"/>
      <c r="N853" s="76"/>
      <c r="O853" s="115"/>
      <c r="P853" s="116"/>
      <c r="Q853" s="66"/>
      <c r="V853" s="1"/>
    </row>
    <row r="854" spans="1:22" ht="15.75" customHeight="1">
      <c r="A854" s="1"/>
      <c r="B854" s="103"/>
      <c r="C854" s="8"/>
      <c r="E854" s="29"/>
      <c r="F854" s="47"/>
      <c r="J854" s="47"/>
      <c r="K854" s="47"/>
      <c r="L854" s="66"/>
      <c r="M854" s="66"/>
      <c r="N854" s="76"/>
      <c r="O854" s="115"/>
      <c r="P854" s="116"/>
      <c r="Q854" s="66"/>
      <c r="V854" s="1"/>
    </row>
    <row r="855" spans="1:22" ht="15.75" customHeight="1">
      <c r="A855" s="1"/>
      <c r="B855" s="103"/>
      <c r="C855" s="8"/>
      <c r="E855" s="29"/>
      <c r="F855" s="47"/>
      <c r="J855" s="47"/>
      <c r="K855" s="47"/>
      <c r="L855" s="66"/>
      <c r="M855" s="66"/>
      <c r="N855" s="76"/>
      <c r="O855" s="115"/>
      <c r="P855" s="116"/>
      <c r="Q855" s="66"/>
      <c r="V855" s="1"/>
    </row>
    <row r="856" spans="1:22" ht="15.75" customHeight="1">
      <c r="A856" s="1"/>
      <c r="B856" s="103"/>
      <c r="C856" s="8"/>
      <c r="E856" s="29"/>
      <c r="F856" s="47"/>
      <c r="J856" s="47"/>
      <c r="K856" s="47"/>
      <c r="L856" s="66"/>
      <c r="M856" s="66"/>
      <c r="N856" s="76"/>
      <c r="O856" s="115"/>
      <c r="P856" s="116"/>
      <c r="Q856" s="66"/>
      <c r="V856" s="1"/>
    </row>
    <row r="857" spans="1:22" ht="15.75" customHeight="1">
      <c r="A857" s="1"/>
      <c r="B857" s="103"/>
      <c r="C857" s="8"/>
      <c r="E857" s="29"/>
      <c r="F857" s="47"/>
      <c r="J857" s="47"/>
      <c r="K857" s="47"/>
      <c r="L857" s="66"/>
      <c r="M857" s="66"/>
      <c r="N857" s="76"/>
      <c r="O857" s="115"/>
      <c r="P857" s="116"/>
      <c r="Q857" s="66"/>
      <c r="V857" s="1"/>
    </row>
    <row r="858" spans="1:22" ht="15.75" customHeight="1">
      <c r="A858" s="1"/>
      <c r="B858" s="103"/>
      <c r="C858" s="8"/>
      <c r="E858" s="29"/>
      <c r="F858" s="47"/>
      <c r="J858" s="47"/>
      <c r="K858" s="47"/>
      <c r="L858" s="66"/>
      <c r="M858" s="66"/>
      <c r="N858" s="76"/>
      <c r="O858" s="115"/>
      <c r="P858" s="116"/>
      <c r="Q858" s="66"/>
      <c r="V858" s="1"/>
    </row>
    <row r="859" spans="1:22" ht="15.75" customHeight="1">
      <c r="A859" s="1"/>
      <c r="B859" s="103"/>
      <c r="C859" s="8"/>
      <c r="E859" s="29"/>
      <c r="F859" s="47"/>
      <c r="J859" s="47"/>
      <c r="K859" s="47"/>
      <c r="L859" s="66"/>
      <c r="M859" s="66"/>
      <c r="N859" s="76"/>
      <c r="O859" s="115"/>
      <c r="P859" s="116"/>
      <c r="Q859" s="66"/>
      <c r="V859" s="1"/>
    </row>
    <row r="860" spans="1:22" ht="15.75" customHeight="1">
      <c r="A860" s="1"/>
      <c r="B860" s="103"/>
      <c r="C860" s="8"/>
      <c r="E860" s="29"/>
      <c r="F860" s="47"/>
      <c r="J860" s="47"/>
      <c r="K860" s="47"/>
      <c r="L860" s="66"/>
      <c r="M860" s="66"/>
      <c r="N860" s="76"/>
      <c r="O860" s="115"/>
      <c r="P860" s="116"/>
      <c r="Q860" s="66"/>
      <c r="V860" s="1"/>
    </row>
    <row r="861" spans="1:22" ht="15.75" customHeight="1">
      <c r="A861" s="1"/>
      <c r="B861" s="103"/>
      <c r="C861" s="8"/>
      <c r="E861" s="29"/>
      <c r="F861" s="47"/>
      <c r="J861" s="47"/>
      <c r="K861" s="47"/>
      <c r="L861" s="66"/>
      <c r="M861" s="66"/>
      <c r="N861" s="76"/>
      <c r="O861" s="115"/>
      <c r="P861" s="116"/>
      <c r="Q861" s="66"/>
      <c r="V861" s="1"/>
    </row>
    <row r="862" spans="1:22" ht="15.75" customHeight="1">
      <c r="A862" s="1"/>
      <c r="B862" s="103"/>
      <c r="C862" s="8"/>
      <c r="E862" s="29"/>
      <c r="F862" s="47"/>
      <c r="J862" s="47"/>
      <c r="K862" s="47"/>
      <c r="L862" s="66"/>
      <c r="M862" s="66"/>
      <c r="N862" s="76"/>
      <c r="O862" s="115"/>
      <c r="P862" s="116"/>
      <c r="Q862" s="66"/>
      <c r="V862" s="1"/>
    </row>
    <row r="863" spans="1:22" ht="15.75" customHeight="1">
      <c r="A863" s="1"/>
      <c r="B863" s="103"/>
      <c r="C863" s="8"/>
      <c r="E863" s="29"/>
      <c r="F863" s="47"/>
      <c r="J863" s="47"/>
      <c r="K863" s="47"/>
      <c r="L863" s="66"/>
      <c r="M863" s="66"/>
      <c r="N863" s="76"/>
      <c r="O863" s="115"/>
      <c r="P863" s="116"/>
      <c r="Q863" s="66"/>
      <c r="V863" s="1"/>
    </row>
    <row r="864" spans="1:22" ht="15.75" customHeight="1">
      <c r="A864" s="1"/>
      <c r="B864" s="103"/>
      <c r="C864" s="8"/>
      <c r="E864" s="29"/>
      <c r="F864" s="47"/>
      <c r="J864" s="47"/>
      <c r="K864" s="47"/>
      <c r="L864" s="66"/>
      <c r="M864" s="66"/>
      <c r="N864" s="76"/>
      <c r="O864" s="115"/>
      <c r="P864" s="116"/>
      <c r="Q864" s="66"/>
      <c r="V864" s="1"/>
    </row>
    <row r="865" spans="1:22" ht="15.75" customHeight="1">
      <c r="A865" s="1"/>
      <c r="B865" s="103"/>
      <c r="C865" s="8"/>
      <c r="E865" s="29"/>
      <c r="F865" s="47"/>
      <c r="J865" s="47"/>
      <c r="K865" s="47"/>
      <c r="L865" s="66"/>
      <c r="M865" s="66"/>
      <c r="N865" s="76"/>
      <c r="O865" s="115"/>
      <c r="P865" s="116"/>
      <c r="Q865" s="66"/>
      <c r="V865" s="1"/>
    </row>
    <row r="866" spans="1:22" ht="15.75" customHeight="1">
      <c r="A866" s="1"/>
      <c r="B866" s="103"/>
      <c r="C866" s="8"/>
      <c r="E866" s="29"/>
      <c r="F866" s="47"/>
      <c r="J866" s="47"/>
      <c r="K866" s="47"/>
      <c r="L866" s="66"/>
      <c r="M866" s="66"/>
      <c r="N866" s="76"/>
      <c r="O866" s="115"/>
      <c r="P866" s="116"/>
      <c r="Q866" s="66"/>
      <c r="V866" s="1"/>
    </row>
    <row r="867" spans="1:22" ht="15.75" customHeight="1">
      <c r="A867" s="1"/>
      <c r="B867" s="103"/>
      <c r="C867" s="8"/>
      <c r="E867" s="29"/>
      <c r="F867" s="47"/>
      <c r="J867" s="47"/>
      <c r="K867" s="47"/>
      <c r="L867" s="66"/>
      <c r="M867" s="66"/>
      <c r="N867" s="76"/>
      <c r="O867" s="115"/>
      <c r="P867" s="116"/>
      <c r="Q867" s="66"/>
      <c r="V867" s="1"/>
    </row>
    <row r="868" spans="1:22" ht="15.75" customHeight="1">
      <c r="A868" s="1"/>
      <c r="B868" s="103"/>
      <c r="C868" s="8"/>
      <c r="E868" s="29"/>
      <c r="F868" s="47"/>
      <c r="J868" s="47"/>
      <c r="K868" s="47"/>
      <c r="L868" s="66"/>
      <c r="M868" s="66"/>
      <c r="N868" s="76"/>
      <c r="O868" s="115"/>
      <c r="P868" s="116"/>
      <c r="Q868" s="66"/>
      <c r="V868" s="1"/>
    </row>
    <row r="869" spans="1:22" ht="15.75" customHeight="1">
      <c r="A869" s="1"/>
      <c r="B869" s="103"/>
      <c r="C869" s="8"/>
      <c r="E869" s="29"/>
      <c r="F869" s="47"/>
      <c r="J869" s="47"/>
      <c r="K869" s="47"/>
      <c r="L869" s="66"/>
      <c r="M869" s="66"/>
      <c r="N869" s="76"/>
      <c r="O869" s="115"/>
      <c r="P869" s="116"/>
      <c r="Q869" s="66"/>
      <c r="V869" s="1"/>
    </row>
    <row r="870" spans="1:22" ht="15.75" customHeight="1">
      <c r="A870" s="1"/>
      <c r="B870" s="103"/>
      <c r="C870" s="8"/>
      <c r="E870" s="29"/>
      <c r="F870" s="47"/>
      <c r="J870" s="47"/>
      <c r="K870" s="47"/>
      <c r="L870" s="66"/>
      <c r="M870" s="66"/>
      <c r="N870" s="76"/>
      <c r="O870" s="115"/>
      <c r="P870" s="116"/>
      <c r="Q870" s="66"/>
      <c r="V870" s="1"/>
    </row>
    <row r="871" spans="1:22" ht="15.75" customHeight="1">
      <c r="A871" s="1"/>
      <c r="B871" s="103"/>
      <c r="C871" s="8"/>
      <c r="E871" s="29"/>
      <c r="F871" s="47"/>
      <c r="J871" s="47"/>
      <c r="K871" s="47"/>
      <c r="L871" s="66"/>
      <c r="M871" s="66"/>
      <c r="N871" s="76"/>
      <c r="O871" s="115"/>
      <c r="P871" s="116"/>
      <c r="Q871" s="66"/>
      <c r="V871" s="1"/>
    </row>
    <row r="872" spans="1:22" ht="15.75" customHeight="1">
      <c r="A872" s="1"/>
      <c r="B872" s="103"/>
      <c r="C872" s="8"/>
      <c r="E872" s="29"/>
      <c r="F872" s="47"/>
      <c r="J872" s="47"/>
      <c r="K872" s="47"/>
      <c r="L872" s="66"/>
      <c r="M872" s="66"/>
      <c r="N872" s="76"/>
      <c r="O872" s="115"/>
      <c r="P872" s="116"/>
      <c r="Q872" s="66"/>
      <c r="V872" s="1"/>
    </row>
    <row r="873" spans="1:22" ht="15.75" customHeight="1">
      <c r="A873" s="1"/>
      <c r="B873" s="103"/>
      <c r="C873" s="8"/>
      <c r="E873" s="29"/>
      <c r="F873" s="47"/>
      <c r="J873" s="47"/>
      <c r="K873" s="47"/>
      <c r="L873" s="66"/>
      <c r="M873" s="66"/>
      <c r="N873" s="76"/>
      <c r="O873" s="115"/>
      <c r="P873" s="116"/>
      <c r="Q873" s="66"/>
      <c r="V873" s="1"/>
    </row>
    <row r="874" spans="1:22" ht="15.75" customHeight="1">
      <c r="A874" s="1"/>
      <c r="B874" s="103"/>
      <c r="C874" s="8"/>
      <c r="E874" s="29"/>
      <c r="F874" s="47"/>
      <c r="J874" s="47"/>
      <c r="K874" s="47"/>
      <c r="L874" s="66"/>
      <c r="M874" s="66"/>
      <c r="N874" s="76"/>
      <c r="O874" s="115"/>
      <c r="P874" s="116"/>
      <c r="Q874" s="66"/>
      <c r="V874" s="1"/>
    </row>
    <row r="875" spans="1:22" ht="15.75" customHeight="1">
      <c r="A875" s="1"/>
      <c r="B875" s="103"/>
      <c r="C875" s="8"/>
      <c r="E875" s="29"/>
      <c r="F875" s="47"/>
      <c r="J875" s="47"/>
      <c r="K875" s="47"/>
      <c r="L875" s="66"/>
      <c r="M875" s="66"/>
      <c r="N875" s="76"/>
      <c r="O875" s="115"/>
      <c r="P875" s="116"/>
      <c r="Q875" s="66"/>
      <c r="V875" s="1"/>
    </row>
    <row r="876" spans="1:22" ht="15.75" customHeight="1">
      <c r="A876" s="1"/>
      <c r="B876" s="103"/>
      <c r="C876" s="8"/>
      <c r="E876" s="29"/>
      <c r="F876" s="47"/>
      <c r="J876" s="47"/>
      <c r="K876" s="47"/>
      <c r="L876" s="66"/>
      <c r="M876" s="66"/>
      <c r="N876" s="76"/>
      <c r="O876" s="115"/>
      <c r="P876" s="116"/>
      <c r="Q876" s="66"/>
      <c r="V876" s="1"/>
    </row>
    <row r="877" spans="1:22" ht="15.75" customHeight="1">
      <c r="A877" s="1"/>
      <c r="B877" s="103"/>
      <c r="C877" s="8"/>
      <c r="E877" s="29"/>
      <c r="F877" s="47"/>
      <c r="J877" s="47"/>
      <c r="K877" s="47"/>
      <c r="L877" s="66"/>
      <c r="M877" s="66"/>
      <c r="N877" s="76"/>
      <c r="O877" s="115"/>
      <c r="P877" s="116"/>
      <c r="Q877" s="66"/>
      <c r="V877" s="1"/>
    </row>
    <row r="878" spans="1:22" ht="15.75" customHeight="1">
      <c r="A878" s="1"/>
      <c r="B878" s="103"/>
      <c r="C878" s="8"/>
      <c r="E878" s="29"/>
      <c r="F878" s="47"/>
      <c r="J878" s="47"/>
      <c r="K878" s="47"/>
      <c r="L878" s="66"/>
      <c r="M878" s="66"/>
      <c r="N878" s="76"/>
      <c r="O878" s="115"/>
      <c r="P878" s="116"/>
      <c r="Q878" s="66"/>
      <c r="V878" s="1"/>
    </row>
    <row r="879" spans="1:22" ht="15.75" customHeight="1">
      <c r="A879" s="1"/>
      <c r="B879" s="103"/>
      <c r="C879" s="8"/>
      <c r="E879" s="29"/>
      <c r="F879" s="47"/>
      <c r="J879" s="47"/>
      <c r="K879" s="47"/>
      <c r="L879" s="66"/>
      <c r="M879" s="66"/>
      <c r="N879" s="76"/>
      <c r="O879" s="115"/>
      <c r="P879" s="116"/>
      <c r="Q879" s="66"/>
      <c r="V879" s="1"/>
    </row>
    <row r="880" spans="1:22" ht="15.75" customHeight="1">
      <c r="A880" s="1"/>
      <c r="B880" s="103"/>
      <c r="C880" s="8"/>
      <c r="E880" s="29"/>
      <c r="F880" s="47"/>
      <c r="J880" s="47"/>
      <c r="K880" s="47"/>
      <c r="L880" s="66"/>
      <c r="M880" s="66"/>
      <c r="N880" s="76"/>
      <c r="O880" s="115"/>
      <c r="P880" s="116"/>
      <c r="Q880" s="66"/>
      <c r="V880" s="1"/>
    </row>
    <row r="881" spans="1:22" ht="15.75" customHeight="1">
      <c r="A881" s="1"/>
      <c r="B881" s="103"/>
      <c r="C881" s="8"/>
      <c r="E881" s="29"/>
      <c r="F881" s="47"/>
      <c r="J881" s="47"/>
      <c r="K881" s="47"/>
      <c r="L881" s="66"/>
      <c r="M881" s="66"/>
      <c r="N881" s="76"/>
      <c r="O881" s="115"/>
      <c r="P881" s="116"/>
      <c r="Q881" s="66"/>
      <c r="V881" s="1"/>
    </row>
    <row r="882" spans="1:22" ht="15.75" customHeight="1">
      <c r="A882" s="1"/>
      <c r="B882" s="103"/>
      <c r="C882" s="8"/>
      <c r="E882" s="29"/>
      <c r="F882" s="47"/>
      <c r="J882" s="47"/>
      <c r="K882" s="47"/>
      <c r="L882" s="66"/>
      <c r="M882" s="66"/>
      <c r="N882" s="76"/>
      <c r="O882" s="115"/>
      <c r="P882" s="116"/>
      <c r="Q882" s="66"/>
      <c r="V882" s="1"/>
    </row>
    <row r="883" spans="1:22" ht="15.75" customHeight="1">
      <c r="A883" s="1"/>
      <c r="B883" s="103"/>
      <c r="C883" s="8"/>
      <c r="E883" s="29"/>
      <c r="F883" s="47"/>
      <c r="J883" s="47"/>
      <c r="K883" s="47"/>
      <c r="L883" s="66"/>
      <c r="M883" s="66"/>
      <c r="N883" s="76"/>
      <c r="O883" s="115"/>
      <c r="P883" s="116"/>
      <c r="Q883" s="66"/>
      <c r="V883" s="1"/>
    </row>
    <row r="884" spans="1:22" ht="15.75" customHeight="1">
      <c r="A884" s="1"/>
      <c r="B884" s="103"/>
      <c r="C884" s="8"/>
      <c r="E884" s="29"/>
      <c r="F884" s="47"/>
      <c r="J884" s="47"/>
      <c r="K884" s="47"/>
      <c r="L884" s="66"/>
      <c r="M884" s="66"/>
      <c r="N884" s="76"/>
      <c r="O884" s="115"/>
      <c r="P884" s="116"/>
      <c r="Q884" s="66"/>
      <c r="V884" s="1"/>
    </row>
    <row r="885" spans="1:22" ht="15.75" customHeight="1">
      <c r="A885" s="1"/>
      <c r="B885" s="103"/>
      <c r="C885" s="8"/>
      <c r="E885" s="29"/>
      <c r="F885" s="47"/>
      <c r="J885" s="47"/>
      <c r="K885" s="47"/>
      <c r="L885" s="66"/>
      <c r="M885" s="66"/>
      <c r="N885" s="76"/>
      <c r="O885" s="115"/>
      <c r="P885" s="116"/>
      <c r="Q885" s="66"/>
      <c r="V885" s="1"/>
    </row>
    <row r="886" spans="1:22" ht="15.75" customHeight="1">
      <c r="A886" s="1"/>
      <c r="B886" s="103"/>
      <c r="C886" s="8"/>
      <c r="E886" s="29"/>
      <c r="F886" s="47"/>
      <c r="J886" s="47"/>
      <c r="K886" s="47"/>
      <c r="L886" s="66"/>
      <c r="M886" s="66"/>
      <c r="N886" s="76"/>
      <c r="O886" s="115"/>
      <c r="P886" s="116"/>
      <c r="Q886" s="66"/>
      <c r="V886" s="1"/>
    </row>
    <row r="887" spans="1:22" ht="15.75" customHeight="1">
      <c r="A887" s="1"/>
      <c r="B887" s="103"/>
      <c r="C887" s="8"/>
      <c r="E887" s="29"/>
      <c r="F887" s="47"/>
      <c r="J887" s="47"/>
      <c r="K887" s="47"/>
      <c r="L887" s="66"/>
      <c r="M887" s="66"/>
      <c r="N887" s="76"/>
      <c r="O887" s="115"/>
      <c r="P887" s="116"/>
      <c r="Q887" s="66"/>
      <c r="V887" s="1"/>
    </row>
    <row r="888" spans="1:22" ht="15.75" customHeight="1">
      <c r="A888" s="1"/>
      <c r="B888" s="103"/>
      <c r="C888" s="8"/>
      <c r="E888" s="29"/>
      <c r="F888" s="47"/>
      <c r="J888" s="47"/>
      <c r="K888" s="47"/>
      <c r="L888" s="66"/>
      <c r="M888" s="66"/>
      <c r="N888" s="76"/>
      <c r="O888" s="115"/>
      <c r="P888" s="116"/>
      <c r="Q888" s="66"/>
      <c r="V888" s="1"/>
    </row>
    <row r="889" spans="1:22" ht="15.75" customHeight="1">
      <c r="A889" s="1"/>
      <c r="B889" s="103"/>
      <c r="C889" s="8"/>
      <c r="E889" s="29"/>
      <c r="F889" s="47"/>
      <c r="J889" s="47"/>
      <c r="K889" s="47"/>
      <c r="L889" s="66"/>
      <c r="M889" s="66"/>
      <c r="N889" s="76"/>
      <c r="O889" s="115"/>
      <c r="P889" s="116"/>
      <c r="Q889" s="66"/>
      <c r="V889" s="1"/>
    </row>
    <row r="890" spans="1:22" ht="15.75" customHeight="1">
      <c r="A890" s="1"/>
      <c r="B890" s="103"/>
      <c r="C890" s="8"/>
      <c r="E890" s="29"/>
      <c r="F890" s="47"/>
      <c r="J890" s="47"/>
      <c r="K890" s="47"/>
      <c r="L890" s="66"/>
      <c r="M890" s="66"/>
      <c r="N890" s="76"/>
      <c r="O890" s="115"/>
      <c r="P890" s="116"/>
      <c r="Q890" s="66"/>
      <c r="V890" s="1"/>
    </row>
    <row r="891" spans="1:22" ht="15.75" customHeight="1">
      <c r="A891" s="1"/>
      <c r="B891" s="103"/>
      <c r="C891" s="8"/>
      <c r="E891" s="29"/>
      <c r="F891" s="47"/>
      <c r="J891" s="47"/>
      <c r="K891" s="47"/>
      <c r="L891" s="66"/>
      <c r="M891" s="66"/>
      <c r="N891" s="76"/>
      <c r="O891" s="115"/>
      <c r="P891" s="116"/>
      <c r="Q891" s="66"/>
      <c r="V891" s="1"/>
    </row>
    <row r="892" spans="1:22" ht="15.75" customHeight="1">
      <c r="A892" s="1"/>
      <c r="B892" s="103"/>
      <c r="C892" s="8"/>
      <c r="E892" s="29"/>
      <c r="F892" s="47"/>
      <c r="J892" s="47"/>
      <c r="K892" s="47"/>
      <c r="L892" s="66"/>
      <c r="M892" s="66"/>
      <c r="N892" s="76"/>
      <c r="O892" s="115"/>
      <c r="P892" s="116"/>
      <c r="Q892" s="66"/>
      <c r="V892" s="1"/>
    </row>
    <row r="893" spans="1:22" ht="15.75" customHeight="1">
      <c r="A893" s="1"/>
      <c r="B893" s="103"/>
      <c r="C893" s="8"/>
      <c r="E893" s="29"/>
      <c r="F893" s="47"/>
      <c r="J893" s="47"/>
      <c r="K893" s="47"/>
      <c r="L893" s="66"/>
      <c r="M893" s="66"/>
      <c r="N893" s="76"/>
      <c r="O893" s="115"/>
      <c r="P893" s="116"/>
      <c r="Q893" s="66"/>
      <c r="V893" s="1"/>
    </row>
    <row r="894" spans="1:22" ht="15.75" customHeight="1">
      <c r="A894" s="1"/>
      <c r="B894" s="103"/>
      <c r="C894" s="8"/>
      <c r="E894" s="29"/>
      <c r="F894" s="47"/>
      <c r="J894" s="47"/>
      <c r="K894" s="47"/>
      <c r="L894" s="66"/>
      <c r="M894" s="66"/>
      <c r="N894" s="76"/>
      <c r="O894" s="115"/>
      <c r="P894" s="116"/>
      <c r="Q894" s="66"/>
      <c r="V894" s="1"/>
    </row>
    <row r="895" spans="1:22" ht="15.75" customHeight="1">
      <c r="A895" s="1"/>
      <c r="B895" s="103"/>
      <c r="C895" s="8"/>
      <c r="E895" s="29"/>
      <c r="F895" s="47"/>
      <c r="J895" s="47"/>
      <c r="K895" s="47"/>
      <c r="L895" s="66"/>
      <c r="M895" s="66"/>
      <c r="N895" s="76"/>
      <c r="O895" s="115"/>
      <c r="P895" s="116"/>
      <c r="Q895" s="66"/>
      <c r="V895" s="1"/>
    </row>
    <row r="896" spans="1:22" ht="15.75" customHeight="1">
      <c r="A896" s="1"/>
      <c r="B896" s="103"/>
      <c r="C896" s="8"/>
      <c r="E896" s="29"/>
      <c r="F896" s="47"/>
      <c r="J896" s="47"/>
      <c r="K896" s="47"/>
      <c r="L896" s="66"/>
      <c r="M896" s="66"/>
      <c r="N896" s="76"/>
      <c r="O896" s="115"/>
      <c r="P896" s="116"/>
      <c r="Q896" s="66"/>
      <c r="V896" s="1"/>
    </row>
    <row r="897" spans="1:22" ht="15.75" customHeight="1">
      <c r="A897" s="1"/>
      <c r="B897" s="103"/>
      <c r="C897" s="8"/>
      <c r="E897" s="29"/>
      <c r="F897" s="47"/>
      <c r="J897" s="47"/>
      <c r="K897" s="47"/>
      <c r="L897" s="66"/>
      <c r="M897" s="66"/>
      <c r="N897" s="76"/>
      <c r="O897" s="115"/>
      <c r="P897" s="116"/>
      <c r="Q897" s="66"/>
      <c r="V897" s="1"/>
    </row>
    <row r="898" spans="1:22" ht="15.75" customHeight="1">
      <c r="A898" s="1"/>
      <c r="B898" s="103"/>
      <c r="C898" s="8"/>
      <c r="E898" s="29"/>
      <c r="F898" s="47"/>
      <c r="J898" s="47"/>
      <c r="K898" s="47"/>
      <c r="L898" s="66"/>
      <c r="M898" s="66"/>
      <c r="N898" s="76"/>
      <c r="O898" s="115"/>
      <c r="P898" s="116"/>
      <c r="Q898" s="66"/>
      <c r="V898" s="1"/>
    </row>
    <row r="899" spans="1:22" ht="15.75" customHeight="1">
      <c r="A899" s="1"/>
      <c r="B899" s="103"/>
      <c r="C899" s="8"/>
      <c r="E899" s="29"/>
      <c r="F899" s="47"/>
      <c r="J899" s="47"/>
      <c r="K899" s="47"/>
      <c r="L899" s="66"/>
      <c r="M899" s="66"/>
      <c r="N899" s="76"/>
      <c r="O899" s="115"/>
      <c r="P899" s="116"/>
      <c r="Q899" s="66"/>
      <c r="V899" s="1"/>
    </row>
    <row r="900" spans="1:22" ht="15.75" customHeight="1">
      <c r="A900" s="1"/>
      <c r="B900" s="103"/>
      <c r="C900" s="8"/>
      <c r="E900" s="29"/>
      <c r="F900" s="47"/>
      <c r="J900" s="47"/>
      <c r="K900" s="47"/>
      <c r="L900" s="66"/>
      <c r="M900" s="66"/>
      <c r="N900" s="76"/>
      <c r="O900" s="115"/>
      <c r="P900" s="116"/>
      <c r="Q900" s="66"/>
      <c r="V900" s="1"/>
    </row>
    <row r="901" spans="1:22" ht="15.75" customHeight="1">
      <c r="A901" s="1"/>
      <c r="B901" s="103"/>
      <c r="C901" s="8"/>
      <c r="E901" s="29"/>
      <c r="F901" s="47"/>
      <c r="J901" s="47"/>
      <c r="K901" s="47"/>
      <c r="L901" s="66"/>
      <c r="M901" s="66"/>
      <c r="N901" s="76"/>
      <c r="O901" s="115"/>
      <c r="P901" s="116"/>
      <c r="Q901" s="66"/>
      <c r="V901" s="1"/>
    </row>
    <row r="902" spans="1:22" ht="15.75" customHeight="1">
      <c r="A902" s="1"/>
      <c r="B902" s="103"/>
      <c r="C902" s="8"/>
      <c r="E902" s="29"/>
      <c r="F902" s="47"/>
      <c r="J902" s="47"/>
      <c r="K902" s="47"/>
      <c r="L902" s="66"/>
      <c r="M902" s="66"/>
      <c r="N902" s="76"/>
      <c r="O902" s="115"/>
      <c r="P902" s="116"/>
      <c r="Q902" s="66"/>
      <c r="V902" s="1"/>
    </row>
    <row r="903" spans="1:22" ht="15.75" customHeight="1">
      <c r="A903" s="1"/>
      <c r="B903" s="103"/>
      <c r="C903" s="8"/>
      <c r="E903" s="29"/>
      <c r="F903" s="47"/>
      <c r="J903" s="47"/>
      <c r="K903" s="47"/>
      <c r="L903" s="66"/>
      <c r="M903" s="66"/>
      <c r="N903" s="76"/>
      <c r="O903" s="115"/>
      <c r="P903" s="116"/>
      <c r="Q903" s="66"/>
      <c r="V903" s="1"/>
    </row>
    <row r="904" spans="1:22" ht="15.75" customHeight="1">
      <c r="A904" s="1"/>
      <c r="B904" s="103"/>
      <c r="C904" s="8"/>
      <c r="E904" s="29"/>
      <c r="F904" s="47"/>
      <c r="J904" s="47"/>
      <c r="K904" s="47"/>
      <c r="L904" s="66"/>
      <c r="M904" s="66"/>
      <c r="N904" s="76"/>
      <c r="O904" s="115"/>
      <c r="P904" s="116"/>
      <c r="Q904" s="66"/>
      <c r="V904" s="1"/>
    </row>
    <row r="905" spans="1:22" ht="15.75" customHeight="1">
      <c r="A905" s="1"/>
      <c r="B905" s="103"/>
      <c r="C905" s="8"/>
      <c r="E905" s="29"/>
      <c r="F905" s="47"/>
      <c r="J905" s="47"/>
      <c r="K905" s="47"/>
      <c r="L905" s="66"/>
      <c r="M905" s="66"/>
      <c r="N905" s="76"/>
      <c r="O905" s="115"/>
      <c r="P905" s="116"/>
      <c r="Q905" s="66"/>
      <c r="V905" s="1"/>
    </row>
    <row r="906" spans="1:22" ht="15.75" customHeight="1">
      <c r="A906" s="1"/>
      <c r="B906" s="103"/>
      <c r="C906" s="8"/>
      <c r="E906" s="29"/>
      <c r="F906" s="47"/>
      <c r="J906" s="47"/>
      <c r="K906" s="47"/>
      <c r="L906" s="66"/>
      <c r="M906" s="66"/>
      <c r="N906" s="76"/>
      <c r="O906" s="115"/>
      <c r="P906" s="116"/>
      <c r="Q906" s="66"/>
      <c r="V906" s="1"/>
    </row>
    <row r="907" spans="1:22" ht="15.75" customHeight="1">
      <c r="A907" s="1"/>
      <c r="B907" s="103"/>
      <c r="C907" s="8"/>
      <c r="E907" s="29"/>
      <c r="F907" s="47"/>
      <c r="J907" s="47"/>
      <c r="K907" s="47"/>
      <c r="L907" s="66"/>
      <c r="M907" s="66"/>
      <c r="N907" s="76"/>
      <c r="O907" s="115"/>
      <c r="P907" s="116"/>
      <c r="Q907" s="66"/>
      <c r="V907" s="1"/>
    </row>
    <row r="908" spans="1:22" ht="15.75" customHeight="1">
      <c r="A908" s="1"/>
      <c r="B908" s="103"/>
      <c r="C908" s="8"/>
      <c r="E908" s="29"/>
      <c r="F908" s="47"/>
      <c r="J908" s="47"/>
      <c r="K908" s="47"/>
      <c r="L908" s="66"/>
      <c r="M908" s="66"/>
      <c r="N908" s="76"/>
      <c r="O908" s="115"/>
      <c r="P908" s="116"/>
      <c r="Q908" s="66"/>
      <c r="V908" s="1"/>
    </row>
    <row r="909" spans="1:22" ht="15.75" customHeight="1">
      <c r="A909" s="1"/>
      <c r="B909" s="103"/>
      <c r="C909" s="8"/>
      <c r="E909" s="29"/>
      <c r="F909" s="47"/>
      <c r="J909" s="47"/>
      <c r="K909" s="47"/>
      <c r="L909" s="66"/>
      <c r="M909" s="66"/>
      <c r="N909" s="76"/>
      <c r="O909" s="115"/>
      <c r="P909" s="116"/>
      <c r="Q909" s="66"/>
      <c r="V909" s="1"/>
    </row>
    <row r="910" spans="1:22" ht="15.75" customHeight="1">
      <c r="A910" s="1"/>
      <c r="B910" s="103"/>
      <c r="C910" s="8"/>
      <c r="E910" s="29"/>
      <c r="F910" s="47"/>
      <c r="J910" s="47"/>
      <c r="K910" s="47"/>
      <c r="L910" s="66"/>
      <c r="M910" s="66"/>
      <c r="N910" s="76"/>
      <c r="O910" s="115"/>
      <c r="P910" s="116"/>
      <c r="Q910" s="66"/>
      <c r="V910" s="1"/>
    </row>
    <row r="911" spans="1:22" ht="15.75" customHeight="1">
      <c r="A911" s="1"/>
      <c r="B911" s="103"/>
      <c r="C911" s="8"/>
      <c r="E911" s="29"/>
      <c r="F911" s="47"/>
      <c r="J911" s="47"/>
      <c r="K911" s="47"/>
      <c r="L911" s="66"/>
      <c r="M911" s="66"/>
      <c r="N911" s="76"/>
      <c r="O911" s="115"/>
      <c r="P911" s="116"/>
      <c r="Q911" s="66"/>
      <c r="V911" s="1"/>
    </row>
    <row r="912" spans="1:22" ht="15.75" customHeight="1">
      <c r="A912" s="1"/>
      <c r="B912" s="103"/>
      <c r="C912" s="8"/>
      <c r="E912" s="29"/>
      <c r="F912" s="47"/>
      <c r="J912" s="47"/>
      <c r="K912" s="47"/>
      <c r="L912" s="66"/>
      <c r="M912" s="66"/>
      <c r="N912" s="76"/>
      <c r="O912" s="115"/>
      <c r="P912" s="116"/>
      <c r="Q912" s="66"/>
      <c r="V912" s="1"/>
    </row>
    <row r="913" spans="1:22" ht="15.75" customHeight="1">
      <c r="A913" s="1"/>
      <c r="B913" s="103"/>
      <c r="C913" s="8"/>
      <c r="E913" s="29"/>
      <c r="F913" s="47"/>
      <c r="J913" s="47"/>
      <c r="K913" s="47"/>
      <c r="L913" s="66"/>
      <c r="M913" s="66"/>
      <c r="N913" s="76"/>
      <c r="O913" s="115"/>
      <c r="P913" s="116"/>
      <c r="Q913" s="66"/>
      <c r="V913" s="1"/>
    </row>
    <row r="914" spans="1:22" ht="15.75" customHeight="1">
      <c r="A914" s="1"/>
      <c r="B914" s="103"/>
      <c r="C914" s="8"/>
      <c r="E914" s="29"/>
      <c r="F914" s="47"/>
      <c r="J914" s="47"/>
      <c r="K914" s="47"/>
      <c r="L914" s="66"/>
      <c r="M914" s="66"/>
      <c r="N914" s="76"/>
      <c r="O914" s="115"/>
      <c r="P914" s="116"/>
      <c r="Q914" s="66"/>
      <c r="V914" s="1"/>
    </row>
    <row r="915" spans="1:22" ht="15.75" customHeight="1">
      <c r="A915" s="1"/>
      <c r="B915" s="103"/>
      <c r="C915" s="8"/>
      <c r="E915" s="29"/>
      <c r="F915" s="47"/>
      <c r="J915" s="47"/>
      <c r="K915" s="47"/>
      <c r="L915" s="66"/>
      <c r="M915" s="66"/>
      <c r="N915" s="76"/>
      <c r="O915" s="115"/>
      <c r="P915" s="116"/>
      <c r="Q915" s="66"/>
      <c r="V915" s="1"/>
    </row>
    <row r="916" spans="1:22" ht="15.75" customHeight="1">
      <c r="A916" s="1"/>
      <c r="B916" s="103"/>
      <c r="C916" s="8"/>
      <c r="E916" s="29"/>
      <c r="F916" s="47"/>
      <c r="J916" s="47"/>
      <c r="K916" s="47"/>
      <c r="L916" s="66"/>
      <c r="M916" s="66"/>
      <c r="N916" s="76"/>
      <c r="O916" s="115"/>
      <c r="P916" s="116"/>
      <c r="Q916" s="66"/>
      <c r="V916" s="1"/>
    </row>
    <row r="917" spans="1:22" ht="15.75" customHeight="1">
      <c r="A917" s="1"/>
      <c r="B917" s="103"/>
      <c r="C917" s="8"/>
      <c r="E917" s="29"/>
      <c r="F917" s="47"/>
      <c r="J917" s="47"/>
      <c r="K917" s="47"/>
      <c r="L917" s="66"/>
      <c r="M917" s="66"/>
      <c r="N917" s="76"/>
      <c r="O917" s="115"/>
      <c r="P917" s="116"/>
      <c r="Q917" s="66"/>
      <c r="V917" s="1"/>
    </row>
    <row r="918" spans="1:22" ht="15.75" customHeight="1">
      <c r="A918" s="1"/>
      <c r="B918" s="103"/>
      <c r="C918" s="8"/>
      <c r="E918" s="29"/>
      <c r="F918" s="47"/>
      <c r="J918" s="47"/>
      <c r="K918" s="47"/>
      <c r="L918" s="66"/>
      <c r="M918" s="66"/>
      <c r="N918" s="76"/>
      <c r="O918" s="115"/>
      <c r="P918" s="116"/>
      <c r="Q918" s="66"/>
      <c r="V918" s="1"/>
    </row>
    <row r="919" spans="1:22" ht="15.75" customHeight="1">
      <c r="A919" s="1"/>
      <c r="B919" s="103"/>
      <c r="C919" s="8"/>
      <c r="E919" s="29"/>
      <c r="F919" s="47"/>
      <c r="J919" s="47"/>
      <c r="K919" s="47"/>
      <c r="L919" s="66"/>
      <c r="M919" s="66"/>
      <c r="N919" s="76"/>
      <c r="O919" s="115"/>
      <c r="P919" s="116"/>
      <c r="Q919" s="66"/>
      <c r="V919" s="1"/>
    </row>
    <row r="920" spans="1:22" ht="15.75" customHeight="1">
      <c r="A920" s="1"/>
      <c r="B920" s="103"/>
      <c r="C920" s="8"/>
      <c r="E920" s="29"/>
      <c r="F920" s="47"/>
      <c r="J920" s="47"/>
      <c r="K920" s="47"/>
      <c r="L920" s="66"/>
      <c r="M920" s="66"/>
      <c r="N920" s="76"/>
      <c r="O920" s="115"/>
      <c r="P920" s="116"/>
      <c r="Q920" s="66"/>
      <c r="V920" s="1"/>
    </row>
    <row r="921" spans="1:22" ht="15.75" customHeight="1">
      <c r="A921" s="1"/>
      <c r="B921" s="103"/>
      <c r="C921" s="8"/>
      <c r="E921" s="29"/>
      <c r="F921" s="47"/>
      <c r="J921" s="47"/>
      <c r="K921" s="47"/>
      <c r="L921" s="66"/>
      <c r="M921" s="66"/>
      <c r="N921" s="76"/>
      <c r="O921" s="115"/>
      <c r="P921" s="116"/>
      <c r="Q921" s="66"/>
      <c r="V921" s="1"/>
    </row>
    <row r="922" spans="1:22" ht="15.75" customHeight="1">
      <c r="A922" s="1"/>
      <c r="B922" s="103"/>
      <c r="C922" s="8"/>
      <c r="E922" s="29"/>
      <c r="F922" s="47"/>
      <c r="J922" s="47"/>
      <c r="K922" s="47"/>
      <c r="L922" s="66"/>
      <c r="M922" s="66"/>
      <c r="N922" s="76"/>
      <c r="O922" s="115"/>
      <c r="P922" s="116"/>
      <c r="Q922" s="66"/>
      <c r="V922" s="1"/>
    </row>
    <row r="923" spans="1:22" ht="15.75" customHeight="1">
      <c r="A923" s="1"/>
      <c r="B923" s="103"/>
      <c r="C923" s="8"/>
      <c r="E923" s="29"/>
      <c r="F923" s="47"/>
      <c r="J923" s="47"/>
      <c r="K923" s="47"/>
      <c r="L923" s="66"/>
      <c r="M923" s="66"/>
      <c r="N923" s="76"/>
      <c r="O923" s="115"/>
      <c r="P923" s="116"/>
      <c r="Q923" s="66"/>
      <c r="V923" s="1"/>
    </row>
    <row r="924" spans="1:22" ht="15.75" customHeight="1">
      <c r="A924" s="1"/>
      <c r="B924" s="103"/>
      <c r="C924" s="8"/>
      <c r="E924" s="29"/>
      <c r="F924" s="47"/>
      <c r="J924" s="47"/>
      <c r="K924" s="47"/>
      <c r="L924" s="66"/>
      <c r="M924" s="66"/>
      <c r="N924" s="76"/>
      <c r="O924" s="115"/>
      <c r="P924" s="116"/>
      <c r="Q924" s="66"/>
      <c r="V924" s="1"/>
    </row>
    <row r="925" spans="1:22" ht="15.75" customHeight="1">
      <c r="A925" s="1"/>
      <c r="B925" s="103"/>
      <c r="C925" s="8"/>
      <c r="E925" s="29"/>
      <c r="F925" s="47"/>
      <c r="J925" s="47"/>
      <c r="K925" s="47"/>
      <c r="L925" s="66"/>
      <c r="M925" s="66"/>
      <c r="N925" s="76"/>
      <c r="O925" s="115"/>
      <c r="P925" s="116"/>
      <c r="Q925" s="66"/>
      <c r="V925" s="1"/>
    </row>
    <row r="926" spans="1:22" ht="15.75" customHeight="1">
      <c r="A926" s="1"/>
      <c r="B926" s="103"/>
      <c r="C926" s="8"/>
      <c r="E926" s="29"/>
      <c r="F926" s="47"/>
      <c r="J926" s="47"/>
      <c r="K926" s="47"/>
      <c r="L926" s="66"/>
      <c r="M926" s="66"/>
      <c r="N926" s="76"/>
      <c r="O926" s="115"/>
      <c r="P926" s="116"/>
      <c r="Q926" s="66"/>
      <c r="V926" s="1"/>
    </row>
    <row r="927" spans="1:22" ht="15.75" customHeight="1">
      <c r="A927" s="1"/>
      <c r="B927" s="103"/>
      <c r="C927" s="8"/>
      <c r="E927" s="29"/>
      <c r="F927" s="47"/>
      <c r="J927" s="47"/>
      <c r="K927" s="47"/>
      <c r="L927" s="66"/>
      <c r="M927" s="66"/>
      <c r="N927" s="76"/>
      <c r="O927" s="115"/>
      <c r="P927" s="116"/>
      <c r="Q927" s="66"/>
      <c r="V927" s="1"/>
    </row>
    <row r="928" spans="1:22" ht="15.75" customHeight="1">
      <c r="A928" s="1"/>
      <c r="B928" s="103"/>
      <c r="C928" s="8"/>
      <c r="E928" s="29"/>
      <c r="F928" s="47"/>
      <c r="J928" s="47"/>
      <c r="K928" s="47"/>
      <c r="L928" s="66"/>
      <c r="M928" s="66"/>
      <c r="N928" s="76"/>
      <c r="O928" s="115"/>
      <c r="P928" s="116"/>
      <c r="Q928" s="66"/>
      <c r="V928" s="1"/>
    </row>
    <row r="929" spans="1:22" ht="15.75" customHeight="1">
      <c r="A929" s="1"/>
      <c r="B929" s="103"/>
      <c r="C929" s="8"/>
      <c r="E929" s="29"/>
      <c r="F929" s="47"/>
      <c r="J929" s="47"/>
      <c r="K929" s="47"/>
      <c r="L929" s="66"/>
      <c r="M929" s="66"/>
      <c r="N929" s="76"/>
      <c r="O929" s="115"/>
      <c r="P929" s="116"/>
      <c r="Q929" s="66"/>
      <c r="V929" s="1"/>
    </row>
    <row r="930" spans="1:22" ht="15.75" customHeight="1">
      <c r="A930" s="1"/>
      <c r="B930" s="103"/>
      <c r="C930" s="8"/>
      <c r="E930" s="29"/>
      <c r="F930" s="47"/>
      <c r="J930" s="47"/>
      <c r="K930" s="47"/>
      <c r="L930" s="66"/>
      <c r="M930" s="66"/>
      <c r="N930" s="76"/>
      <c r="O930" s="115"/>
      <c r="P930" s="116"/>
      <c r="Q930" s="66"/>
      <c r="V930" s="1"/>
    </row>
    <row r="931" spans="1:22" ht="15.75" customHeight="1">
      <c r="A931" s="1"/>
      <c r="B931" s="103"/>
      <c r="C931" s="8"/>
      <c r="E931" s="29"/>
      <c r="F931" s="47"/>
      <c r="J931" s="47"/>
      <c r="K931" s="47"/>
      <c r="L931" s="66"/>
      <c r="M931" s="66"/>
      <c r="N931" s="76"/>
      <c r="O931" s="115"/>
      <c r="P931" s="116"/>
      <c r="Q931" s="66"/>
      <c r="V931" s="1"/>
    </row>
    <row r="932" spans="1:22" ht="15.75" customHeight="1">
      <c r="A932" s="1"/>
      <c r="B932" s="103"/>
      <c r="C932" s="8"/>
      <c r="E932" s="29"/>
      <c r="F932" s="47"/>
      <c r="J932" s="47"/>
      <c r="K932" s="47"/>
      <c r="L932" s="66"/>
      <c r="M932" s="66"/>
      <c r="N932" s="76"/>
      <c r="O932" s="115"/>
      <c r="P932" s="116"/>
      <c r="Q932" s="66"/>
      <c r="V932" s="1"/>
    </row>
    <row r="933" spans="1:22" ht="15.75" customHeight="1">
      <c r="A933" s="1"/>
      <c r="B933" s="103"/>
      <c r="C933" s="8"/>
      <c r="E933" s="29"/>
      <c r="F933" s="47"/>
      <c r="J933" s="47"/>
      <c r="K933" s="47"/>
      <c r="L933" s="66"/>
      <c r="M933" s="66"/>
      <c r="N933" s="76"/>
      <c r="O933" s="115"/>
      <c r="P933" s="116"/>
      <c r="Q933" s="66"/>
      <c r="V933" s="1"/>
    </row>
    <row r="934" spans="1:22" ht="15.75" customHeight="1">
      <c r="A934" s="1"/>
      <c r="B934" s="103"/>
      <c r="C934" s="8"/>
      <c r="E934" s="29"/>
      <c r="F934" s="47"/>
      <c r="J934" s="47"/>
      <c r="K934" s="47"/>
      <c r="L934" s="66"/>
      <c r="M934" s="66"/>
      <c r="N934" s="76"/>
      <c r="O934" s="115"/>
      <c r="P934" s="116"/>
      <c r="Q934" s="66"/>
      <c r="V934" s="1"/>
    </row>
    <row r="935" spans="1:22" ht="15.75" customHeight="1">
      <c r="A935" s="1"/>
      <c r="B935" s="103"/>
      <c r="C935" s="8"/>
      <c r="E935" s="29"/>
      <c r="F935" s="47"/>
      <c r="J935" s="47"/>
      <c r="K935" s="47"/>
      <c r="L935" s="66"/>
      <c r="M935" s="66"/>
      <c r="N935" s="76"/>
      <c r="O935" s="115"/>
      <c r="P935" s="116"/>
      <c r="Q935" s="66"/>
      <c r="V935" s="1"/>
    </row>
    <row r="936" spans="1:22" ht="15.75" customHeight="1">
      <c r="A936" s="1"/>
      <c r="B936" s="103"/>
      <c r="C936" s="8"/>
      <c r="E936" s="29"/>
      <c r="F936" s="47"/>
      <c r="J936" s="47"/>
      <c r="K936" s="47"/>
      <c r="L936" s="66"/>
      <c r="M936" s="66"/>
      <c r="N936" s="76"/>
      <c r="O936" s="115"/>
      <c r="P936" s="116"/>
      <c r="Q936" s="66"/>
      <c r="V936" s="1"/>
    </row>
    <row r="937" spans="1:22" ht="15.75" customHeight="1">
      <c r="A937" s="1"/>
      <c r="B937" s="103"/>
      <c r="C937" s="8"/>
      <c r="E937" s="29"/>
      <c r="F937" s="47"/>
      <c r="J937" s="47"/>
      <c r="K937" s="47"/>
      <c r="L937" s="66"/>
      <c r="M937" s="66"/>
      <c r="N937" s="76"/>
      <c r="O937" s="115"/>
      <c r="P937" s="116"/>
      <c r="Q937" s="66"/>
      <c r="V937" s="1"/>
    </row>
    <row r="938" spans="1:22" ht="15.75" customHeight="1">
      <c r="A938" s="1"/>
      <c r="B938" s="103"/>
      <c r="C938" s="8"/>
      <c r="E938" s="29"/>
      <c r="F938" s="47"/>
      <c r="J938" s="47"/>
      <c r="K938" s="47"/>
      <c r="L938" s="66"/>
      <c r="M938" s="66"/>
      <c r="N938" s="76"/>
      <c r="O938" s="115"/>
      <c r="P938" s="116"/>
      <c r="Q938" s="66"/>
      <c r="V938" s="1"/>
    </row>
    <row r="939" spans="1:22" ht="15.75" customHeight="1">
      <c r="A939" s="1"/>
      <c r="B939" s="103"/>
      <c r="C939" s="8"/>
      <c r="E939" s="29"/>
      <c r="F939" s="47"/>
      <c r="J939" s="47"/>
      <c r="K939" s="47"/>
      <c r="L939" s="66"/>
      <c r="M939" s="66"/>
      <c r="N939" s="76"/>
      <c r="O939" s="115"/>
      <c r="P939" s="116"/>
      <c r="Q939" s="66"/>
      <c r="V939" s="1"/>
    </row>
    <row r="940" spans="1:22" ht="15.75" customHeight="1">
      <c r="A940" s="1"/>
      <c r="B940" s="103"/>
      <c r="C940" s="8"/>
      <c r="E940" s="29"/>
      <c r="F940" s="47"/>
      <c r="J940" s="47"/>
      <c r="K940" s="47"/>
      <c r="L940" s="66"/>
      <c r="M940" s="66"/>
      <c r="N940" s="76"/>
      <c r="O940" s="115"/>
      <c r="P940" s="116"/>
      <c r="Q940" s="66"/>
      <c r="V940" s="1"/>
    </row>
    <row r="941" spans="1:22" ht="15.75" customHeight="1">
      <c r="A941" s="1"/>
      <c r="B941" s="103"/>
      <c r="C941" s="8"/>
      <c r="E941" s="29"/>
      <c r="F941" s="47"/>
      <c r="J941" s="47"/>
      <c r="K941" s="47"/>
      <c r="L941" s="66"/>
      <c r="M941" s="66"/>
      <c r="N941" s="76"/>
      <c r="O941" s="115"/>
      <c r="P941" s="116"/>
      <c r="Q941" s="66"/>
      <c r="V941" s="1"/>
    </row>
    <row r="942" spans="1:22" ht="15.75" customHeight="1">
      <c r="A942" s="1"/>
      <c r="B942" s="103"/>
      <c r="C942" s="8"/>
      <c r="E942" s="29"/>
      <c r="F942" s="47"/>
      <c r="J942" s="47"/>
      <c r="K942" s="47"/>
      <c r="L942" s="66"/>
      <c r="M942" s="66"/>
      <c r="N942" s="76"/>
      <c r="O942" s="115"/>
      <c r="P942" s="116"/>
      <c r="Q942" s="66"/>
      <c r="V942" s="1"/>
    </row>
    <row r="943" spans="1:22" ht="15.75" customHeight="1">
      <c r="A943" s="1"/>
      <c r="B943" s="103"/>
      <c r="C943" s="8"/>
      <c r="E943" s="29"/>
      <c r="F943" s="47"/>
      <c r="J943" s="47"/>
      <c r="K943" s="47"/>
      <c r="L943" s="66"/>
      <c r="M943" s="66"/>
      <c r="N943" s="76"/>
      <c r="O943" s="115"/>
      <c r="P943" s="116"/>
      <c r="Q943" s="66"/>
      <c r="V943" s="1"/>
    </row>
    <row r="944" spans="1:22" ht="15.75" customHeight="1">
      <c r="A944" s="1"/>
      <c r="B944" s="103"/>
      <c r="C944" s="8"/>
      <c r="E944" s="29"/>
      <c r="F944" s="47"/>
      <c r="J944" s="47"/>
      <c r="K944" s="47"/>
      <c r="L944" s="66"/>
      <c r="M944" s="66"/>
      <c r="N944" s="76"/>
      <c r="O944" s="115"/>
      <c r="P944" s="116"/>
      <c r="Q944" s="66"/>
      <c r="V944" s="1"/>
    </row>
    <row r="945" spans="1:22" ht="15.75" customHeight="1">
      <c r="A945" s="1"/>
      <c r="B945" s="103"/>
      <c r="C945" s="8"/>
      <c r="E945" s="29"/>
      <c r="F945" s="47"/>
      <c r="J945" s="47"/>
      <c r="K945" s="47"/>
      <c r="L945" s="66"/>
      <c r="M945" s="66"/>
      <c r="N945" s="76"/>
      <c r="O945" s="115"/>
      <c r="P945" s="116"/>
      <c r="Q945" s="66"/>
      <c r="V945" s="1"/>
    </row>
    <row r="946" spans="1:22" ht="15.75" customHeight="1">
      <c r="A946" s="1"/>
      <c r="B946" s="103"/>
      <c r="C946" s="8"/>
      <c r="E946" s="29"/>
      <c r="F946" s="47"/>
      <c r="J946" s="47"/>
      <c r="K946" s="47"/>
      <c r="L946" s="66"/>
      <c r="M946" s="66"/>
      <c r="N946" s="76"/>
      <c r="O946" s="115"/>
      <c r="P946" s="116"/>
      <c r="Q946" s="66"/>
      <c r="V946" s="1"/>
    </row>
    <row r="947" spans="1:22" ht="15.75" customHeight="1">
      <c r="A947" s="1"/>
      <c r="B947" s="103"/>
      <c r="C947" s="8"/>
      <c r="E947" s="29"/>
      <c r="F947" s="47"/>
      <c r="J947" s="47"/>
      <c r="K947" s="47"/>
      <c r="L947" s="66"/>
      <c r="M947" s="66"/>
      <c r="N947" s="76"/>
      <c r="O947" s="115"/>
      <c r="P947" s="116"/>
      <c r="Q947" s="66"/>
      <c r="V947" s="1"/>
    </row>
    <row r="948" spans="1:22" ht="15.75" customHeight="1">
      <c r="A948" s="1"/>
      <c r="B948" s="103"/>
      <c r="C948" s="8"/>
      <c r="E948" s="29"/>
      <c r="F948" s="47"/>
      <c r="J948" s="47"/>
      <c r="K948" s="47"/>
      <c r="L948" s="66"/>
      <c r="M948" s="66"/>
      <c r="N948" s="76"/>
      <c r="O948" s="115"/>
      <c r="P948" s="116"/>
      <c r="Q948" s="66"/>
      <c r="V948" s="1"/>
    </row>
    <row r="949" spans="1:22" ht="15.75" customHeight="1">
      <c r="A949" s="1"/>
      <c r="B949" s="103"/>
      <c r="C949" s="8"/>
      <c r="E949" s="29"/>
      <c r="F949" s="47"/>
      <c r="J949" s="47"/>
      <c r="K949" s="47"/>
      <c r="L949" s="66"/>
      <c r="M949" s="66"/>
      <c r="N949" s="76"/>
      <c r="O949" s="115"/>
      <c r="P949" s="116"/>
      <c r="Q949" s="66"/>
      <c r="V949" s="1"/>
    </row>
    <row r="950" spans="1:22" ht="15.75" customHeight="1">
      <c r="A950" s="1"/>
      <c r="B950" s="103"/>
      <c r="C950" s="8"/>
      <c r="E950" s="29"/>
      <c r="F950" s="47"/>
      <c r="J950" s="47"/>
      <c r="K950" s="47"/>
      <c r="L950" s="66"/>
      <c r="M950" s="66"/>
      <c r="N950" s="76"/>
      <c r="O950" s="115"/>
      <c r="P950" s="116"/>
      <c r="Q950" s="66"/>
      <c r="V950" s="1"/>
    </row>
    <row r="951" spans="1:22" ht="15.75" customHeight="1">
      <c r="A951" s="1"/>
      <c r="B951" s="103"/>
      <c r="C951" s="8"/>
      <c r="E951" s="29"/>
      <c r="F951" s="47"/>
      <c r="J951" s="47"/>
      <c r="K951" s="47"/>
      <c r="L951" s="66"/>
      <c r="M951" s="66"/>
      <c r="N951" s="76"/>
      <c r="O951" s="115"/>
      <c r="P951" s="116"/>
      <c r="Q951" s="66"/>
      <c r="V951" s="1"/>
    </row>
    <row r="952" spans="1:22" ht="15.75" customHeight="1">
      <c r="A952" s="1"/>
      <c r="B952" s="103"/>
      <c r="C952" s="8"/>
      <c r="E952" s="29"/>
      <c r="F952" s="47"/>
      <c r="J952" s="47"/>
      <c r="K952" s="47"/>
      <c r="L952" s="66"/>
      <c r="M952" s="66"/>
      <c r="N952" s="76"/>
      <c r="O952" s="115"/>
      <c r="P952" s="116"/>
      <c r="Q952" s="66"/>
      <c r="V952" s="1"/>
    </row>
    <row r="953" spans="1:22" ht="15.75" customHeight="1">
      <c r="A953" s="1"/>
      <c r="B953" s="103"/>
      <c r="C953" s="8"/>
      <c r="E953" s="29"/>
      <c r="F953" s="47"/>
      <c r="J953" s="47"/>
      <c r="K953" s="47"/>
      <c r="L953" s="66"/>
      <c r="M953" s="66"/>
      <c r="N953" s="76"/>
      <c r="O953" s="115"/>
      <c r="P953" s="116"/>
      <c r="Q953" s="66"/>
      <c r="V953" s="1"/>
    </row>
    <row r="954" spans="1:22" ht="15.75" customHeight="1">
      <c r="A954" s="1"/>
      <c r="B954" s="103"/>
      <c r="C954" s="8"/>
      <c r="E954" s="29"/>
      <c r="F954" s="47"/>
      <c r="J954" s="47"/>
      <c r="K954" s="47"/>
      <c r="L954" s="66"/>
      <c r="M954" s="66"/>
      <c r="N954" s="76"/>
      <c r="O954" s="115"/>
      <c r="P954" s="116"/>
      <c r="Q954" s="66"/>
      <c r="V954" s="1"/>
    </row>
    <row r="955" spans="1:22" ht="15.75" customHeight="1">
      <c r="A955" s="1"/>
      <c r="B955" s="103"/>
      <c r="C955" s="8"/>
      <c r="E955" s="29"/>
      <c r="F955" s="47"/>
      <c r="J955" s="47"/>
      <c r="K955" s="47"/>
      <c r="L955" s="66"/>
      <c r="M955" s="66"/>
      <c r="N955" s="76"/>
      <c r="O955" s="115"/>
      <c r="P955" s="116"/>
      <c r="Q955" s="66"/>
      <c r="V955" s="1"/>
    </row>
    <row r="956" spans="1:22" ht="15.75" customHeight="1">
      <c r="A956" s="1"/>
      <c r="B956" s="103"/>
      <c r="C956" s="8"/>
      <c r="E956" s="29"/>
      <c r="F956" s="47"/>
      <c r="J956" s="47"/>
      <c r="K956" s="47"/>
      <c r="L956" s="66"/>
      <c r="M956" s="66"/>
      <c r="N956" s="76"/>
      <c r="O956" s="115"/>
      <c r="P956" s="116"/>
      <c r="Q956" s="66"/>
      <c r="V956" s="1"/>
    </row>
    <row r="957" spans="1:22" ht="15.75" customHeight="1">
      <c r="A957" s="1"/>
      <c r="B957" s="103"/>
      <c r="C957" s="8"/>
      <c r="E957" s="29"/>
      <c r="F957" s="47"/>
      <c r="J957" s="47"/>
      <c r="K957" s="47"/>
      <c r="L957" s="66"/>
      <c r="M957" s="66"/>
      <c r="N957" s="76"/>
      <c r="O957" s="115"/>
      <c r="P957" s="116"/>
      <c r="Q957" s="66"/>
      <c r="V957" s="1"/>
    </row>
    <row r="958" spans="1:22" ht="15.75" customHeight="1">
      <c r="A958" s="1"/>
      <c r="B958" s="103"/>
      <c r="C958" s="8"/>
      <c r="E958" s="29"/>
      <c r="F958" s="47"/>
      <c r="J958" s="47"/>
      <c r="K958" s="47"/>
      <c r="L958" s="66"/>
      <c r="M958" s="66"/>
      <c r="N958" s="76"/>
      <c r="O958" s="115"/>
      <c r="P958" s="116"/>
      <c r="Q958" s="66"/>
      <c r="V958" s="1"/>
    </row>
    <row r="959" spans="1:22" ht="15.75" customHeight="1">
      <c r="A959" s="1"/>
      <c r="B959" s="103"/>
      <c r="C959" s="8"/>
      <c r="E959" s="29"/>
      <c r="F959" s="47"/>
      <c r="J959" s="47"/>
      <c r="K959" s="47"/>
      <c r="L959" s="66"/>
      <c r="M959" s="66"/>
      <c r="N959" s="76"/>
      <c r="O959" s="115"/>
      <c r="P959" s="116"/>
      <c r="Q959" s="66"/>
      <c r="V959" s="1"/>
    </row>
    <row r="960" spans="1:22" ht="15.75" customHeight="1">
      <c r="A960" s="1"/>
      <c r="B960" s="103"/>
      <c r="C960" s="8"/>
      <c r="E960" s="29"/>
      <c r="F960" s="47"/>
      <c r="J960" s="47"/>
      <c r="K960" s="47"/>
      <c r="L960" s="66"/>
      <c r="M960" s="66"/>
      <c r="N960" s="76"/>
      <c r="O960" s="115"/>
      <c r="P960" s="116"/>
      <c r="Q960" s="66"/>
      <c r="V960" s="1"/>
    </row>
    <row r="961" spans="1:22" ht="15.75" customHeight="1">
      <c r="A961" s="1"/>
      <c r="B961" s="103"/>
      <c r="C961" s="8"/>
      <c r="E961" s="29"/>
      <c r="F961" s="47"/>
      <c r="J961" s="47"/>
      <c r="K961" s="47"/>
      <c r="L961" s="66"/>
      <c r="M961" s="66"/>
      <c r="N961" s="76"/>
      <c r="O961" s="115"/>
      <c r="P961" s="116"/>
      <c r="Q961" s="66"/>
      <c r="V961" s="1"/>
    </row>
    <row r="962" spans="1:22" ht="15.75" customHeight="1">
      <c r="A962" s="1"/>
      <c r="B962" s="103"/>
      <c r="C962" s="8"/>
      <c r="E962" s="29"/>
      <c r="F962" s="47"/>
      <c r="J962" s="47"/>
      <c r="K962" s="47"/>
      <c r="L962" s="66"/>
      <c r="M962" s="66"/>
      <c r="N962" s="76"/>
      <c r="O962" s="115"/>
      <c r="P962" s="116"/>
      <c r="Q962" s="66"/>
      <c r="V962" s="1"/>
    </row>
    <row r="963" spans="1:22" ht="15.75" customHeight="1">
      <c r="A963" s="1"/>
      <c r="B963" s="103"/>
      <c r="C963" s="8"/>
      <c r="E963" s="29"/>
      <c r="F963" s="47"/>
      <c r="J963" s="47"/>
      <c r="K963" s="47"/>
      <c r="L963" s="66"/>
      <c r="M963" s="66"/>
      <c r="N963" s="76"/>
      <c r="O963" s="115"/>
      <c r="P963" s="116"/>
      <c r="Q963" s="66"/>
      <c r="V963" s="1"/>
    </row>
    <row r="964" spans="1:22" ht="15.75" customHeight="1">
      <c r="A964" s="1"/>
      <c r="B964" s="103"/>
      <c r="C964" s="8"/>
      <c r="E964" s="29"/>
      <c r="F964" s="47"/>
      <c r="J964" s="47"/>
      <c r="K964" s="47"/>
      <c r="L964" s="66"/>
      <c r="M964" s="66"/>
      <c r="N964" s="76"/>
      <c r="O964" s="115"/>
      <c r="P964" s="116"/>
      <c r="Q964" s="66"/>
      <c r="V964" s="1"/>
    </row>
    <row r="965" spans="1:22" ht="15.75" customHeight="1">
      <c r="A965" s="1"/>
      <c r="B965" s="103"/>
      <c r="C965" s="8"/>
      <c r="E965" s="29"/>
      <c r="F965" s="47"/>
      <c r="J965" s="47"/>
      <c r="K965" s="47"/>
      <c r="L965" s="66"/>
      <c r="M965" s="66"/>
      <c r="N965" s="76"/>
      <c r="O965" s="115"/>
      <c r="P965" s="116"/>
      <c r="Q965" s="66"/>
      <c r="V965" s="1"/>
    </row>
    <row r="966" spans="1:22" ht="15.75" customHeight="1">
      <c r="A966" s="1"/>
      <c r="B966" s="103"/>
      <c r="C966" s="8"/>
      <c r="E966" s="29"/>
      <c r="F966" s="47"/>
      <c r="J966" s="47"/>
      <c r="K966" s="47"/>
      <c r="L966" s="66"/>
      <c r="M966" s="66"/>
      <c r="N966" s="76"/>
      <c r="O966" s="115"/>
      <c r="P966" s="116"/>
      <c r="Q966" s="66"/>
      <c r="V966" s="1"/>
    </row>
    <row r="967" spans="1:22" ht="15.75" customHeight="1">
      <c r="A967" s="1"/>
      <c r="B967" s="103"/>
      <c r="C967" s="8"/>
      <c r="E967" s="29"/>
      <c r="F967" s="47"/>
      <c r="J967" s="47"/>
      <c r="K967" s="47"/>
      <c r="L967" s="66"/>
      <c r="M967" s="66"/>
      <c r="N967" s="76"/>
      <c r="O967" s="115"/>
      <c r="P967" s="116"/>
      <c r="Q967" s="66"/>
      <c r="V967" s="1"/>
    </row>
    <row r="968" spans="1:22" ht="15.75" customHeight="1">
      <c r="A968" s="1"/>
      <c r="B968" s="103"/>
      <c r="C968" s="8"/>
      <c r="E968" s="29"/>
      <c r="F968" s="47"/>
      <c r="J968" s="47"/>
      <c r="K968" s="47"/>
      <c r="L968" s="66"/>
      <c r="M968" s="66"/>
      <c r="N968" s="76"/>
      <c r="O968" s="115"/>
      <c r="P968" s="116"/>
      <c r="Q968" s="66"/>
      <c r="V968" s="1"/>
    </row>
    <row r="969" spans="1:22" ht="15.75" customHeight="1">
      <c r="A969" s="1"/>
      <c r="B969" s="103"/>
      <c r="C969" s="8"/>
      <c r="E969" s="29"/>
      <c r="F969" s="47"/>
      <c r="J969" s="47"/>
      <c r="K969" s="47"/>
      <c r="L969" s="66"/>
      <c r="M969" s="66"/>
      <c r="N969" s="76"/>
      <c r="O969" s="115"/>
      <c r="P969" s="116"/>
      <c r="Q969" s="66"/>
      <c r="V969" s="1"/>
    </row>
    <row r="970" spans="1:22" ht="15.75" customHeight="1">
      <c r="A970" s="1"/>
      <c r="B970" s="103"/>
      <c r="C970" s="8"/>
      <c r="E970" s="29"/>
      <c r="F970" s="47"/>
      <c r="J970" s="47"/>
      <c r="K970" s="47"/>
      <c r="L970" s="66"/>
      <c r="M970" s="66"/>
      <c r="N970" s="76"/>
      <c r="O970" s="115"/>
      <c r="P970" s="116"/>
      <c r="Q970" s="66"/>
      <c r="V970" s="1"/>
    </row>
    <row r="971" spans="1:22" ht="15.75" customHeight="1">
      <c r="A971" s="1"/>
      <c r="B971" s="103"/>
      <c r="C971" s="8"/>
      <c r="E971" s="29"/>
      <c r="F971" s="47"/>
      <c r="J971" s="47"/>
      <c r="K971" s="47"/>
      <c r="L971" s="66"/>
      <c r="M971" s="66"/>
      <c r="N971" s="76"/>
      <c r="O971" s="115"/>
      <c r="P971" s="116"/>
      <c r="Q971" s="66"/>
      <c r="V971" s="1"/>
    </row>
    <row r="972" spans="1:22" ht="15.75" customHeight="1">
      <c r="A972" s="1"/>
      <c r="B972" s="103"/>
      <c r="C972" s="8"/>
      <c r="E972" s="29"/>
      <c r="F972" s="47"/>
      <c r="J972" s="47"/>
      <c r="K972" s="47"/>
      <c r="L972" s="66"/>
      <c r="M972" s="66"/>
      <c r="N972" s="76"/>
      <c r="O972" s="115"/>
      <c r="P972" s="116"/>
      <c r="Q972" s="66"/>
      <c r="V972" s="1"/>
    </row>
    <row r="973" spans="1:22" ht="15.75" customHeight="1">
      <c r="A973" s="1"/>
      <c r="B973" s="103"/>
      <c r="C973" s="8"/>
      <c r="E973" s="29"/>
      <c r="F973" s="47"/>
      <c r="J973" s="47"/>
      <c r="K973" s="47"/>
      <c r="L973" s="66"/>
      <c r="M973" s="66"/>
      <c r="N973" s="76"/>
      <c r="O973" s="115"/>
      <c r="P973" s="116"/>
      <c r="Q973" s="66"/>
      <c r="V973" s="1"/>
    </row>
    <row r="974" spans="1:22" ht="15.75" customHeight="1">
      <c r="A974" s="1"/>
      <c r="B974" s="103"/>
      <c r="C974" s="8"/>
      <c r="E974" s="29"/>
      <c r="F974" s="47"/>
      <c r="J974" s="47"/>
      <c r="K974" s="47"/>
      <c r="L974" s="66"/>
      <c r="M974" s="66"/>
      <c r="N974" s="76"/>
      <c r="O974" s="115"/>
      <c r="P974" s="116"/>
      <c r="Q974" s="66"/>
      <c r="V974" s="1"/>
    </row>
    <row r="975" spans="1:22" ht="15.75" customHeight="1">
      <c r="A975" s="1"/>
      <c r="B975" s="103"/>
      <c r="C975" s="8"/>
      <c r="E975" s="29"/>
      <c r="F975" s="47"/>
      <c r="J975" s="47"/>
      <c r="K975" s="47"/>
      <c r="L975" s="66"/>
      <c r="M975" s="66"/>
      <c r="N975" s="76"/>
      <c r="O975" s="115"/>
      <c r="P975" s="116"/>
      <c r="Q975" s="66"/>
      <c r="V975" s="1"/>
    </row>
    <row r="976" spans="1:22" ht="15.75" customHeight="1">
      <c r="A976" s="1"/>
      <c r="B976" s="103"/>
      <c r="C976" s="8"/>
      <c r="E976" s="29"/>
      <c r="F976" s="47"/>
      <c r="J976" s="47"/>
      <c r="K976" s="47"/>
      <c r="L976" s="66"/>
      <c r="M976" s="66"/>
      <c r="N976" s="76"/>
      <c r="O976" s="115"/>
      <c r="P976" s="116"/>
      <c r="Q976" s="66"/>
      <c r="V976" s="1"/>
    </row>
    <row r="977" spans="1:22" ht="15.75" customHeight="1">
      <c r="A977" s="1"/>
      <c r="B977" s="103"/>
      <c r="C977" s="8"/>
      <c r="E977" s="29"/>
      <c r="F977" s="47"/>
      <c r="J977" s="47"/>
      <c r="K977" s="47"/>
      <c r="L977" s="66"/>
      <c r="M977" s="66"/>
      <c r="N977" s="76"/>
      <c r="O977" s="115"/>
      <c r="P977" s="116"/>
      <c r="Q977" s="66"/>
      <c r="V977" s="1"/>
    </row>
    <row r="978" spans="1:22" ht="15.75" customHeight="1">
      <c r="A978" s="1"/>
      <c r="B978" s="103"/>
      <c r="C978" s="8"/>
      <c r="E978" s="29"/>
      <c r="F978" s="47"/>
      <c r="J978" s="47"/>
      <c r="K978" s="47"/>
      <c r="L978" s="66"/>
      <c r="M978" s="66"/>
      <c r="N978" s="76"/>
      <c r="O978" s="115"/>
      <c r="P978" s="116"/>
      <c r="Q978" s="66"/>
      <c r="V978" s="1"/>
    </row>
    <row r="979" spans="1:22" ht="15.75" customHeight="1">
      <c r="A979" s="1"/>
      <c r="B979" s="103"/>
      <c r="C979" s="8"/>
      <c r="E979" s="29"/>
      <c r="F979" s="47"/>
      <c r="J979" s="47"/>
      <c r="K979" s="47"/>
      <c r="L979" s="66"/>
      <c r="M979" s="66"/>
      <c r="N979" s="76"/>
      <c r="O979" s="115"/>
      <c r="P979" s="116"/>
      <c r="Q979" s="66"/>
      <c r="V979" s="1"/>
    </row>
    <row r="980" spans="1:22" ht="15.75" customHeight="1">
      <c r="A980" s="1"/>
      <c r="B980" s="103"/>
      <c r="C980" s="8"/>
      <c r="E980" s="29"/>
      <c r="F980" s="47"/>
      <c r="J980" s="47"/>
      <c r="K980" s="47"/>
      <c r="L980" s="66"/>
      <c r="M980" s="66"/>
      <c r="N980" s="76"/>
      <c r="O980" s="115"/>
      <c r="P980" s="116"/>
      <c r="Q980" s="66"/>
      <c r="V980" s="1"/>
    </row>
    <row r="981" spans="1:22" ht="15.75" customHeight="1">
      <c r="A981" s="1"/>
      <c r="B981" s="103"/>
      <c r="C981" s="8"/>
      <c r="E981" s="29"/>
      <c r="F981" s="47"/>
      <c r="J981" s="47"/>
      <c r="K981" s="47"/>
      <c r="L981" s="66"/>
      <c r="M981" s="66"/>
      <c r="N981" s="76"/>
      <c r="O981" s="115"/>
      <c r="P981" s="116"/>
      <c r="Q981" s="66"/>
      <c r="V981" s="1"/>
    </row>
    <row r="982" spans="1:22" ht="15.75" customHeight="1">
      <c r="A982" s="1"/>
      <c r="B982" s="103"/>
      <c r="C982" s="8"/>
      <c r="E982" s="29"/>
      <c r="F982" s="47"/>
      <c r="J982" s="47"/>
      <c r="K982" s="47"/>
      <c r="L982" s="66"/>
      <c r="M982" s="66"/>
      <c r="N982" s="76"/>
      <c r="O982" s="115"/>
      <c r="P982" s="116"/>
      <c r="Q982" s="66"/>
      <c r="V982" s="1"/>
    </row>
    <row r="983" spans="1:22" ht="15.75" customHeight="1">
      <c r="A983" s="1"/>
      <c r="B983" s="103"/>
      <c r="C983" s="8"/>
      <c r="E983" s="29"/>
      <c r="F983" s="47"/>
      <c r="J983" s="47"/>
      <c r="K983" s="47"/>
      <c r="L983" s="66"/>
      <c r="M983" s="66"/>
      <c r="N983" s="76"/>
      <c r="O983" s="115"/>
      <c r="P983" s="116"/>
      <c r="Q983" s="66"/>
      <c r="V983" s="1"/>
    </row>
    <row r="984" spans="1:22" ht="15.75" customHeight="1">
      <c r="A984" s="1"/>
      <c r="B984" s="103"/>
      <c r="C984" s="8"/>
      <c r="E984" s="29"/>
      <c r="F984" s="47"/>
      <c r="J984" s="47"/>
      <c r="K984" s="47"/>
      <c r="L984" s="66"/>
      <c r="M984" s="66"/>
      <c r="N984" s="76"/>
      <c r="O984" s="115"/>
      <c r="P984" s="116"/>
      <c r="Q984" s="66"/>
      <c r="V984" s="1"/>
    </row>
    <row r="985" spans="1:22" ht="15.75" customHeight="1">
      <c r="A985" s="1"/>
      <c r="B985" s="103"/>
      <c r="C985" s="8"/>
      <c r="E985" s="29"/>
      <c r="F985" s="47"/>
      <c r="J985" s="47"/>
      <c r="K985" s="47"/>
      <c r="L985" s="66"/>
      <c r="M985" s="66"/>
      <c r="N985" s="76"/>
      <c r="O985" s="115"/>
      <c r="P985" s="116"/>
      <c r="Q985" s="66"/>
      <c r="V985" s="1"/>
    </row>
    <row r="986" spans="1:22" ht="15.75" customHeight="1">
      <c r="A986" s="1"/>
      <c r="B986" s="103"/>
      <c r="C986" s="8"/>
      <c r="E986" s="29"/>
      <c r="F986" s="47"/>
      <c r="J986" s="47"/>
      <c r="K986" s="47"/>
      <c r="L986" s="66"/>
      <c r="M986" s="66"/>
      <c r="N986" s="76"/>
      <c r="O986" s="115"/>
      <c r="P986" s="116"/>
      <c r="Q986" s="66"/>
      <c r="V986" s="1"/>
    </row>
    <row r="987" spans="1:22" ht="15.75" customHeight="1">
      <c r="A987" s="1"/>
      <c r="B987" s="103"/>
      <c r="C987" s="8"/>
      <c r="E987" s="29"/>
      <c r="F987" s="47"/>
      <c r="J987" s="47"/>
      <c r="K987" s="47"/>
      <c r="L987" s="66"/>
      <c r="M987" s="66"/>
      <c r="N987" s="76"/>
      <c r="O987" s="115"/>
      <c r="P987" s="116"/>
      <c r="Q987" s="66"/>
      <c r="V987" s="1"/>
    </row>
    <row r="988" spans="1:22" ht="15.75" customHeight="1">
      <c r="A988" s="1"/>
      <c r="B988" s="103"/>
      <c r="C988" s="8"/>
      <c r="E988" s="29"/>
      <c r="F988" s="47"/>
      <c r="J988" s="47"/>
      <c r="K988" s="47"/>
      <c r="L988" s="66"/>
      <c r="M988" s="66"/>
      <c r="N988" s="76"/>
      <c r="O988" s="115"/>
      <c r="P988" s="116"/>
      <c r="Q988" s="66"/>
      <c r="V988" s="1"/>
    </row>
    <row r="989" spans="1:22" ht="15.75" customHeight="1">
      <c r="A989" s="1"/>
      <c r="B989" s="103"/>
      <c r="C989" s="8"/>
      <c r="E989" s="29"/>
      <c r="F989" s="47"/>
      <c r="J989" s="47"/>
      <c r="K989" s="47"/>
      <c r="L989" s="66"/>
      <c r="M989" s="66"/>
      <c r="N989" s="76"/>
      <c r="O989" s="115"/>
      <c r="P989" s="116"/>
      <c r="Q989" s="66"/>
      <c r="V989" s="1"/>
    </row>
    <row r="990" spans="1:22" ht="15.75" customHeight="1">
      <c r="A990" s="1"/>
      <c r="B990" s="103"/>
      <c r="C990" s="8"/>
      <c r="E990" s="29"/>
      <c r="F990" s="47"/>
      <c r="J990" s="47"/>
      <c r="K990" s="47"/>
      <c r="L990" s="66"/>
      <c r="M990" s="66"/>
      <c r="N990" s="76"/>
      <c r="O990" s="115"/>
      <c r="P990" s="116"/>
      <c r="Q990" s="66"/>
      <c r="V990" s="1"/>
    </row>
    <row r="991" spans="1:22" ht="15.75" customHeight="1">
      <c r="A991" s="1"/>
      <c r="B991" s="103"/>
      <c r="C991" s="8"/>
      <c r="E991" s="29"/>
      <c r="F991" s="47"/>
      <c r="J991" s="47"/>
      <c r="K991" s="47"/>
      <c r="L991" s="66"/>
      <c r="M991" s="66"/>
      <c r="N991" s="76"/>
      <c r="O991" s="115"/>
      <c r="P991" s="116"/>
      <c r="Q991" s="66"/>
      <c r="V991" s="1"/>
    </row>
    <row r="992" spans="1:22" ht="15.75" customHeight="1">
      <c r="A992" s="1"/>
      <c r="B992" s="103"/>
      <c r="C992" s="8"/>
      <c r="E992" s="29"/>
      <c r="F992" s="47"/>
      <c r="J992" s="47"/>
      <c r="K992" s="47"/>
      <c r="L992" s="66"/>
      <c r="M992" s="66"/>
      <c r="N992" s="76"/>
      <c r="O992" s="115"/>
      <c r="P992" s="116"/>
      <c r="Q992" s="66"/>
      <c r="V992" s="1"/>
    </row>
    <row r="993" spans="1:22" ht="15.75" customHeight="1">
      <c r="A993" s="1"/>
      <c r="B993" s="103"/>
      <c r="C993" s="8"/>
      <c r="E993" s="29"/>
      <c r="F993" s="47"/>
      <c r="J993" s="47"/>
      <c r="K993" s="47"/>
      <c r="L993" s="66"/>
      <c r="M993" s="66"/>
      <c r="N993" s="76"/>
      <c r="O993" s="115"/>
      <c r="P993" s="116"/>
      <c r="Q993" s="66"/>
      <c r="V993" s="1"/>
    </row>
    <row r="994" spans="1:22" ht="15.75" customHeight="1">
      <c r="A994" s="1"/>
      <c r="B994" s="103"/>
      <c r="C994" s="8"/>
      <c r="E994" s="29"/>
      <c r="F994" s="47"/>
      <c r="J994" s="47"/>
      <c r="K994" s="47"/>
      <c r="L994" s="66"/>
      <c r="M994" s="66"/>
      <c r="N994" s="76"/>
      <c r="O994" s="115"/>
      <c r="P994" s="116"/>
      <c r="Q994" s="66"/>
      <c r="V994" s="1"/>
    </row>
    <row r="995" spans="1:22" ht="15.75" customHeight="1">
      <c r="A995" s="1"/>
      <c r="B995" s="103"/>
      <c r="C995" s="8"/>
      <c r="E995" s="29"/>
      <c r="F995" s="47"/>
      <c r="J995" s="47"/>
      <c r="K995" s="47"/>
      <c r="L995" s="66"/>
      <c r="M995" s="66"/>
      <c r="N995" s="76"/>
      <c r="O995" s="115"/>
      <c r="P995" s="116"/>
      <c r="Q995" s="66"/>
      <c r="V995" s="1"/>
    </row>
    <row r="996" spans="1:22" ht="15.75" customHeight="1">
      <c r="A996" s="1"/>
      <c r="B996" s="103"/>
      <c r="C996" s="8"/>
      <c r="E996" s="29"/>
      <c r="F996" s="47"/>
      <c r="J996" s="47"/>
      <c r="K996" s="47"/>
      <c r="L996" s="66"/>
      <c r="M996" s="66"/>
      <c r="N996" s="76"/>
      <c r="O996" s="115"/>
      <c r="P996" s="116"/>
      <c r="Q996" s="66"/>
      <c r="V996" s="1"/>
    </row>
    <row r="997" spans="1:22" ht="15.75" customHeight="1">
      <c r="A997" s="1"/>
      <c r="B997" s="103"/>
      <c r="C997" s="8"/>
      <c r="E997" s="29"/>
      <c r="F997" s="47"/>
      <c r="J997" s="47"/>
      <c r="K997" s="47"/>
      <c r="L997" s="66"/>
      <c r="M997" s="66"/>
      <c r="N997" s="76"/>
      <c r="O997" s="115"/>
      <c r="P997" s="116"/>
      <c r="Q997" s="66"/>
      <c r="V997" s="1"/>
    </row>
    <row r="998" spans="1:22" ht="15.75" customHeight="1">
      <c r="A998" s="1"/>
      <c r="B998" s="103"/>
      <c r="C998" s="8"/>
      <c r="E998" s="29"/>
      <c r="F998" s="47"/>
      <c r="J998" s="47"/>
      <c r="K998" s="47"/>
      <c r="L998" s="66"/>
      <c r="M998" s="66"/>
      <c r="N998" s="76"/>
      <c r="O998" s="115"/>
      <c r="P998" s="116"/>
      <c r="Q998" s="66"/>
      <c r="V998" s="1"/>
    </row>
    <row r="999" spans="1:22" ht="15.75" customHeight="1">
      <c r="A999" s="1"/>
      <c r="B999" s="103"/>
      <c r="C999" s="8"/>
      <c r="E999" s="29"/>
      <c r="F999" s="47"/>
      <c r="J999" s="47"/>
      <c r="K999" s="47"/>
      <c r="L999" s="66"/>
      <c r="M999" s="66"/>
      <c r="N999" s="76"/>
      <c r="O999" s="115"/>
      <c r="P999" s="116"/>
      <c r="Q999" s="66"/>
      <c r="V999" s="1"/>
    </row>
    <row r="1000" spans="1:22" ht="15.75" customHeight="1">
      <c r="A1000" s="1"/>
      <c r="B1000" s="103"/>
      <c r="C1000" s="8"/>
      <c r="E1000" s="29"/>
      <c r="F1000" s="47"/>
      <c r="J1000" s="47"/>
      <c r="K1000" s="47"/>
      <c r="L1000" s="66"/>
      <c r="M1000" s="66"/>
      <c r="N1000" s="76"/>
      <c r="O1000" s="115"/>
      <c r="P1000" s="116"/>
      <c r="Q1000" s="66"/>
      <c r="V1000" s="1"/>
    </row>
  </sheetData>
  <mergeCells count="44">
    <mergeCell ref="J8:N8"/>
    <mergeCell ref="O8:P8"/>
    <mergeCell ref="J1:N1"/>
    <mergeCell ref="O1:Q5"/>
    <mergeCell ref="J2:N2"/>
    <mergeCell ref="J3:N3"/>
    <mergeCell ref="J4:N4"/>
    <mergeCell ref="J5:N5"/>
    <mergeCell ref="J6:N6"/>
    <mergeCell ref="O6:Q6"/>
    <mergeCell ref="J7:N7"/>
    <mergeCell ref="O7:P7"/>
    <mergeCell ref="A1:E1"/>
    <mergeCell ref="F1:H5"/>
    <mergeCell ref="A9:E9"/>
    <mergeCell ref="F9:G9"/>
    <mergeCell ref="A8:E8"/>
    <mergeCell ref="A10:H10"/>
    <mergeCell ref="A12:H12"/>
    <mergeCell ref="A2:E2"/>
    <mergeCell ref="A5:E5"/>
    <mergeCell ref="A6:E6"/>
    <mergeCell ref="F6:H6"/>
    <mergeCell ref="A7:E7"/>
    <mergeCell ref="F7:G7"/>
    <mergeCell ref="F8:G8"/>
    <mergeCell ref="A3:E3"/>
    <mergeCell ref="A4:E4"/>
    <mergeCell ref="J9:N9"/>
    <mergeCell ref="O9:P9"/>
    <mergeCell ref="J10:Q10"/>
    <mergeCell ref="J151:O151"/>
    <mergeCell ref="J153:Q153"/>
    <mergeCell ref="J219:Q219"/>
    <mergeCell ref="K221:L221"/>
    <mergeCell ref="K290:L290"/>
    <mergeCell ref="K292:L292"/>
    <mergeCell ref="K238:L238"/>
    <mergeCell ref="K265:L265"/>
    <mergeCell ref="K272:L272"/>
    <mergeCell ref="K277:L277"/>
    <mergeCell ref="K281:L281"/>
    <mergeCell ref="K284:L284"/>
    <mergeCell ref="K288:L288"/>
  </mergeCells>
  <hyperlinks>
    <hyperlink ref="A5" r:id="rId1"/>
    <hyperlink ref="J5" r:id="rId2"/>
  </hyperlinks>
  <pageMargins left="0.7" right="0.7" top="0.75" bottom="0.75" header="0" footer="0"/>
  <pageSetup paperSize="9" orientation="portrait"/>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00"/>
  <sheetViews>
    <sheetView workbookViewId="0"/>
  </sheetViews>
  <sheetFormatPr defaultColWidth="14.42578125" defaultRowHeight="15" customHeight="1"/>
  <cols>
    <col min="1" max="2" width="8.5703125" customWidth="1"/>
    <col min="3" max="3" width="117.42578125" customWidth="1"/>
    <col min="4" max="4" width="11.5703125" customWidth="1"/>
    <col min="5" max="5" width="8.5703125" customWidth="1"/>
    <col min="6" max="6" width="10.42578125" customWidth="1"/>
    <col min="7" max="7" width="14.85546875" customWidth="1"/>
    <col min="8" max="8" width="32.85546875" customWidth="1"/>
    <col min="9" max="9" width="24.42578125" customWidth="1"/>
    <col min="10" max="26" width="8.5703125" customWidth="1"/>
  </cols>
  <sheetData>
    <row r="2" spans="1:9" hidden="1">
      <c r="A2" s="22" t="s">
        <v>739</v>
      </c>
      <c r="C2" s="22" t="s">
        <v>25</v>
      </c>
      <c r="D2" s="22" t="s">
        <v>26</v>
      </c>
      <c r="E2" s="22" t="s">
        <v>27</v>
      </c>
      <c r="F2" s="22" t="s">
        <v>28</v>
      </c>
      <c r="G2" s="22" t="s">
        <v>740</v>
      </c>
      <c r="H2" s="22" t="s">
        <v>29</v>
      </c>
      <c r="I2" s="22" t="s">
        <v>741</v>
      </c>
    </row>
    <row r="3" spans="1:9" ht="225" hidden="1">
      <c r="C3" s="132" t="s">
        <v>35</v>
      </c>
      <c r="D3" s="132"/>
      <c r="E3" s="29"/>
      <c r="F3" s="29"/>
      <c r="G3" s="29"/>
      <c r="H3" s="29"/>
      <c r="I3" s="47"/>
    </row>
    <row r="4" spans="1:9" hidden="1">
      <c r="C4" s="159" t="s">
        <v>698</v>
      </c>
      <c r="D4" s="159"/>
      <c r="E4" s="159">
        <v>997.9</v>
      </c>
      <c r="F4" s="160">
        <f>'DSR - items'!O15</f>
        <v>833.77276105536998</v>
      </c>
      <c r="G4" s="29"/>
      <c r="H4" s="29" t="s">
        <v>41</v>
      </c>
      <c r="I4" s="47" t="s">
        <v>742</v>
      </c>
    </row>
    <row r="5" spans="1:9" hidden="1">
      <c r="C5" s="139" t="s">
        <v>699</v>
      </c>
      <c r="D5" s="139"/>
      <c r="E5" s="159">
        <v>238.26</v>
      </c>
      <c r="F5" s="160">
        <f>'DSR - items'!O17</f>
        <v>583.98364920104052</v>
      </c>
      <c r="G5" s="29"/>
      <c r="H5" s="29" t="s">
        <v>700</v>
      </c>
      <c r="I5" s="47" t="s">
        <v>701</v>
      </c>
    </row>
    <row r="6" spans="1:9" ht="60" hidden="1">
      <c r="C6" s="129" t="s">
        <v>703</v>
      </c>
      <c r="D6" s="129"/>
      <c r="E6" s="29"/>
      <c r="F6" s="29"/>
      <c r="G6" s="29"/>
      <c r="H6" s="29"/>
      <c r="I6" s="47"/>
    </row>
    <row r="7" spans="1:9" hidden="1">
      <c r="C7" s="130" t="s">
        <v>704</v>
      </c>
      <c r="D7" s="130"/>
      <c r="E7" s="161">
        <v>3578.26</v>
      </c>
      <c r="F7" s="29" t="e">
        <f>E7*#REF!</f>
        <v>#REF!</v>
      </c>
      <c r="G7" s="29"/>
      <c r="H7" s="29" t="s">
        <v>66</v>
      </c>
      <c r="I7" s="47" t="s">
        <v>67</v>
      </c>
    </row>
    <row r="8" spans="1:9" ht="30" hidden="1">
      <c r="C8" s="131" t="s">
        <v>705</v>
      </c>
      <c r="D8" s="131"/>
      <c r="E8" s="29"/>
      <c r="F8" s="29"/>
      <c r="G8" s="29"/>
      <c r="H8" s="29"/>
      <c r="I8" s="47"/>
    </row>
    <row r="9" spans="1:9" hidden="1">
      <c r="C9" s="131" t="s">
        <v>706</v>
      </c>
      <c r="D9" s="131"/>
      <c r="E9" s="29">
        <v>418.85</v>
      </c>
      <c r="F9" s="29" t="e">
        <f>E9*#REF!</f>
        <v>#REF!</v>
      </c>
      <c r="G9" s="29"/>
      <c r="H9" s="29" t="s">
        <v>73</v>
      </c>
      <c r="I9" s="47" t="s">
        <v>74</v>
      </c>
    </row>
    <row r="10" spans="1:9" ht="45" hidden="1">
      <c r="C10" s="131" t="s">
        <v>707</v>
      </c>
      <c r="D10" s="131"/>
      <c r="E10" s="29">
        <v>808.15</v>
      </c>
      <c r="F10" s="29" t="e">
        <f>E10*#REF!</f>
        <v>#REF!</v>
      </c>
      <c r="G10" s="29"/>
      <c r="H10" s="29" t="s">
        <v>78</v>
      </c>
      <c r="I10" s="47" t="s">
        <v>79</v>
      </c>
    </row>
    <row r="11" spans="1:9" ht="60" hidden="1">
      <c r="C11" s="129" t="s">
        <v>708</v>
      </c>
      <c r="D11" s="129"/>
      <c r="E11" s="29"/>
      <c r="F11" s="29"/>
      <c r="G11" s="29"/>
      <c r="H11" s="29"/>
      <c r="I11" s="47"/>
    </row>
    <row r="12" spans="1:9" hidden="1">
      <c r="C12" s="159" t="s">
        <v>709</v>
      </c>
      <c r="D12" s="159"/>
      <c r="E12" s="161">
        <v>1339.78</v>
      </c>
      <c r="F12" s="29" t="e">
        <f t="shared" ref="F12:F21" si="0">E12*#REF!</f>
        <v>#REF!</v>
      </c>
      <c r="G12" s="29"/>
      <c r="H12" s="29" t="s">
        <v>710</v>
      </c>
      <c r="I12" s="47" t="s">
        <v>88</v>
      </c>
    </row>
    <row r="13" spans="1:9" ht="45" hidden="1">
      <c r="C13" s="129" t="s">
        <v>104</v>
      </c>
      <c r="D13" s="129"/>
      <c r="E13" s="161">
        <v>12368.26</v>
      </c>
      <c r="F13" s="29" t="e">
        <f t="shared" si="0"/>
        <v>#REF!</v>
      </c>
      <c r="G13" s="29"/>
      <c r="H13" s="66" t="s">
        <v>107</v>
      </c>
      <c r="I13" s="162" t="s">
        <v>108</v>
      </c>
    </row>
    <row r="14" spans="1:9" ht="45" hidden="1">
      <c r="C14" s="129" t="s">
        <v>712</v>
      </c>
      <c r="D14" s="129"/>
      <c r="E14" s="161">
        <v>6173.13</v>
      </c>
      <c r="F14" s="29" t="e">
        <f t="shared" si="0"/>
        <v>#REF!</v>
      </c>
      <c r="G14" s="29"/>
      <c r="H14" s="66" t="s">
        <v>110</v>
      </c>
      <c r="I14" s="1" t="s">
        <v>111</v>
      </c>
    </row>
    <row r="15" spans="1:9" ht="30" hidden="1">
      <c r="C15" s="129" t="s">
        <v>116</v>
      </c>
      <c r="D15" s="129"/>
      <c r="E15" s="130">
        <v>745.66</v>
      </c>
      <c r="F15" s="29" t="e">
        <f t="shared" si="0"/>
        <v>#REF!</v>
      </c>
      <c r="G15" s="29"/>
      <c r="H15" s="66" t="s">
        <v>117</v>
      </c>
      <c r="I15" s="1" t="s">
        <v>118</v>
      </c>
    </row>
    <row r="16" spans="1:9" ht="30" hidden="1">
      <c r="C16" s="139" t="s">
        <v>121</v>
      </c>
      <c r="D16" s="139"/>
      <c r="E16" s="22">
        <v>10466</v>
      </c>
      <c r="F16" s="29" t="e">
        <f t="shared" si="0"/>
        <v>#REF!</v>
      </c>
      <c r="G16" s="29"/>
      <c r="H16" s="29" t="s">
        <v>714</v>
      </c>
      <c r="I16" s="1" t="s">
        <v>122</v>
      </c>
    </row>
    <row r="17" spans="3:9" ht="75" hidden="1">
      <c r="C17" s="129" t="s">
        <v>123</v>
      </c>
      <c r="D17" s="129"/>
      <c r="E17" s="163">
        <v>5504.09</v>
      </c>
      <c r="F17" s="29" t="e">
        <f t="shared" si="0"/>
        <v>#REF!</v>
      </c>
      <c r="G17" s="29"/>
      <c r="H17" s="29" t="s">
        <v>124</v>
      </c>
      <c r="I17" s="1" t="s">
        <v>125</v>
      </c>
    </row>
    <row r="18" spans="3:9" hidden="1">
      <c r="C18" s="130" t="s">
        <v>126</v>
      </c>
      <c r="D18" s="130"/>
      <c r="E18" s="22">
        <v>1378.33</v>
      </c>
      <c r="F18" s="29" t="e">
        <f t="shared" si="0"/>
        <v>#REF!</v>
      </c>
      <c r="G18" s="29"/>
      <c r="H18" s="29" t="s">
        <v>127</v>
      </c>
      <c r="I18" s="1" t="s">
        <v>128</v>
      </c>
    </row>
    <row r="19" spans="3:9" ht="30" hidden="1">
      <c r="C19" s="129" t="s">
        <v>129</v>
      </c>
      <c r="D19" s="129"/>
      <c r="E19" s="22">
        <v>547.59</v>
      </c>
      <c r="F19" s="29" t="e">
        <f t="shared" si="0"/>
        <v>#REF!</v>
      </c>
      <c r="G19" s="29"/>
      <c r="H19" s="29" t="s">
        <v>130</v>
      </c>
      <c r="I19" s="1" t="s">
        <v>131</v>
      </c>
    </row>
    <row r="20" spans="3:9" ht="30" hidden="1">
      <c r="C20" s="129" t="s">
        <v>715</v>
      </c>
      <c r="D20" s="129"/>
      <c r="E20" s="22">
        <v>1295.99</v>
      </c>
      <c r="F20" s="29" t="e">
        <f t="shared" si="0"/>
        <v>#REF!</v>
      </c>
      <c r="G20" s="29"/>
      <c r="H20" s="29" t="s">
        <v>133</v>
      </c>
      <c r="I20" s="1" t="s">
        <v>134</v>
      </c>
    </row>
    <row r="21" spans="3:9" ht="15.75" hidden="1" customHeight="1">
      <c r="C21" s="139" t="s">
        <v>135</v>
      </c>
      <c r="D21" s="139"/>
      <c r="E21" s="22">
        <v>10975</v>
      </c>
      <c r="F21" s="29" t="e">
        <f t="shared" si="0"/>
        <v>#REF!</v>
      </c>
      <c r="G21" s="29"/>
      <c r="H21" s="29" t="s">
        <v>716</v>
      </c>
      <c r="I21" s="1" t="s">
        <v>136</v>
      </c>
    </row>
    <row r="22" spans="3:9" ht="15.75" hidden="1" customHeight="1">
      <c r="C22" s="139" t="s">
        <v>717</v>
      </c>
      <c r="D22" s="139"/>
      <c r="F22" s="29"/>
      <c r="G22" s="29"/>
      <c r="H22" s="29"/>
      <c r="I22" s="1"/>
    </row>
    <row r="23" spans="3:9" ht="15.75" hidden="1" customHeight="1">
      <c r="E23" s="22">
        <v>1522.95</v>
      </c>
      <c r="F23" s="29" t="e">
        <f t="shared" ref="F23:F29" si="1">E23*#REF!</f>
        <v>#REF!</v>
      </c>
      <c r="G23" s="29"/>
      <c r="H23" s="29" t="s">
        <v>718</v>
      </c>
      <c r="I23" s="1" t="s">
        <v>144</v>
      </c>
    </row>
    <row r="24" spans="3:9" ht="15.75" hidden="1" customHeight="1">
      <c r="C24" s="129" t="s">
        <v>150</v>
      </c>
      <c r="D24" s="129"/>
      <c r="E24" s="29">
        <v>8390</v>
      </c>
      <c r="F24" s="29" t="e">
        <f t="shared" si="1"/>
        <v>#REF!</v>
      </c>
      <c r="G24" s="29"/>
      <c r="H24" s="29" t="s">
        <v>151</v>
      </c>
      <c r="I24" s="47" t="s">
        <v>152</v>
      </c>
    </row>
    <row r="25" spans="3:9" ht="15.75" hidden="1" customHeight="1">
      <c r="C25" s="129" t="s">
        <v>162</v>
      </c>
      <c r="D25" s="129"/>
      <c r="E25" s="163">
        <v>6441</v>
      </c>
      <c r="F25" s="29" t="e">
        <f t="shared" si="1"/>
        <v>#REF!</v>
      </c>
      <c r="G25" s="29"/>
      <c r="H25" s="29" t="s">
        <v>163</v>
      </c>
      <c r="I25" s="1" t="s">
        <v>164</v>
      </c>
    </row>
    <row r="26" spans="3:9" ht="15.75" hidden="1" customHeight="1">
      <c r="C26" s="139" t="s">
        <v>719</v>
      </c>
      <c r="D26" s="139"/>
      <c r="E26" s="22">
        <v>151.16999999999999</v>
      </c>
      <c r="F26" s="29" t="e">
        <f t="shared" si="1"/>
        <v>#REF!</v>
      </c>
      <c r="G26" s="29"/>
      <c r="H26" s="29" t="s">
        <v>174</v>
      </c>
      <c r="I26" s="1" t="s">
        <v>175</v>
      </c>
    </row>
    <row r="27" spans="3:9" ht="15.75" hidden="1" customHeight="1">
      <c r="C27" s="132" t="s">
        <v>720</v>
      </c>
      <c r="D27" s="132"/>
      <c r="E27" s="22">
        <v>518.08000000000004</v>
      </c>
      <c r="F27" s="29" t="e">
        <f t="shared" si="1"/>
        <v>#REF!</v>
      </c>
      <c r="G27" s="29"/>
      <c r="H27" s="29" t="s">
        <v>178</v>
      </c>
      <c r="I27" s="1" t="s">
        <v>179</v>
      </c>
    </row>
    <row r="28" spans="3:9" ht="15.75" hidden="1" customHeight="1">
      <c r="C28" s="132" t="s">
        <v>721</v>
      </c>
      <c r="D28" s="132"/>
      <c r="E28" s="161">
        <v>2461.0300000000002</v>
      </c>
      <c r="F28" s="29" t="e">
        <f t="shared" si="1"/>
        <v>#REF!</v>
      </c>
      <c r="G28" s="29"/>
      <c r="H28" s="29" t="s">
        <v>199</v>
      </c>
      <c r="I28" s="1" t="s">
        <v>200</v>
      </c>
    </row>
    <row r="29" spans="3:9" ht="15.75" hidden="1" customHeight="1">
      <c r="C29" s="159" t="s">
        <v>722</v>
      </c>
      <c r="D29" s="159"/>
      <c r="E29" s="159">
        <v>358.39</v>
      </c>
      <c r="F29" s="29" t="e">
        <f t="shared" si="1"/>
        <v>#REF!</v>
      </c>
      <c r="G29" s="29"/>
      <c r="H29" s="29" t="s">
        <v>203</v>
      </c>
      <c r="I29" s="1" t="s">
        <v>204</v>
      </c>
    </row>
    <row r="30" spans="3:9" ht="15.75" hidden="1" customHeight="1">
      <c r="C30" s="132" t="s">
        <v>723</v>
      </c>
      <c r="D30" s="132"/>
      <c r="I30" s="1"/>
    </row>
    <row r="31" spans="3:9" ht="15.75" hidden="1" customHeight="1">
      <c r="C31" s="159" t="s">
        <v>221</v>
      </c>
      <c r="D31" s="159"/>
      <c r="E31" s="22">
        <v>92.46</v>
      </c>
      <c r="F31" s="29" t="e">
        <f>E31*#REF!</f>
        <v>#REF!</v>
      </c>
      <c r="G31" s="29"/>
      <c r="H31" s="22" t="s">
        <v>724</v>
      </c>
      <c r="I31" s="1" t="s">
        <v>725</v>
      </c>
    </row>
    <row r="32" spans="3:9" ht="15.75" hidden="1" customHeight="1">
      <c r="C32" s="132" t="s">
        <v>726</v>
      </c>
      <c r="D32" s="132"/>
      <c r="E32" s="22">
        <v>720.04</v>
      </c>
      <c r="F32" s="29" t="e">
        <f>E32*#REF!</f>
        <v>#REF!</v>
      </c>
      <c r="G32" s="29"/>
      <c r="H32" s="22" t="s">
        <v>224</v>
      </c>
      <c r="I32" s="1" t="s">
        <v>225</v>
      </c>
    </row>
    <row r="33" spans="1:9" ht="15.75" hidden="1" customHeight="1">
      <c r="C33" s="139" t="s">
        <v>727</v>
      </c>
      <c r="D33" s="139"/>
      <c r="E33" s="22">
        <v>856.3</v>
      </c>
      <c r="F33" s="29" t="e">
        <f>E33*#REF!</f>
        <v>#REF!</v>
      </c>
      <c r="G33" s="29"/>
      <c r="H33" s="29" t="s">
        <v>228</v>
      </c>
      <c r="I33" s="1" t="s">
        <v>229</v>
      </c>
    </row>
    <row r="34" spans="1:9" ht="15.75" hidden="1" customHeight="1">
      <c r="C34" s="132" t="s">
        <v>231</v>
      </c>
      <c r="D34" s="132"/>
      <c r="E34" s="22">
        <v>2092.73</v>
      </c>
      <c r="F34" s="29" t="e">
        <f>E34*#REF!</f>
        <v>#REF!</v>
      </c>
      <c r="G34" s="29"/>
      <c r="H34" s="22" t="s">
        <v>234</v>
      </c>
      <c r="I34" s="1" t="s">
        <v>235</v>
      </c>
    </row>
    <row r="35" spans="1:9" ht="15.75" hidden="1" customHeight="1">
      <c r="C35" s="139" t="s">
        <v>728</v>
      </c>
      <c r="D35" s="139"/>
      <c r="E35" s="22">
        <v>123.85</v>
      </c>
      <c r="F35" s="29" t="e">
        <f>E35*#REF!</f>
        <v>#REF!</v>
      </c>
      <c r="G35" s="29"/>
      <c r="H35" s="29" t="s">
        <v>293</v>
      </c>
      <c r="I35" s="1" t="s">
        <v>294</v>
      </c>
    </row>
    <row r="36" spans="1:9" ht="15.75" hidden="1" customHeight="1">
      <c r="C36" s="131" t="s">
        <v>730</v>
      </c>
      <c r="D36" s="131"/>
      <c r="E36" s="29"/>
      <c r="F36" s="29"/>
      <c r="G36" s="29"/>
      <c r="H36" s="29"/>
      <c r="I36" s="47"/>
    </row>
    <row r="37" spans="1:9" ht="15.75" hidden="1" customHeight="1">
      <c r="C37" s="131" t="s">
        <v>731</v>
      </c>
      <c r="D37" s="131"/>
      <c r="E37" s="29">
        <v>121.55</v>
      </c>
      <c r="F37" s="29" t="e">
        <f>E37*#REF!</f>
        <v>#REF!</v>
      </c>
      <c r="G37" s="29"/>
      <c r="H37" s="29" t="s">
        <v>301</v>
      </c>
      <c r="I37" s="47" t="s">
        <v>302</v>
      </c>
    </row>
    <row r="38" spans="1:9" ht="15.75" hidden="1" customHeight="1">
      <c r="C38" s="131" t="s">
        <v>305</v>
      </c>
      <c r="D38" s="131"/>
      <c r="E38" s="29"/>
      <c r="F38" s="29"/>
      <c r="G38" s="29"/>
      <c r="H38" s="29"/>
      <c r="I38" s="47"/>
    </row>
    <row r="39" spans="1:9" ht="15.75" hidden="1" customHeight="1">
      <c r="C39" s="139" t="s">
        <v>733</v>
      </c>
      <c r="D39" s="139"/>
      <c r="E39" s="22">
        <v>64.45</v>
      </c>
      <c r="F39" s="29" t="e">
        <f>E39*#REF!</f>
        <v>#REF!</v>
      </c>
      <c r="G39" s="29"/>
      <c r="H39" s="29" t="s">
        <v>312</v>
      </c>
      <c r="I39" s="1" t="s">
        <v>313</v>
      </c>
    </row>
    <row r="40" spans="1:9" ht="15.75" hidden="1" customHeight="1">
      <c r="C40" s="132" t="s">
        <v>314</v>
      </c>
      <c r="D40" s="132"/>
      <c r="E40" s="47">
        <v>1136</v>
      </c>
      <c r="F40" s="29" t="e">
        <f>E40*#REF!</f>
        <v>#REF!</v>
      </c>
      <c r="G40" s="29"/>
      <c r="H40" s="29" t="s">
        <v>316</v>
      </c>
      <c r="I40" s="47" t="s">
        <v>317</v>
      </c>
    </row>
    <row r="41" spans="1:9" ht="15.75" hidden="1" customHeight="1">
      <c r="C41" s="129" t="s">
        <v>734</v>
      </c>
      <c r="D41" s="129"/>
      <c r="E41" s="163">
        <v>3556</v>
      </c>
      <c r="F41" s="29" t="e">
        <f>E41*#REF!</f>
        <v>#REF!</v>
      </c>
      <c r="G41" s="29"/>
      <c r="H41" s="29" t="s">
        <v>323</v>
      </c>
      <c r="I41" s="47" t="s">
        <v>324</v>
      </c>
    </row>
    <row r="42" spans="1:9" ht="15.75" hidden="1" customHeight="1">
      <c r="C42" s="129" t="s">
        <v>735</v>
      </c>
      <c r="D42" s="129"/>
      <c r="E42" s="163">
        <v>8190.71</v>
      </c>
      <c r="F42" s="22" t="e">
        <f>E42*#REF!</f>
        <v>#REF!</v>
      </c>
      <c r="H42" s="22" t="s">
        <v>332</v>
      </c>
      <c r="I42" s="1" t="s">
        <v>333</v>
      </c>
    </row>
    <row r="43" spans="1:9" ht="15.75" customHeight="1">
      <c r="A43" s="164">
        <v>9</v>
      </c>
      <c r="B43" s="165"/>
      <c r="C43" s="166" t="s">
        <v>743</v>
      </c>
      <c r="D43" s="167"/>
      <c r="E43" s="168"/>
      <c r="F43" s="167"/>
      <c r="G43" s="167"/>
      <c r="H43" s="29" t="s">
        <v>744</v>
      </c>
    </row>
    <row r="44" spans="1:9" ht="15.75" customHeight="1">
      <c r="A44" s="169"/>
      <c r="B44" s="170"/>
      <c r="C44" s="171"/>
      <c r="D44" s="167"/>
      <c r="E44" s="167"/>
      <c r="F44" s="172"/>
      <c r="G44" s="172"/>
    </row>
    <row r="45" spans="1:9" ht="15.75" customHeight="1">
      <c r="A45" s="173">
        <v>9.1999999999999993</v>
      </c>
      <c r="B45" s="173" t="s">
        <v>410</v>
      </c>
      <c r="C45" s="171" t="s">
        <v>359</v>
      </c>
      <c r="D45" s="173"/>
      <c r="E45" s="173"/>
      <c r="F45" s="173"/>
      <c r="G45" s="131"/>
    </row>
    <row r="46" spans="1:9" ht="15.75" customHeight="1">
      <c r="A46" s="173"/>
      <c r="B46" s="173" t="s">
        <v>410</v>
      </c>
      <c r="C46" s="171" t="s">
        <v>360</v>
      </c>
      <c r="D46" s="173"/>
      <c r="E46" s="173"/>
      <c r="F46" s="173"/>
      <c r="G46" s="131"/>
    </row>
    <row r="47" spans="1:9" ht="15.75" customHeight="1">
      <c r="A47" s="173"/>
      <c r="B47" s="173" t="s">
        <v>410</v>
      </c>
      <c r="C47" s="171" t="s">
        <v>361</v>
      </c>
      <c r="D47" s="173"/>
      <c r="E47" s="173"/>
      <c r="F47" s="173"/>
      <c r="G47" s="131"/>
    </row>
    <row r="48" spans="1:9" ht="15.75" customHeight="1">
      <c r="A48" s="173"/>
      <c r="B48" s="173"/>
      <c r="C48" s="171" t="s">
        <v>362</v>
      </c>
      <c r="D48" s="173" t="s">
        <v>232</v>
      </c>
      <c r="E48" s="173">
        <v>6</v>
      </c>
      <c r="F48" s="173"/>
      <c r="G48" s="131"/>
    </row>
    <row r="49" spans="1:7" ht="15.75" customHeight="1">
      <c r="A49" s="173"/>
      <c r="B49" s="173"/>
      <c r="C49" s="171" t="s">
        <v>363</v>
      </c>
      <c r="D49" s="173" t="s">
        <v>232</v>
      </c>
      <c r="E49" s="173">
        <v>6</v>
      </c>
      <c r="F49" s="173"/>
      <c r="G49" s="131"/>
    </row>
    <row r="50" spans="1:7" ht="15.75" customHeight="1">
      <c r="A50" s="173"/>
      <c r="B50" s="173"/>
      <c r="C50" s="171" t="s">
        <v>364</v>
      </c>
      <c r="D50" s="173" t="s">
        <v>232</v>
      </c>
      <c r="E50" s="173">
        <v>2</v>
      </c>
      <c r="F50" s="173"/>
      <c r="G50" s="131"/>
    </row>
    <row r="51" spans="1:7" ht="15.75" customHeight="1">
      <c r="A51" s="173"/>
      <c r="B51" s="173"/>
      <c r="C51" s="171" t="s">
        <v>365</v>
      </c>
      <c r="D51" s="173" t="s">
        <v>232</v>
      </c>
      <c r="E51" s="173">
        <v>1</v>
      </c>
      <c r="F51" s="173"/>
      <c r="G51" s="131"/>
    </row>
    <row r="52" spans="1:7" ht="15.75" customHeight="1">
      <c r="A52" s="173"/>
      <c r="B52" s="173"/>
      <c r="C52" s="171" t="s">
        <v>366</v>
      </c>
      <c r="D52" s="173" t="s">
        <v>232</v>
      </c>
      <c r="E52" s="173">
        <v>4</v>
      </c>
      <c r="F52" s="173"/>
      <c r="G52" s="131"/>
    </row>
    <row r="53" spans="1:7" ht="15.75" customHeight="1">
      <c r="A53" s="173"/>
      <c r="B53" s="173"/>
      <c r="C53" s="171" t="s">
        <v>367</v>
      </c>
      <c r="D53" s="173" t="s">
        <v>232</v>
      </c>
      <c r="E53" s="173">
        <v>4</v>
      </c>
      <c r="F53" s="173"/>
      <c r="G53" s="131"/>
    </row>
    <row r="54" spans="1:7" ht="15.75" customHeight="1">
      <c r="A54" s="173"/>
      <c r="B54" s="173"/>
      <c r="C54" s="171" t="s">
        <v>368</v>
      </c>
      <c r="D54" s="173" t="s">
        <v>232</v>
      </c>
      <c r="E54" s="173">
        <v>4</v>
      </c>
      <c r="F54" s="173"/>
      <c r="G54" s="131"/>
    </row>
    <row r="55" spans="1:7" ht="15.75" customHeight="1">
      <c r="A55" s="724"/>
      <c r="B55" s="724"/>
      <c r="C55" s="171" t="s">
        <v>369</v>
      </c>
      <c r="D55" s="724" t="s">
        <v>232</v>
      </c>
      <c r="E55" s="724">
        <v>1</v>
      </c>
      <c r="F55" s="724"/>
      <c r="G55" s="725"/>
    </row>
    <row r="56" spans="1:7" ht="15.75" customHeight="1">
      <c r="A56" s="716"/>
      <c r="B56" s="716"/>
      <c r="C56" s="171" t="s">
        <v>370</v>
      </c>
      <c r="D56" s="716"/>
      <c r="E56" s="716"/>
      <c r="F56" s="716"/>
      <c r="G56" s="716"/>
    </row>
    <row r="57" spans="1:7" ht="15.75" customHeight="1">
      <c r="A57" s="173"/>
      <c r="B57" s="173"/>
      <c r="C57" s="171" t="s">
        <v>371</v>
      </c>
      <c r="D57" s="173" t="s">
        <v>232</v>
      </c>
      <c r="E57" s="173">
        <v>1</v>
      </c>
      <c r="F57" s="173"/>
      <c r="G57" s="131"/>
    </row>
    <row r="58" spans="1:7" ht="15.75" customHeight="1">
      <c r="A58" s="173"/>
      <c r="B58" s="173" t="s">
        <v>410</v>
      </c>
      <c r="C58" s="171" t="s">
        <v>372</v>
      </c>
      <c r="D58" s="173"/>
      <c r="E58" s="173"/>
      <c r="F58" s="173"/>
      <c r="G58" s="131"/>
    </row>
    <row r="59" spans="1:7" ht="15.75" customHeight="1">
      <c r="A59" s="724"/>
      <c r="B59" s="724"/>
      <c r="C59" s="171" t="s">
        <v>373</v>
      </c>
      <c r="D59" s="724" t="s">
        <v>26</v>
      </c>
      <c r="E59" s="724">
        <v>1</v>
      </c>
      <c r="F59" s="724"/>
      <c r="G59" s="725"/>
    </row>
    <row r="60" spans="1:7" ht="15.75" customHeight="1">
      <c r="A60" s="716"/>
      <c r="B60" s="716"/>
      <c r="C60" s="171" t="s">
        <v>374</v>
      </c>
      <c r="D60" s="716"/>
      <c r="E60" s="716"/>
      <c r="F60" s="716"/>
      <c r="G60" s="716"/>
    </row>
    <row r="61" spans="1:7" ht="15.75" customHeight="1">
      <c r="A61" s="716"/>
      <c r="B61" s="716"/>
      <c r="C61" s="171" t="s">
        <v>375</v>
      </c>
      <c r="D61" s="716"/>
      <c r="E61" s="716"/>
      <c r="F61" s="716"/>
      <c r="G61" s="716"/>
    </row>
    <row r="62" spans="1:7" ht="15.75" customHeight="1">
      <c r="A62" s="716"/>
      <c r="B62" s="716"/>
      <c r="C62" s="171" t="s">
        <v>376</v>
      </c>
      <c r="D62" s="716"/>
      <c r="E62" s="716"/>
      <c r="F62" s="716"/>
      <c r="G62" s="716"/>
    </row>
    <row r="63" spans="1:7" ht="15.75" customHeight="1">
      <c r="A63" s="173"/>
      <c r="B63" s="173" t="s">
        <v>410</v>
      </c>
      <c r="C63" s="171" t="s">
        <v>377</v>
      </c>
      <c r="D63" s="173"/>
      <c r="E63" s="173"/>
      <c r="F63" s="173"/>
      <c r="G63" s="131"/>
    </row>
    <row r="64" spans="1:7" ht="15.75" customHeight="1">
      <c r="A64" s="724"/>
      <c r="B64" s="724"/>
      <c r="C64" s="171" t="s">
        <v>378</v>
      </c>
      <c r="D64" s="724" t="s">
        <v>26</v>
      </c>
      <c r="E64" s="724">
        <v>1</v>
      </c>
      <c r="F64" s="724"/>
      <c r="G64" s="725"/>
    </row>
    <row r="65" spans="1:7" ht="15.75" customHeight="1">
      <c r="A65" s="716"/>
      <c r="B65" s="716"/>
      <c r="C65" s="171" t="s">
        <v>379</v>
      </c>
      <c r="D65" s="716"/>
      <c r="E65" s="716"/>
      <c r="F65" s="716"/>
      <c r="G65" s="716"/>
    </row>
    <row r="66" spans="1:7" ht="15.75" customHeight="1">
      <c r="A66" s="173"/>
      <c r="B66" s="173" t="s">
        <v>410</v>
      </c>
      <c r="C66" s="171" t="s">
        <v>380</v>
      </c>
      <c r="D66" s="173"/>
      <c r="E66" s="173"/>
      <c r="F66" s="173"/>
      <c r="G66" s="131"/>
    </row>
    <row r="67" spans="1:7" ht="15.75" customHeight="1">
      <c r="A67" s="173"/>
      <c r="B67" s="173"/>
      <c r="C67" s="171" t="s">
        <v>381</v>
      </c>
      <c r="D67" s="173" t="s">
        <v>382</v>
      </c>
      <c r="E67" s="173">
        <v>1</v>
      </c>
      <c r="F67" s="173"/>
      <c r="G67" s="131"/>
    </row>
    <row r="68" spans="1:7" ht="15.75" customHeight="1">
      <c r="A68" s="173"/>
      <c r="B68" s="173" t="s">
        <v>410</v>
      </c>
      <c r="C68" s="171" t="s">
        <v>383</v>
      </c>
      <c r="D68" s="173"/>
      <c r="E68" s="173"/>
      <c r="F68" s="173"/>
      <c r="G68" s="131"/>
    </row>
    <row r="69" spans="1:7" ht="15.75" customHeight="1">
      <c r="A69" s="724"/>
      <c r="B69" s="724"/>
      <c r="C69" s="171" t="s">
        <v>384</v>
      </c>
      <c r="D69" s="724" t="s">
        <v>385</v>
      </c>
      <c r="E69" s="724">
        <v>32</v>
      </c>
      <c r="F69" s="724"/>
      <c r="G69" s="725"/>
    </row>
    <row r="70" spans="1:7" ht="15.75" customHeight="1">
      <c r="A70" s="716"/>
      <c r="B70" s="716"/>
      <c r="C70" s="171" t="s">
        <v>386</v>
      </c>
      <c r="D70" s="716"/>
      <c r="E70" s="716"/>
      <c r="F70" s="716"/>
      <c r="G70" s="716"/>
    </row>
    <row r="71" spans="1:7" ht="15.75" customHeight="1">
      <c r="A71" s="716"/>
      <c r="B71" s="716"/>
      <c r="C71" s="171" t="s">
        <v>387</v>
      </c>
      <c r="D71" s="716"/>
      <c r="E71" s="716"/>
      <c r="F71" s="716"/>
      <c r="G71" s="716"/>
    </row>
    <row r="72" spans="1:7" ht="15.75" customHeight="1">
      <c r="A72" s="173"/>
      <c r="B72" s="173" t="s">
        <v>410</v>
      </c>
      <c r="C72" s="171" t="s">
        <v>388</v>
      </c>
      <c r="D72" s="173"/>
      <c r="E72" s="173"/>
      <c r="F72" s="173"/>
      <c r="G72" s="131"/>
    </row>
    <row r="73" spans="1:7" ht="15.75" customHeight="1">
      <c r="A73" s="173"/>
      <c r="B73" s="173"/>
      <c r="C73" s="171" t="s">
        <v>389</v>
      </c>
      <c r="D73" s="173" t="s">
        <v>390</v>
      </c>
      <c r="E73" s="173">
        <v>1</v>
      </c>
      <c r="F73" s="173"/>
      <c r="G73" s="131"/>
    </row>
    <row r="74" spans="1:7" ht="15.75" customHeight="1">
      <c r="A74" s="173"/>
      <c r="B74" s="173"/>
      <c r="C74" s="171" t="s">
        <v>391</v>
      </c>
      <c r="D74" s="173" t="s">
        <v>390</v>
      </c>
      <c r="E74" s="173">
        <v>14</v>
      </c>
      <c r="F74" s="173"/>
      <c r="G74" s="131"/>
    </row>
    <row r="75" spans="1:7" ht="15.75" customHeight="1">
      <c r="A75" s="173"/>
      <c r="B75" s="173"/>
      <c r="C75" s="171" t="s">
        <v>392</v>
      </c>
      <c r="D75" s="173"/>
      <c r="E75" s="173"/>
      <c r="F75" s="173"/>
      <c r="G75" s="131"/>
    </row>
    <row r="76" spans="1:7" ht="15.75" customHeight="1">
      <c r="A76" s="173"/>
      <c r="B76" s="173"/>
      <c r="C76" s="171" t="s">
        <v>393</v>
      </c>
      <c r="D76" s="173" t="s">
        <v>390</v>
      </c>
      <c r="E76" s="173">
        <v>2</v>
      </c>
      <c r="F76" s="173"/>
      <c r="G76" s="131"/>
    </row>
    <row r="77" spans="1:7" ht="15.75" customHeight="1">
      <c r="A77" s="724"/>
      <c r="B77" s="724"/>
      <c r="C77" s="171" t="s">
        <v>394</v>
      </c>
      <c r="D77" s="724" t="s">
        <v>26</v>
      </c>
      <c r="E77" s="724">
        <v>1</v>
      </c>
      <c r="F77" s="724"/>
      <c r="G77" s="725"/>
    </row>
    <row r="78" spans="1:7" ht="15.75" customHeight="1">
      <c r="A78" s="716"/>
      <c r="B78" s="716"/>
      <c r="C78" s="171" t="s">
        <v>395</v>
      </c>
      <c r="D78" s="716"/>
      <c r="E78" s="716"/>
      <c r="F78" s="716"/>
      <c r="G78" s="716"/>
    </row>
    <row r="79" spans="1:7" ht="15.75" customHeight="1">
      <c r="A79" s="724"/>
      <c r="B79" s="724"/>
      <c r="C79" s="171" t="s">
        <v>396</v>
      </c>
      <c r="D79" s="724" t="s">
        <v>382</v>
      </c>
      <c r="E79" s="724">
        <v>1</v>
      </c>
      <c r="F79" s="724"/>
      <c r="G79" s="725"/>
    </row>
    <row r="80" spans="1:7" ht="15.75" customHeight="1">
      <c r="A80" s="716"/>
      <c r="B80" s="716"/>
      <c r="C80" s="171" t="s">
        <v>397</v>
      </c>
      <c r="D80" s="716"/>
      <c r="E80" s="716"/>
      <c r="F80" s="716"/>
      <c r="G80" s="716"/>
    </row>
    <row r="81" spans="1:7" ht="15.75" customHeight="1">
      <c r="A81" s="724"/>
      <c r="B81" s="724"/>
      <c r="C81" s="171" t="s">
        <v>398</v>
      </c>
      <c r="D81" s="724" t="s">
        <v>382</v>
      </c>
      <c r="E81" s="724">
        <v>1</v>
      </c>
      <c r="F81" s="724"/>
      <c r="G81" s="725"/>
    </row>
    <row r="82" spans="1:7" ht="15.75" customHeight="1">
      <c r="A82" s="716"/>
      <c r="B82" s="716"/>
      <c r="C82" s="171" t="s">
        <v>399</v>
      </c>
      <c r="D82" s="716"/>
      <c r="E82" s="716"/>
      <c r="F82" s="716"/>
      <c r="G82" s="716"/>
    </row>
    <row r="83" spans="1:7" ht="15.75" customHeight="1">
      <c r="A83" s="173"/>
      <c r="B83" s="173"/>
      <c r="C83" s="171" t="s">
        <v>400</v>
      </c>
      <c r="D83" s="173" t="s">
        <v>382</v>
      </c>
      <c r="E83" s="173">
        <v>1</v>
      </c>
      <c r="F83" s="173"/>
      <c r="G83" s="131"/>
    </row>
    <row r="84" spans="1:7" ht="15.75" customHeight="1">
      <c r="A84" s="173"/>
      <c r="B84" s="173" t="s">
        <v>410</v>
      </c>
      <c r="C84" s="171" t="s">
        <v>401</v>
      </c>
      <c r="D84" s="173"/>
      <c r="E84" s="173"/>
      <c r="F84" s="173"/>
      <c r="G84" s="131"/>
    </row>
    <row r="85" spans="1:7" ht="15.75" customHeight="1">
      <c r="A85" s="173"/>
      <c r="B85" s="173"/>
      <c r="C85" s="171" t="s">
        <v>402</v>
      </c>
      <c r="D85" s="173" t="s">
        <v>232</v>
      </c>
      <c r="E85" s="173">
        <v>1</v>
      </c>
      <c r="F85" s="173"/>
      <c r="G85" s="131"/>
    </row>
    <row r="86" spans="1:7" ht="15.75" customHeight="1">
      <c r="A86" s="173"/>
      <c r="B86" s="173"/>
      <c r="C86" s="171" t="s">
        <v>403</v>
      </c>
      <c r="D86" s="173"/>
      <c r="E86" s="173"/>
      <c r="F86" s="173"/>
      <c r="G86" s="131"/>
    </row>
    <row r="87" spans="1:7" ht="15.75" customHeight="1">
      <c r="A87" s="173"/>
      <c r="B87" s="173"/>
      <c r="C87" s="171" t="s">
        <v>404</v>
      </c>
      <c r="D87" s="173"/>
      <c r="E87" s="173"/>
      <c r="F87" s="173"/>
      <c r="G87" s="131"/>
    </row>
    <row r="88" spans="1:7" ht="15.75" customHeight="1">
      <c r="A88" s="173"/>
      <c r="B88" s="173" t="s">
        <v>410</v>
      </c>
      <c r="C88" s="171" t="s">
        <v>405</v>
      </c>
      <c r="D88" s="173"/>
      <c r="E88" s="173"/>
      <c r="F88" s="173"/>
      <c r="G88" s="131"/>
    </row>
    <row r="89" spans="1:7" ht="15.75" customHeight="1">
      <c r="A89" s="173"/>
      <c r="B89" s="173"/>
      <c r="C89" s="171" t="s">
        <v>406</v>
      </c>
      <c r="D89" s="173"/>
      <c r="E89" s="173"/>
      <c r="F89" s="173"/>
      <c r="G89" s="131"/>
    </row>
    <row r="90" spans="1:7" ht="15.75" customHeight="1">
      <c r="A90" s="173"/>
      <c r="B90" s="173"/>
      <c r="C90" s="171" t="s">
        <v>407</v>
      </c>
      <c r="D90" s="173" t="s">
        <v>26</v>
      </c>
      <c r="E90" s="173">
        <v>1</v>
      </c>
      <c r="F90" s="173"/>
      <c r="G90" s="131"/>
    </row>
    <row r="91" spans="1:7" ht="15.75" customHeight="1">
      <c r="A91" s="173"/>
      <c r="B91" s="173"/>
      <c r="C91" s="171" t="s">
        <v>408</v>
      </c>
      <c r="D91" s="173" t="s">
        <v>26</v>
      </c>
      <c r="E91" s="173">
        <v>1</v>
      </c>
      <c r="F91" s="173"/>
      <c r="G91" s="131"/>
    </row>
    <row r="92" spans="1:7" ht="15.75" customHeight="1">
      <c r="A92" s="164"/>
      <c r="B92" s="173"/>
      <c r="C92" s="171"/>
      <c r="D92" s="173"/>
      <c r="E92" s="173"/>
      <c r="F92" s="173"/>
      <c r="G92" s="131"/>
    </row>
    <row r="93" spans="1:7" ht="15.75" customHeight="1">
      <c r="A93" s="164"/>
      <c r="B93" s="173"/>
      <c r="C93" s="171" t="s">
        <v>745</v>
      </c>
      <c r="D93" s="173" t="s">
        <v>409</v>
      </c>
      <c r="E93" s="173">
        <v>1</v>
      </c>
      <c r="F93" s="174">
        <v>454582</v>
      </c>
      <c r="G93" s="175">
        <v>454582</v>
      </c>
    </row>
    <row r="94" spans="1:7" ht="15.75" customHeight="1">
      <c r="A94" s="176"/>
      <c r="B94" s="177"/>
      <c r="C94" s="178"/>
      <c r="D94" s="177"/>
      <c r="E94" s="177"/>
      <c r="F94" s="177"/>
      <c r="G94" s="179"/>
    </row>
    <row r="95" spans="1:7" ht="15.75" customHeight="1">
      <c r="A95" s="180"/>
      <c r="B95" s="181"/>
      <c r="C95" s="182" t="s">
        <v>746</v>
      </c>
      <c r="D95" s="183"/>
      <c r="E95" s="183"/>
      <c r="F95" s="183"/>
      <c r="G95" s="184">
        <f>G93</f>
        <v>454582</v>
      </c>
    </row>
    <row r="96" spans="1:7" ht="15.75" customHeight="1">
      <c r="A96" s="176"/>
      <c r="B96" s="177"/>
      <c r="C96" s="185"/>
      <c r="D96" s="177"/>
      <c r="E96" s="177"/>
      <c r="F96" s="177"/>
      <c r="G96" s="186"/>
    </row>
    <row r="97" spans="1:8" ht="15.75" customHeight="1"/>
    <row r="98" spans="1:8" ht="15.75" customHeight="1">
      <c r="A98" s="164">
        <v>7</v>
      </c>
      <c r="B98" s="173"/>
      <c r="C98" s="166" t="s">
        <v>747</v>
      </c>
      <c r="D98" s="173"/>
      <c r="E98" s="177"/>
      <c r="F98" s="177"/>
      <c r="G98" s="187"/>
      <c r="H98" s="22" t="s">
        <v>748</v>
      </c>
    </row>
    <row r="99" spans="1:8" ht="15.75" customHeight="1">
      <c r="A99" s="173">
        <v>7.1</v>
      </c>
      <c r="B99" s="173" t="s">
        <v>410</v>
      </c>
      <c r="C99" s="166" t="s">
        <v>411</v>
      </c>
      <c r="D99" s="173"/>
      <c r="E99" s="173"/>
      <c r="F99" s="173"/>
      <c r="G99" s="188"/>
    </row>
    <row r="100" spans="1:8" ht="15.75" customHeight="1">
      <c r="A100" s="173" t="s">
        <v>749</v>
      </c>
      <c r="B100" s="173" t="s">
        <v>410</v>
      </c>
      <c r="C100" s="171" t="s">
        <v>412</v>
      </c>
      <c r="D100" s="173" t="s">
        <v>105</v>
      </c>
      <c r="E100" s="173">
        <v>100</v>
      </c>
      <c r="F100" s="174">
        <v>1666</v>
      </c>
      <c r="G100" s="189">
        <f>E100*F100</f>
        <v>166600</v>
      </c>
    </row>
    <row r="101" spans="1:8" ht="15.75" customHeight="1">
      <c r="A101" s="173" t="s">
        <v>750</v>
      </c>
      <c r="B101" s="173" t="s">
        <v>410</v>
      </c>
      <c r="C101" s="171" t="s">
        <v>413</v>
      </c>
      <c r="D101" s="173" t="s">
        <v>105</v>
      </c>
      <c r="E101" s="173">
        <v>150</v>
      </c>
      <c r="F101" s="173">
        <v>481</v>
      </c>
      <c r="G101" s="189">
        <f>E101*F101</f>
        <v>72150</v>
      </c>
    </row>
    <row r="102" spans="1:8" ht="15.75" customHeight="1">
      <c r="A102" s="173">
        <v>7.3</v>
      </c>
      <c r="B102" s="173" t="s">
        <v>410</v>
      </c>
      <c r="C102" s="171" t="s">
        <v>414</v>
      </c>
      <c r="D102" s="173" t="s">
        <v>390</v>
      </c>
      <c r="E102" s="173">
        <v>4</v>
      </c>
      <c r="F102" s="174">
        <v>5256</v>
      </c>
      <c r="G102" s="189">
        <f>E102*F102</f>
        <v>21024</v>
      </c>
    </row>
    <row r="103" spans="1:8" ht="15.75" customHeight="1">
      <c r="A103" s="176"/>
      <c r="B103" s="177"/>
      <c r="C103" s="178"/>
      <c r="D103" s="177"/>
      <c r="E103" s="177"/>
      <c r="F103" s="177"/>
      <c r="G103" s="179"/>
    </row>
    <row r="104" spans="1:8" ht="15.75" customHeight="1">
      <c r="A104" s="190"/>
      <c r="B104" s="183"/>
      <c r="C104" s="182" t="s">
        <v>751</v>
      </c>
      <c r="D104" s="183"/>
      <c r="E104" s="183"/>
      <c r="F104" s="183"/>
      <c r="G104" s="191">
        <f>SUM(G100:G103)</f>
        <v>259774</v>
      </c>
    </row>
    <row r="105" spans="1:8" ht="15.75" customHeight="1"/>
    <row r="106" spans="1:8" ht="15.75" customHeight="1"/>
    <row r="107" spans="1:8" ht="15.75" customHeight="1"/>
    <row r="108" spans="1:8" ht="15.75" customHeight="1"/>
    <row r="109" spans="1:8" ht="15.75" customHeight="1"/>
    <row r="110" spans="1:8" ht="15.75" customHeight="1"/>
    <row r="111" spans="1:8" ht="15.75" customHeight="1"/>
    <row r="112" spans="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A55:A56"/>
    <mergeCell ref="B55:B56"/>
    <mergeCell ref="E55:E56"/>
    <mergeCell ref="F55:F56"/>
    <mergeCell ref="G55:G56"/>
    <mergeCell ref="D55:D56"/>
    <mergeCell ref="G59:G62"/>
    <mergeCell ref="D77:D78"/>
    <mergeCell ref="E77:E78"/>
    <mergeCell ref="F77:F78"/>
    <mergeCell ref="G77:G78"/>
    <mergeCell ref="D59:D62"/>
    <mergeCell ref="D64:D65"/>
    <mergeCell ref="D69:D71"/>
    <mergeCell ref="E69:E71"/>
    <mergeCell ref="F69:F71"/>
    <mergeCell ref="G69:G71"/>
    <mergeCell ref="E59:E62"/>
    <mergeCell ref="F59:F62"/>
    <mergeCell ref="E64:E65"/>
    <mergeCell ref="F64:F65"/>
    <mergeCell ref="G64:G65"/>
    <mergeCell ref="G79:G80"/>
    <mergeCell ref="A81:A82"/>
    <mergeCell ref="B81:B82"/>
    <mergeCell ref="D81:D82"/>
    <mergeCell ref="E81:E82"/>
    <mergeCell ref="F81:F82"/>
    <mergeCell ref="G81:G82"/>
    <mergeCell ref="A79:A80"/>
    <mergeCell ref="B79:B80"/>
    <mergeCell ref="D79:D80"/>
    <mergeCell ref="E79:E80"/>
    <mergeCell ref="F79:F80"/>
    <mergeCell ref="A77:A78"/>
    <mergeCell ref="B77:B78"/>
    <mergeCell ref="A59:A62"/>
    <mergeCell ref="A64:A65"/>
    <mergeCell ref="B64:B65"/>
    <mergeCell ref="A69:A71"/>
    <mergeCell ref="B69:B71"/>
    <mergeCell ref="B59:B6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FINAL ALL ITME</vt:lpstr>
      <vt:lpstr>Measurement Sheet_FINAL</vt:lpstr>
      <vt:lpstr>DSR - items</vt:lpstr>
      <vt:lpstr>Fountain and Landscaping</vt:lpstr>
      <vt:lpstr>'FINAL ALL ITME'!Print_Area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Prajapati</dc:creator>
  <cp:lastModifiedBy>aa</cp:lastModifiedBy>
  <cp:lastPrinted>2024-07-05T02:23:16Z</cp:lastPrinted>
  <dcterms:created xsi:type="dcterms:W3CDTF">2024-05-24T15:06:43Z</dcterms:created>
  <dcterms:modified xsi:type="dcterms:W3CDTF">2024-07-05T02:23:20Z</dcterms:modified>
</cp:coreProperties>
</file>