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hidePivotFieldList="1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4" documentId="13_ncr:1_{FF69A702-5867-45F7-93CA-8E4F92DC1B7B}" xr6:coauthVersionLast="47" xr6:coauthVersionMax="47" xr10:uidLastSave="{E771AD50-455D-4753-BB7F-281B6AFBDFDB}"/>
  <bookViews>
    <workbookView xWindow="38280" yWindow="-120" windowWidth="20640" windowHeight="11760" tabRatio="698" firstSheet="6" activeTab="6" xr2:uid="{F6D97A53-F63B-4272-A181-44B26E0B790F}"/>
  </bookViews>
  <sheets>
    <sheet name="Menu" sheetId="25" r:id="rId1"/>
    <sheet name="Productos" sheetId="17" r:id="rId2"/>
    <sheet name="Vendedores" sheetId="28" r:id="rId3"/>
    <sheet name="Ventas" sheetId="16" r:id="rId4"/>
    <sheet name="Consultas" sheetId="24" r:id="rId5"/>
    <sheet name="Registros Auxiliares" sheetId="23" state="hidden" r:id="rId6"/>
    <sheet name="Desafío" sheetId="33" r:id="rId7"/>
    <sheet name="Desafío 2" sheetId="32" state="hidden" r:id="rId8"/>
    <sheet name="Dados para Gráficos" sheetId="19" state="hidden" r:id="rId9"/>
    <sheet name="Dashboard" sheetId="18" state="hidden" r:id="rId10"/>
  </sheets>
  <definedNames>
    <definedName name="_xlnm._FilterDatabase" localSheetId="3" hidden="1">Ventas!$C$4:$F$86</definedName>
    <definedName name="Desc_CategorÍas">'Registros Auxiliares'!$B$8:$E$8</definedName>
    <definedName name="Desc_Quantidades">'Registros Auxiliares'!$B$8:$B$13</definedName>
    <definedName name="Desc_TabelaToda">'Registros Auxiliares'!$B$8:$E$13</definedName>
    <definedName name="Int_Nome_Produtos">#REF!</definedName>
    <definedName name="Int_Quantid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33" l="1" a="1"/>
  <c r="H9" i="33" s="1"/>
  <c r="B19" i="33"/>
  <c r="B16" i="33"/>
  <c r="J3" i="33"/>
  <c r="K3" i="33"/>
  <c r="I3" i="33"/>
  <c r="H3" i="33"/>
  <c r="B15" i="33"/>
  <c r="G3" i="33"/>
  <c r="G12" i="33"/>
  <c r="F12" i="33"/>
  <c r="G9" i="33"/>
  <c r="F9" i="33"/>
  <c r="F6" i="33"/>
  <c r="F3" i="33"/>
  <c r="C10" i="24" a="1"/>
  <c r="C10" i="24" s="1"/>
  <c r="C9" i="24" a="1"/>
  <c r="C9" i="24" s="1"/>
  <c r="H6" i="33" l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J6" i="16" a="1"/>
  <c r="J6" i="16" s="1"/>
  <c r="J5" i="16" a="1"/>
  <c r="J5" i="16" s="1"/>
  <c r="E5" i="16"/>
  <c r="H5" i="16" s="1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5" i="16"/>
  <c r="E6" i="16" l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H6" i="16" l="1"/>
  <c r="I6" i="16" s="1"/>
  <c r="H7" i="16"/>
  <c r="I7" i="16" s="1"/>
  <c r="H8" i="16"/>
  <c r="I8" i="16" s="1"/>
  <c r="H9" i="16"/>
  <c r="I9" i="16" s="1"/>
  <c r="H10" i="16"/>
  <c r="I10" i="16" s="1"/>
  <c r="H11" i="16"/>
  <c r="I11" i="16" s="1"/>
  <c r="H12" i="16"/>
  <c r="I12" i="16" s="1"/>
  <c r="H13" i="16"/>
  <c r="I13" i="16" s="1"/>
  <c r="H14" i="16"/>
  <c r="I14" i="16" s="1"/>
  <c r="H15" i="16"/>
  <c r="I15" i="16" s="1"/>
  <c r="H16" i="16"/>
  <c r="I16" i="16" s="1"/>
  <c r="H17" i="16"/>
  <c r="I17" i="16" s="1"/>
  <c r="H18" i="16"/>
  <c r="I18" i="16" s="1"/>
  <c r="H19" i="16"/>
  <c r="I19" i="16" s="1"/>
  <c r="H20" i="16"/>
  <c r="I20" i="16" s="1"/>
  <c r="H21" i="16"/>
  <c r="I21" i="16" s="1"/>
  <c r="H22" i="16"/>
  <c r="I22" i="16" s="1"/>
  <c r="H23" i="16"/>
  <c r="I23" i="16" s="1"/>
  <c r="H24" i="16"/>
  <c r="I24" i="16" s="1"/>
  <c r="H25" i="16"/>
  <c r="I25" i="16" s="1"/>
  <c r="H26" i="16"/>
  <c r="I26" i="16" s="1"/>
  <c r="H27" i="16"/>
  <c r="I27" i="16" s="1"/>
  <c r="H28" i="16"/>
  <c r="I28" i="16" s="1"/>
  <c r="H29" i="16"/>
  <c r="I29" i="16" s="1"/>
  <c r="H30" i="16"/>
  <c r="I30" i="16" s="1"/>
  <c r="H31" i="16"/>
  <c r="I31" i="16" s="1"/>
  <c r="H32" i="16"/>
  <c r="I32" i="16" s="1"/>
  <c r="H33" i="16"/>
  <c r="I33" i="16" s="1"/>
  <c r="H34" i="16"/>
  <c r="I34" i="16" s="1"/>
  <c r="H35" i="16"/>
  <c r="I35" i="16" s="1"/>
  <c r="H36" i="16"/>
  <c r="I36" i="16" s="1"/>
  <c r="H37" i="16"/>
  <c r="I37" i="16" s="1"/>
  <c r="H38" i="16"/>
  <c r="I38" i="16" s="1"/>
  <c r="H39" i="16"/>
  <c r="I39" i="16" s="1"/>
  <c r="H40" i="16"/>
  <c r="I40" i="16" s="1"/>
  <c r="H41" i="16"/>
  <c r="I41" i="16" s="1"/>
  <c r="H42" i="16"/>
  <c r="I42" i="16" s="1"/>
  <c r="H43" i="16"/>
  <c r="I43" i="16" s="1"/>
  <c r="H44" i="16"/>
  <c r="I44" i="16" s="1"/>
  <c r="H45" i="16"/>
  <c r="I45" i="16" s="1"/>
  <c r="H46" i="16"/>
  <c r="I46" i="16" s="1"/>
  <c r="H47" i="16"/>
  <c r="I47" i="16" s="1"/>
  <c r="H48" i="16"/>
  <c r="I48" i="16" s="1"/>
  <c r="H49" i="16"/>
  <c r="I49" i="16" s="1"/>
  <c r="H50" i="16"/>
  <c r="I50" i="16" s="1"/>
  <c r="H51" i="16"/>
  <c r="I51" i="16" s="1"/>
  <c r="H52" i="16"/>
  <c r="I52" i="16" s="1"/>
  <c r="H53" i="16"/>
  <c r="I53" i="16" s="1"/>
  <c r="H54" i="16"/>
  <c r="I54" i="16" s="1"/>
  <c r="H55" i="16"/>
  <c r="I55" i="16" s="1"/>
  <c r="H56" i="16"/>
  <c r="I56" i="16" s="1"/>
  <c r="H57" i="16"/>
  <c r="I57" i="16" s="1"/>
  <c r="H58" i="16"/>
  <c r="I58" i="16" s="1"/>
  <c r="H59" i="16"/>
  <c r="I59" i="16" s="1"/>
  <c r="H60" i="16"/>
  <c r="I60" i="16" s="1"/>
  <c r="H61" i="16"/>
  <c r="I61" i="16" s="1"/>
  <c r="H62" i="16"/>
  <c r="I62" i="16" s="1"/>
  <c r="H63" i="16"/>
  <c r="I63" i="16" s="1"/>
  <c r="H64" i="16"/>
  <c r="I64" i="16" s="1"/>
  <c r="H65" i="16"/>
  <c r="I65" i="16" s="1"/>
  <c r="H66" i="16"/>
  <c r="I66" i="16" s="1"/>
  <c r="H67" i="16"/>
  <c r="I67" i="16" s="1"/>
  <c r="H68" i="16"/>
  <c r="I68" i="16" s="1"/>
  <c r="H69" i="16"/>
  <c r="I69" i="16" s="1"/>
  <c r="H70" i="16"/>
  <c r="I70" i="16" s="1"/>
  <c r="H71" i="16"/>
  <c r="I71" i="16" s="1"/>
  <c r="H72" i="16"/>
  <c r="I72" i="16" s="1"/>
  <c r="H73" i="16"/>
  <c r="I73" i="16" s="1"/>
  <c r="H74" i="16"/>
  <c r="I74" i="16" s="1"/>
  <c r="H75" i="16"/>
  <c r="I75" i="16" s="1"/>
  <c r="H76" i="16"/>
  <c r="I76" i="16" s="1"/>
  <c r="H77" i="16"/>
  <c r="I77" i="16" s="1"/>
  <c r="H78" i="16"/>
  <c r="I78" i="16" s="1"/>
  <c r="H79" i="16"/>
  <c r="I79" i="16" s="1"/>
  <c r="H80" i="16"/>
  <c r="I80" i="16" s="1"/>
  <c r="H81" i="16"/>
  <c r="I81" i="16" s="1"/>
  <c r="H82" i="16"/>
  <c r="I82" i="16" s="1"/>
  <c r="H83" i="16"/>
  <c r="I83" i="16" s="1"/>
  <c r="H84" i="16"/>
  <c r="I84" i="16" s="1"/>
  <c r="H85" i="16"/>
  <c r="I85" i="16" s="1"/>
  <c r="H86" i="16"/>
  <c r="I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F7" i="24"/>
  <c r="C8" i="24" a="1"/>
  <c r="C8" i="24" s="1"/>
  <c r="C12" i="24" s="1"/>
  <c r="C11" i="24" s="1" a="1"/>
  <c r="C11" i="24" s="1"/>
  <c r="C7" i="24"/>
  <c r="F9" i="24"/>
  <c r="I5" i="16" l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<sst xmlns="http://schemas.openxmlformats.org/spreadsheetml/2006/main" count="564" uniqueCount="221">
  <si>
    <t>Control de Productos</t>
  </si>
  <si>
    <t>Código</t>
  </si>
  <si>
    <t>Productos</t>
  </si>
  <si>
    <t>Categoría</t>
  </si>
  <si>
    <t>Stock</t>
  </si>
  <si>
    <t>Precio Unitario</t>
  </si>
  <si>
    <t>PR001</t>
  </si>
  <si>
    <t>Pantalones</t>
  </si>
  <si>
    <t>Vestuario</t>
  </si>
  <si>
    <t>PR002</t>
  </si>
  <si>
    <t>Vaqueros</t>
  </si>
  <si>
    <t>PR003</t>
  </si>
  <si>
    <t>Falda</t>
  </si>
  <si>
    <t>PR004</t>
  </si>
  <si>
    <t>Bufanda</t>
  </si>
  <si>
    <t>Accesorio</t>
  </si>
  <si>
    <t>PR005</t>
  </si>
  <si>
    <t>Gorra</t>
  </si>
  <si>
    <t>PR006</t>
  </si>
  <si>
    <t>Guantes</t>
  </si>
  <si>
    <t>PR007</t>
  </si>
  <si>
    <t>Vestido</t>
  </si>
  <si>
    <t>PR008</t>
  </si>
  <si>
    <t>Camisa</t>
  </si>
  <si>
    <t>PR009</t>
  </si>
  <si>
    <t>Camiseta</t>
  </si>
  <si>
    <t>PR010</t>
  </si>
  <si>
    <t>Blusa</t>
  </si>
  <si>
    <t>PR011</t>
  </si>
  <si>
    <t>Suéter</t>
  </si>
  <si>
    <t>PR012</t>
  </si>
  <si>
    <t>Chaqueta</t>
  </si>
  <si>
    <t>PR013</t>
  </si>
  <si>
    <t>Abrigo</t>
  </si>
  <si>
    <t>PR014</t>
  </si>
  <si>
    <t>Traje</t>
  </si>
  <si>
    <t>PR015</t>
  </si>
  <si>
    <t>Calcetines</t>
  </si>
  <si>
    <t>PR016</t>
  </si>
  <si>
    <t>Medias</t>
  </si>
  <si>
    <t>PR017</t>
  </si>
  <si>
    <t>Pijama</t>
  </si>
  <si>
    <t>PR018</t>
  </si>
  <si>
    <t>Ropa deportiva</t>
  </si>
  <si>
    <t>PR019</t>
  </si>
  <si>
    <t>Sombrero</t>
  </si>
  <si>
    <t>PR020</t>
  </si>
  <si>
    <t>Chándal</t>
  </si>
  <si>
    <t>PR021</t>
  </si>
  <si>
    <t>Bañador</t>
  </si>
  <si>
    <t>PR022</t>
  </si>
  <si>
    <t>Bikini</t>
  </si>
  <si>
    <t>PR023</t>
  </si>
  <si>
    <t>Cinturón</t>
  </si>
  <si>
    <t>PR024</t>
  </si>
  <si>
    <t>Corbata</t>
  </si>
  <si>
    <t>PR025</t>
  </si>
  <si>
    <t>Collar</t>
  </si>
  <si>
    <t>PR026</t>
  </si>
  <si>
    <t>Pulsera</t>
  </si>
  <si>
    <t>PR027</t>
  </si>
  <si>
    <t>Reloj</t>
  </si>
  <si>
    <t>PR028</t>
  </si>
  <si>
    <t>Botas</t>
  </si>
  <si>
    <t>Calzado</t>
  </si>
  <si>
    <t>PR029</t>
  </si>
  <si>
    <t>Sandalias</t>
  </si>
  <si>
    <t>PR030</t>
  </si>
  <si>
    <t>Zapatillas</t>
  </si>
  <si>
    <t>PR031</t>
  </si>
  <si>
    <t>Zapatos de tacón</t>
  </si>
  <si>
    <t>PR032</t>
  </si>
  <si>
    <t>Chanclas</t>
  </si>
  <si>
    <t>PR033</t>
  </si>
  <si>
    <t>Alpargatas</t>
  </si>
  <si>
    <t>PR034</t>
  </si>
  <si>
    <t>Mochila</t>
  </si>
  <si>
    <t>PR035</t>
  </si>
  <si>
    <t>Bolso</t>
  </si>
  <si>
    <t>PR036</t>
  </si>
  <si>
    <t>Cartera</t>
  </si>
  <si>
    <t>PR037</t>
  </si>
  <si>
    <t>Maleta</t>
  </si>
  <si>
    <t>PR038</t>
  </si>
  <si>
    <t>Bandolera</t>
  </si>
  <si>
    <t>PR039</t>
  </si>
  <si>
    <t>Gafas de sol</t>
  </si>
  <si>
    <t>PR040</t>
  </si>
  <si>
    <t>Gafas de lectura</t>
  </si>
  <si>
    <t>PR041</t>
  </si>
  <si>
    <t>Mantilla</t>
  </si>
  <si>
    <t>PR042</t>
  </si>
  <si>
    <t>Poncho</t>
  </si>
  <si>
    <t>PR043</t>
  </si>
  <si>
    <t>Pantalones cortos</t>
  </si>
  <si>
    <t>PR044</t>
  </si>
  <si>
    <t>Chaqueta de punto</t>
  </si>
  <si>
    <t>PR045</t>
  </si>
  <si>
    <t>Camiseta estampada</t>
  </si>
  <si>
    <t>PR046</t>
  </si>
  <si>
    <t>Camiseta de tirantes</t>
  </si>
  <si>
    <t>PR047</t>
  </si>
  <si>
    <t>Pantalones cargo</t>
  </si>
  <si>
    <t>PR048</t>
  </si>
  <si>
    <t>Vestido de fiesta</t>
  </si>
  <si>
    <t>PR049</t>
  </si>
  <si>
    <t>Chaqueta acolchada</t>
  </si>
  <si>
    <t>PR050</t>
  </si>
  <si>
    <t>Blazer</t>
  </si>
  <si>
    <t>PR051</t>
  </si>
  <si>
    <t>Pijama de seda</t>
  </si>
  <si>
    <t>PR052</t>
  </si>
  <si>
    <t>Abrigo de lana</t>
  </si>
  <si>
    <t>PR053</t>
  </si>
  <si>
    <t>Falda vaquera</t>
  </si>
  <si>
    <t>PR054</t>
  </si>
  <si>
    <t>Camiseta de manga larga</t>
  </si>
  <si>
    <t>PR055</t>
  </si>
  <si>
    <t>Zapatillas de deporte</t>
  </si>
  <si>
    <t>PR056</t>
  </si>
  <si>
    <t>Botas de montaña</t>
  </si>
  <si>
    <t>PR057</t>
  </si>
  <si>
    <t>Sandalias de plataforma</t>
  </si>
  <si>
    <t>PR058</t>
  </si>
  <si>
    <t>Camiseta básica</t>
  </si>
  <si>
    <t>PR059</t>
  </si>
  <si>
    <t>Pantalones de yoga</t>
  </si>
  <si>
    <t>PR060</t>
  </si>
  <si>
    <t xml:space="preserve">Sudadera </t>
  </si>
  <si>
    <t>Control de Vendedores</t>
  </si>
  <si>
    <t>Vendedor</t>
  </si>
  <si>
    <t>País</t>
  </si>
  <si>
    <t>Desc. Máximo</t>
  </si>
  <si>
    <t>VD001</t>
  </si>
  <si>
    <t>Juan</t>
  </si>
  <si>
    <t>Argentina</t>
  </si>
  <si>
    <t>VD002</t>
  </si>
  <si>
    <t>Sarah</t>
  </si>
  <si>
    <t>Chile</t>
  </si>
  <si>
    <t>VD003</t>
  </si>
  <si>
    <t>Thalia</t>
  </si>
  <si>
    <t>Perú</t>
  </si>
  <si>
    <t>VD004</t>
  </si>
  <si>
    <t>Maria</t>
  </si>
  <si>
    <t>México</t>
  </si>
  <si>
    <t>VD005</t>
  </si>
  <si>
    <t>Jorge</t>
  </si>
  <si>
    <t>Colombia</t>
  </si>
  <si>
    <t>Ventas</t>
  </si>
  <si>
    <t>Nº</t>
  </si>
  <si>
    <t>Mes</t>
  </si>
  <si>
    <t>Fecha</t>
  </si>
  <si>
    <t>Cant.</t>
  </si>
  <si>
    <t>Índice</t>
  </si>
  <si>
    <t>Descuento (Paso a Paso)</t>
  </si>
  <si>
    <t>Descuento (Directo)</t>
  </si>
  <si>
    <t>Descuento 
(Vendedor)</t>
  </si>
  <si>
    <t>Descuento Final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</si>
  <si>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</si>
  <si>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</si>
  <si>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</si>
  <si>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</si>
  <si>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</si>
  <si>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</si>
  <si>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</si>
  <si>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</si>
  <si>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</si>
  <si>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Consultas</t>
  </si>
  <si>
    <t>Consulta Producto</t>
  </si>
  <si>
    <t>Ventas del Día</t>
  </si>
  <si>
    <t>Fecha:</t>
  </si>
  <si>
    <t>Descripción</t>
  </si>
  <si>
    <t xml:space="preserve">Día de la Semana: </t>
  </si>
  <si>
    <t xml:space="preserve">Total Valor: </t>
  </si>
  <si>
    <t xml:space="preserve">Total Cant: </t>
  </si>
  <si>
    <t>Estado</t>
  </si>
  <si>
    <t>Stock Mínima</t>
  </si>
  <si>
    <t>Registros Generales</t>
  </si>
  <si>
    <t>Día de la Semana</t>
  </si>
  <si>
    <t>Domingo</t>
  </si>
  <si>
    <t>Lunes</t>
  </si>
  <si>
    <t>Martes</t>
  </si>
  <si>
    <t>Miércoles</t>
  </si>
  <si>
    <t>Jueves</t>
  </si>
  <si>
    <t>Viernes</t>
  </si>
  <si>
    <t>Sábado</t>
  </si>
  <si>
    <t>Descuento por Categoría y Cantidad</t>
  </si>
  <si>
    <t>Lista Simplificada</t>
  </si>
  <si>
    <t>Encuentra el precio del producto que tenga aproximadamente 20 cantidades</t>
  </si>
  <si>
    <t>Bermudas</t>
  </si>
  <si>
    <t>Bolso de cuero</t>
  </si>
  <si>
    <t>Encuentra un producto con aproximadamente 35 cantidades</t>
  </si>
  <si>
    <t>Pantalones vaqueros</t>
  </si>
  <si>
    <t>Bolso comodín</t>
  </si>
  <si>
    <t>Responda sí, si hay unas bermudas que cuestan 65,90</t>
  </si>
  <si>
    <t>¿Cuál es el producto más caro de la lista?</t>
  </si>
  <si>
    <t>Tengo una hoja de calculo de excel con los siguiente datos:</t>
  </si>
  <si>
    <t>El rango donde están los datos es: B2:D10.</t>
  </si>
  <si>
    <t>Cual es la mejor función de Excel para contestar la siguiente pregunta:</t>
  </si>
  <si>
    <t>Vendedores</t>
  </si>
  <si>
    <t>Totais</t>
  </si>
  <si>
    <t>N. Mês</t>
  </si>
  <si>
    <t>Meses</t>
  </si>
  <si>
    <t>Qtd</t>
  </si>
  <si>
    <t>Categoria</t>
  </si>
  <si>
    <t>% Vendas</t>
  </si>
  <si>
    <t>% Restante</t>
  </si>
  <si>
    <t>Acessórios</t>
  </si>
  <si>
    <t>Jan</t>
  </si>
  <si>
    <t>Clara</t>
  </si>
  <si>
    <t>Calçados</t>
  </si>
  <si>
    <t>Fev</t>
  </si>
  <si>
    <t>João</t>
  </si>
  <si>
    <t>Vestuário</t>
  </si>
  <si>
    <t>Mai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</si>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</sst>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</numFmts>
  <fonts count="3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  <font>
      <sz val="11"/>
      <color rgb="FF000000"/>
      <name val="Arial"/>
      <family val="2"/>
    </font>
    <font>
      <sz val="14"/>
      <color rgb="FF4472C4"/>
      <name val="Calibri"/>
      <family val="2"/>
      <scheme val="minor"/>
    </font>
    <font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23" fillId="3" borderId="0" xfId="0" applyFont="1" applyFill="1" applyAlignment="1">
      <alignment horizontal="left" vertical="center"/>
    </xf>
    <xf numFmtId="0" fontId="33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center"/>
    </xf>
    <xf numFmtId="166" fontId="24" fillId="7" borderId="26" xfId="0" applyNumberFormat="1" applyFont="1" applyFill="1" applyBorder="1" applyAlignment="1">
      <alignment horizontal="center" vertical="center"/>
    </xf>
    <xf numFmtId="166" fontId="29" fillId="0" borderId="3" xfId="0" applyNumberFormat="1" applyFont="1" applyBorder="1" applyAlignment="1">
      <alignment vertical="center"/>
    </xf>
    <xf numFmtId="166" fontId="29" fillId="0" borderId="6" xfId="0" applyNumberFormat="1" applyFont="1" applyBorder="1" applyAlignment="1">
      <alignment vertical="center"/>
    </xf>
    <xf numFmtId="0" fontId="34" fillId="8" borderId="0" xfId="0" applyFont="1" applyFill="1"/>
    <xf numFmtId="165" fontId="34" fillId="8" borderId="0" xfId="0" applyNumberFormat="1" applyFont="1" applyFill="1"/>
    <xf numFmtId="0" fontId="35" fillId="0" borderId="0" xfId="0" applyFont="1"/>
    <xf numFmtId="0" fontId="36" fillId="0" borderId="0" xfId="0" applyFont="1"/>
    <xf numFmtId="0" fontId="37" fillId="9" borderId="0" xfId="0" applyFont="1" applyFill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alignment horizontal="center" vertical="bottom" textRotation="0" wrapText="0" indent="0" justifyLastLine="0" shrinkToFit="0" readingOrder="0"/>
    </dxf>
    <dxf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6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  <color rgb="FFDAFF01"/>
      <color rgb="FF9353FF"/>
      <color rgb="FFCCCCCC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ctos!A1"/><Relationship Id="rId2" Type="http://schemas.openxmlformats.org/officeDocument/2006/relationships/hyperlink" Target="#Vent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t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Ventas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287655</xdr:colOff>
      <xdr:row>0</xdr:row>
      <xdr:rowOff>100014</xdr:rowOff>
    </xdr:from>
    <xdr:to>
      <xdr:col>6</xdr:col>
      <xdr:colOff>1016000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113905" y="100014"/>
          <a:ext cx="72834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5</xdr:col>
      <xdr:colOff>260350</xdr:colOff>
      <xdr:row>0</xdr:row>
      <xdr:rowOff>100014</xdr:rowOff>
    </xdr:from>
    <xdr:to>
      <xdr:col>5</xdr:col>
      <xdr:colOff>1264920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784850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331788</xdr:colOff>
      <xdr:row>0</xdr:row>
      <xdr:rowOff>100014</xdr:rowOff>
    </xdr:from>
    <xdr:to>
      <xdr:col>5</xdr:col>
      <xdr:colOff>167958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681538" y="100014"/>
          <a:ext cx="101092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3</xdr:col>
      <xdr:colOff>193675</xdr:colOff>
      <xdr:row>0</xdr:row>
      <xdr:rowOff>100014</xdr:rowOff>
    </xdr:from>
    <xdr:to>
      <xdr:col>4</xdr:col>
      <xdr:colOff>239395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584575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187209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361950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ctos" displayName="TB_Productos" ref="B6:F66" totalsRowShown="0" headerRowDxfId="21">
  <autoFilter ref="B6:F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F8ED5FF-48A1-488E-9DF1-FE060F71A415}" name="Código" dataDxfId="20"/>
    <tableColumn id="2" xr3:uid="{E100D4E2-C3A0-43FF-A1D9-90A4BC2A9918}" name="Productos"/>
    <tableColumn id="3" xr3:uid="{2EF7FEE0-6B6F-4534-86A0-46B6555B7BEF}" name="Categoría" dataDxfId="19"/>
    <tableColumn id="4" xr3:uid="{4435A4B8-E7F0-4D66-A4F8-6A9FEAA36D5A}" name="Stock" dataDxfId="18"/>
    <tableColumn id="6" xr3:uid="{15F9CACC-A558-4A20-80CF-C2ADA2603221}" name="Precio Unita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tas" displayName="TB_Ventas" ref="A4:N86" totalsRowShown="0" headerRowDxfId="15" dataDxfId="14" headerRowCellStyle="Cabeçalho Meteora">
  <autoFilter ref="A4:N86" xr:uid="{AD739091-30BD-4C30-BDDA-7504C0C4B6E2}"/>
  <tableColumns count="14">
    <tableColumn id="7" xr3:uid="{5E8DE7C3-CDB6-4314-A5CC-C44D3C21973F}" name="Nº" dataDxfId="13">
      <calculatedColumnFormula>MONTH(TB_Ventas[[#This Row],[Fecha]])</calculatedColumnFormula>
    </tableColumn>
    <tableColumn id="10" xr3:uid="{BD1ABB49-B48B-4C50-A034-45488FDC03A8}" name="Mes" dataDxfId="12"/>
    <tableColumn id="1" xr3:uid="{43632F1F-6978-4CE7-BB13-7CCE587D6821}" name="Fecha" dataDxfId="11"/>
    <tableColumn id="12" xr3:uid="{205A55AB-454E-4288-AE23-042C3C399E7A}" name="Código" dataDxfId="10"/>
    <tableColumn id="16" xr3:uid="{059789B1-50A2-47F3-849D-D1EE26B94731}" name="Categoría" dataDxfId="9">
      <calculatedColumnFormula>_xlfn.XLOOKUP(TB_Ventas[[#This Row],[Código]],TB_Productos[Código],TB_Productos[Categoría])</calculatedColumnFormula>
    </tableColumn>
    <tableColumn id="5" xr3:uid="{7DC2ADED-AF8A-4BC8-A38E-FEF676FE49C9}" name="Cant." dataDxfId="8"/>
    <tableColumn id="9" xr3:uid="{05B7315B-2774-41BC-AFEC-4A19E452D6C7}" name="Precio Unitario" dataDxfId="7">
      <calculatedColumnFormula>VLOOKUP(TB_Ventas[[#This Row],[Código]],Productos!$B$6:$F$66,5,0)</calculatedColumnFormula>
    </tableColumn>
    <tableColumn id="18" xr3:uid="{152BED38-8D5F-4FAA-8C38-58740E2353E5}" name="Índice" dataDxfId="6">
      <calculatedColumnFormula>_xlfn.XMATCH(TB_Ventas[[#This Row],[Categoría]],Desc_CategorÍas,0)</calculatedColumnFormula>
    </tableColumn>
    <tableColumn id="17" xr3:uid="{C4E78734-94D7-4D31-B07D-5609B855AC0F}" name="Descuento (Paso a Paso)" dataDxfId="5">
      <calculatedColumnFormula>VLOOKUP(TB_Ventas[[#This Row],[Cant.]],Desc_TabelaToda,TB_Ventas[[#This Row],[Índice]],TRUE)</calculatedColumnFormula>
    </tableColumn>
    <tableColumn id="2" xr3:uid="{4BEBDE19-FA81-4412-AC83-E0AE6998A9B4}" name="Descuento (Directo)" dataDxfId="4">
      <calculatedColumnFormula array="1">INDEX(Desc_TabelaToda,MATCH(TB_Ventas[[#This Row],[Cant.]],Desc_Quantidades,1),MATCH(_xlfn.XLOOKUP(TB_Ventas[[#This Row],[Código]],TB_Productos[[#All],[Código]],TB_Productos[[#All],[Categoría]]),Desc_CategorÍas,0))</calculatedColumnFormula>
    </tableColumn>
    <tableColumn id="3" xr3:uid="{A390EF1B-6262-46F1-9157-812330B340F7}" name="Descuento _x000a_(Vendedor)" dataDxfId="3">
      <calculatedColumnFormula>_xlfn.XLOOKUP(TB_Ventas[[#This Row],[Vendedor]],Vendedores!$A$5:$A$9,Vendedores!$D$5:$D$9)</calculatedColumnFormula>
    </tableColumn>
    <tableColumn id="4" xr3:uid="{0BDC1FEC-277F-4592-AE4E-EB3C0FEF2F34}" name="Descuento Final" dataDxfId="2">
      <calculatedColumnFormula>IF(TB_Ventas[[#This Row],[Descuento (Directo)]]&lt;=TB_Ventas[[#This Row],[Descuento 
(Vendedor)]],TB_Ventas[[#This Row],[Descuento (Directo)]],TB_Ventas[[#This Row],[Descuento 
(Vendedor)]])</calculatedColumnFormula>
    </tableColumn>
    <tableColumn id="6" xr3:uid="{9459B662-6A4F-4486-82B1-12F67B8F842E}" name="Total" dataDxfId="1">
      <calculatedColumnFormula>TB_Ventas[[#This Row],[Precio Unitario]]*TB_Ventas[[#This Row],[Cant.]]</calculatedColumnFormula>
    </tableColumn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sqref="A1:L6"/>
    </sheetView>
  </sheetViews>
  <sheetFormatPr defaultColWidth="0" defaultRowHeight="15" zeroHeight="1"/>
  <cols>
    <col min="1" max="5" width="8.85546875" style="35" customWidth="1"/>
    <col min="6" max="12" width="8.85546875" customWidth="1"/>
    <col min="13" max="16384" width="8.85546875" hidden="1"/>
  </cols>
  <sheetData>
    <row r="1" spans="1:1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</row>
    <row r="3" spans="1:12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</row>
    <row r="4" spans="1:12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</row>
    <row r="5" spans="1:12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</row>
    <row r="6" spans="1:12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</row>
    <row r="7" spans="1:12">
      <c r="F7" s="35"/>
      <c r="G7" s="35"/>
      <c r="H7" s="35"/>
      <c r="I7" s="35"/>
      <c r="J7" s="35"/>
      <c r="K7" s="35"/>
      <c r="L7" s="35"/>
    </row>
    <row r="8" spans="1:12">
      <c r="F8" s="35"/>
      <c r="G8" s="35"/>
      <c r="H8" s="35"/>
      <c r="I8" s="35"/>
      <c r="J8" s="35"/>
      <c r="K8" s="35"/>
      <c r="L8" s="35"/>
    </row>
    <row r="9" spans="1:12">
      <c r="F9" s="35"/>
      <c r="G9" s="35"/>
      <c r="H9" s="35"/>
      <c r="I9" s="35"/>
      <c r="J9" s="35"/>
      <c r="K9" s="35"/>
      <c r="L9" s="35"/>
    </row>
    <row r="10" spans="1:12">
      <c r="F10" s="35"/>
      <c r="G10" s="35"/>
      <c r="H10" s="35"/>
      <c r="I10" s="35"/>
      <c r="J10" s="35"/>
      <c r="K10" s="35"/>
      <c r="L10" s="35"/>
    </row>
    <row r="11" spans="1:12">
      <c r="F11" s="35"/>
      <c r="G11" s="35"/>
      <c r="H11" s="35"/>
      <c r="I11" s="35"/>
      <c r="J11" s="35"/>
      <c r="K11" s="35"/>
      <c r="L11" s="35"/>
    </row>
    <row r="12" spans="1:12">
      <c r="F12" s="35"/>
      <c r="G12" s="35"/>
      <c r="H12" s="35"/>
      <c r="I12" s="35"/>
      <c r="J12" s="35"/>
      <c r="K12" s="35"/>
      <c r="L12" s="35"/>
    </row>
    <row r="13" spans="1:12">
      <c r="F13" s="35"/>
      <c r="G13" s="35"/>
      <c r="H13" s="35"/>
      <c r="I13" s="35"/>
      <c r="J13" s="35"/>
      <c r="K13" s="35"/>
      <c r="L13" s="35"/>
    </row>
    <row r="14" spans="1:12">
      <c r="F14" s="35"/>
      <c r="G14" s="35"/>
      <c r="H14" s="35"/>
      <c r="I14" s="35"/>
      <c r="J14" s="35"/>
      <c r="K14" s="35"/>
      <c r="L14" s="35"/>
    </row>
    <row r="15" spans="1:12">
      <c r="F15" s="35"/>
      <c r="G15" s="35"/>
      <c r="H15" s="35"/>
      <c r="I15" s="35"/>
      <c r="J15" s="35"/>
      <c r="K15" s="35"/>
      <c r="L15" s="35"/>
    </row>
    <row r="16" spans="1:12">
      <c r="F16" s="35"/>
      <c r="G16" s="35"/>
      <c r="H16" s="35"/>
      <c r="I16" s="35"/>
      <c r="J16" s="35"/>
      <c r="K16" s="35"/>
      <c r="L16" s="35"/>
    </row>
  </sheetData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/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9" bestFit="1" customWidth="1"/>
    <col min="7" max="7" width="16" customWidth="1"/>
    <col min="8" max="8" width="8.85546875" hidden="1" customWidth="1"/>
    <col min="9" max="16384" width="8.85546875" hidden="1"/>
  </cols>
  <sheetData>
    <row r="1" spans="1:9" s="35" customFormat="1" ht="40.15" customHeight="1">
      <c r="A1" s="38"/>
      <c r="B1" s="95" t="s">
        <v>0</v>
      </c>
      <c r="C1" s="42"/>
      <c r="D1" s="42"/>
      <c r="E1" s="42"/>
      <c r="F1" s="42"/>
      <c r="G1" s="42"/>
      <c r="H1" s="40"/>
      <c r="I1" s="40"/>
    </row>
    <row r="2" spans="1:9" s="36" customFormat="1" ht="4.5" customHeight="1">
      <c r="A2" s="39"/>
      <c r="B2" s="39"/>
      <c r="C2" s="39"/>
      <c r="D2" s="39"/>
      <c r="E2" s="39"/>
      <c r="F2" s="39"/>
    </row>
    <row r="3" spans="1:9" ht="4.5" customHeight="1">
      <c r="A3" s="37"/>
      <c r="B3" s="37"/>
      <c r="C3" s="37"/>
      <c r="D3" s="37"/>
      <c r="E3" s="37"/>
      <c r="F3" s="37"/>
    </row>
    <row r="4" spans="1:9" ht="18" customHeight="1">
      <c r="A4" s="41"/>
      <c r="B4" s="41"/>
      <c r="D4" s="37"/>
      <c r="E4" s="37"/>
      <c r="F4" s="37"/>
    </row>
    <row r="5" spans="1:9" ht="4.9000000000000004" customHeight="1">
      <c r="A5" s="37"/>
      <c r="B5" s="37"/>
      <c r="C5" s="37"/>
      <c r="D5" s="37"/>
      <c r="E5" s="37"/>
      <c r="F5" s="37"/>
    </row>
    <row r="6" spans="1:9" s="1" customFormat="1" ht="18.75">
      <c r="B6" s="31" t="s">
        <v>1</v>
      </c>
      <c r="C6" s="31" t="s">
        <v>2</v>
      </c>
      <c r="D6" s="31" t="s">
        <v>3</v>
      </c>
      <c r="E6" s="31" t="s">
        <v>4</v>
      </c>
      <c r="F6" s="31" t="s">
        <v>5</v>
      </c>
      <c r="G6" s="31"/>
    </row>
    <row r="7" spans="1:9">
      <c r="B7" s="1" t="s">
        <v>6</v>
      </c>
      <c r="C7" t="s">
        <v>7</v>
      </c>
      <c r="D7" t="s">
        <v>8</v>
      </c>
      <c r="E7" s="1">
        <v>48</v>
      </c>
      <c r="F7" s="97">
        <v>65.900000000000006</v>
      </c>
    </row>
    <row r="8" spans="1:9">
      <c r="B8" s="1" t="s">
        <v>9</v>
      </c>
      <c r="C8" t="s">
        <v>10</v>
      </c>
      <c r="D8" t="s">
        <v>8</v>
      </c>
      <c r="E8" s="1">
        <v>17</v>
      </c>
      <c r="F8" s="97">
        <v>69.900000000000006</v>
      </c>
    </row>
    <row r="9" spans="1:9">
      <c r="B9" s="1" t="s">
        <v>11</v>
      </c>
      <c r="C9" t="s">
        <v>12</v>
      </c>
      <c r="D9" t="s">
        <v>8</v>
      </c>
      <c r="E9" s="1">
        <v>37</v>
      </c>
      <c r="F9" s="97">
        <v>70.900000000000006</v>
      </c>
    </row>
    <row r="10" spans="1:9">
      <c r="B10" s="1" t="s">
        <v>13</v>
      </c>
      <c r="C10" t="s">
        <v>14</v>
      </c>
      <c r="D10" t="s">
        <v>15</v>
      </c>
      <c r="E10" s="1">
        <v>36</v>
      </c>
      <c r="F10" s="97">
        <v>145</v>
      </c>
    </row>
    <row r="11" spans="1:9">
      <c r="B11" s="1" t="s">
        <v>16</v>
      </c>
      <c r="C11" t="s">
        <v>17</v>
      </c>
      <c r="D11" t="s">
        <v>15</v>
      </c>
      <c r="E11" s="1">
        <v>21</v>
      </c>
      <c r="F11" s="97">
        <v>259.89999999999998</v>
      </c>
    </row>
    <row r="12" spans="1:9">
      <c r="B12" s="1" t="s">
        <v>18</v>
      </c>
      <c r="C12" t="s">
        <v>19</v>
      </c>
      <c r="D12" t="s">
        <v>15</v>
      </c>
      <c r="E12" s="1">
        <v>23</v>
      </c>
      <c r="F12" s="97">
        <v>39.9</v>
      </c>
    </row>
    <row r="13" spans="1:9">
      <c r="B13" s="1" t="s">
        <v>20</v>
      </c>
      <c r="C13" t="s">
        <v>21</v>
      </c>
      <c r="D13" t="s">
        <v>8</v>
      </c>
      <c r="E13" s="1">
        <v>24</v>
      </c>
      <c r="F13" s="97">
        <v>85.9</v>
      </c>
    </row>
    <row r="14" spans="1:9">
      <c r="B14" s="1" t="s">
        <v>22</v>
      </c>
      <c r="C14" t="s">
        <v>23</v>
      </c>
      <c r="D14" t="s">
        <v>8</v>
      </c>
      <c r="E14" s="1">
        <v>35</v>
      </c>
      <c r="F14" s="97">
        <v>89.9</v>
      </c>
    </row>
    <row r="15" spans="1:9">
      <c r="B15" s="1" t="s">
        <v>24</v>
      </c>
      <c r="C15" t="s">
        <v>25</v>
      </c>
      <c r="D15" t="s">
        <v>8</v>
      </c>
      <c r="E15" s="1">
        <v>47</v>
      </c>
      <c r="F15" s="97">
        <v>92.9</v>
      </c>
    </row>
    <row r="16" spans="1:9">
      <c r="B16" s="1" t="s">
        <v>26</v>
      </c>
      <c r="C16" t="s">
        <v>27</v>
      </c>
      <c r="D16" t="s">
        <v>8</v>
      </c>
      <c r="E16" s="1">
        <v>42</v>
      </c>
      <c r="F16" s="97">
        <v>44.9</v>
      </c>
    </row>
    <row r="17" spans="2:6">
      <c r="B17" s="1" t="s">
        <v>28</v>
      </c>
      <c r="C17" t="s">
        <v>29</v>
      </c>
      <c r="D17" t="s">
        <v>8</v>
      </c>
      <c r="E17" s="1">
        <v>32</v>
      </c>
      <c r="F17" s="97">
        <v>46.9</v>
      </c>
    </row>
    <row r="18" spans="2:6">
      <c r="B18" s="1" t="s">
        <v>30</v>
      </c>
      <c r="C18" t="s">
        <v>31</v>
      </c>
      <c r="D18" t="s">
        <v>8</v>
      </c>
      <c r="E18" s="1">
        <v>45</v>
      </c>
      <c r="F18" s="97">
        <v>48.9</v>
      </c>
    </row>
    <row r="19" spans="2:6">
      <c r="B19" s="1" t="s">
        <v>32</v>
      </c>
      <c r="C19" t="s">
        <v>33</v>
      </c>
      <c r="D19" t="s">
        <v>8</v>
      </c>
      <c r="E19" s="1">
        <v>19</v>
      </c>
      <c r="F19" s="97">
        <v>39.9</v>
      </c>
    </row>
    <row r="20" spans="2:6">
      <c r="B20" s="1" t="s">
        <v>34</v>
      </c>
      <c r="C20" t="s">
        <v>35</v>
      </c>
      <c r="D20" t="s">
        <v>8</v>
      </c>
      <c r="E20" s="1">
        <v>37</v>
      </c>
      <c r="F20" s="97">
        <v>39.9</v>
      </c>
    </row>
    <row r="21" spans="2:6">
      <c r="B21" s="1" t="s">
        <v>36</v>
      </c>
      <c r="C21" t="s">
        <v>37</v>
      </c>
      <c r="D21" t="s">
        <v>8</v>
      </c>
      <c r="E21" s="1">
        <v>16</v>
      </c>
      <c r="F21" s="97">
        <v>42.5</v>
      </c>
    </row>
    <row r="22" spans="2:6">
      <c r="B22" s="1" t="s">
        <v>38</v>
      </c>
      <c r="C22" t="s">
        <v>39</v>
      </c>
      <c r="D22" t="s">
        <v>8</v>
      </c>
      <c r="E22" s="1">
        <v>43</v>
      </c>
      <c r="F22" s="97">
        <v>25.9</v>
      </c>
    </row>
    <row r="23" spans="2:6">
      <c r="B23" s="1" t="s">
        <v>40</v>
      </c>
      <c r="C23" t="s">
        <v>41</v>
      </c>
      <c r="D23" t="s">
        <v>8</v>
      </c>
      <c r="E23" s="1">
        <v>46</v>
      </c>
      <c r="F23" s="97">
        <v>29.9</v>
      </c>
    </row>
    <row r="24" spans="2:6">
      <c r="B24" s="1" t="s">
        <v>42</v>
      </c>
      <c r="C24" t="s">
        <v>43</v>
      </c>
      <c r="D24" t="s">
        <v>8</v>
      </c>
      <c r="E24" s="1">
        <v>0</v>
      </c>
      <c r="F24" s="97">
        <v>32.9</v>
      </c>
    </row>
    <row r="25" spans="2:6">
      <c r="B25" s="1" t="s">
        <v>44</v>
      </c>
      <c r="C25" t="s">
        <v>45</v>
      </c>
      <c r="D25" t="s">
        <v>15</v>
      </c>
      <c r="E25" s="1">
        <v>2</v>
      </c>
      <c r="F25" s="97">
        <v>49.9</v>
      </c>
    </row>
    <row r="26" spans="2:6">
      <c r="B26" s="1" t="s">
        <v>46</v>
      </c>
      <c r="C26" t="s">
        <v>47</v>
      </c>
      <c r="D26" t="s">
        <v>8</v>
      </c>
      <c r="E26" s="1">
        <v>34</v>
      </c>
      <c r="F26" s="97">
        <v>299.89999999999998</v>
      </c>
    </row>
    <row r="27" spans="2:6">
      <c r="B27" s="1" t="s">
        <v>48</v>
      </c>
      <c r="C27" t="s">
        <v>49</v>
      </c>
      <c r="D27" t="s">
        <v>8</v>
      </c>
      <c r="E27" s="1">
        <v>34</v>
      </c>
      <c r="F27" s="97">
        <v>302.89999999999998</v>
      </c>
    </row>
    <row r="28" spans="2:6">
      <c r="B28" s="1" t="s">
        <v>50</v>
      </c>
      <c r="C28" t="s">
        <v>51</v>
      </c>
      <c r="D28" t="s">
        <v>8</v>
      </c>
      <c r="E28" s="1">
        <v>35</v>
      </c>
      <c r="F28" s="97">
        <v>300</v>
      </c>
    </row>
    <row r="29" spans="2:6">
      <c r="B29" s="1" t="s">
        <v>52</v>
      </c>
      <c r="C29" t="s">
        <v>53</v>
      </c>
      <c r="D29" t="s">
        <v>15</v>
      </c>
      <c r="E29" s="1">
        <v>49</v>
      </c>
      <c r="F29" s="97">
        <v>249.9</v>
      </c>
    </row>
    <row r="30" spans="2:6">
      <c r="B30" s="1" t="s">
        <v>54</v>
      </c>
      <c r="C30" t="s">
        <v>55</v>
      </c>
      <c r="D30" t="s">
        <v>15</v>
      </c>
      <c r="E30" s="1">
        <v>16</v>
      </c>
      <c r="F30" s="97">
        <v>259.89999999999998</v>
      </c>
    </row>
    <row r="31" spans="2:6">
      <c r="B31" s="1" t="s">
        <v>56</v>
      </c>
      <c r="C31" t="s">
        <v>57</v>
      </c>
      <c r="D31" t="s">
        <v>15</v>
      </c>
      <c r="E31" s="1">
        <v>41</v>
      </c>
      <c r="F31" s="97">
        <v>299.89999999999998</v>
      </c>
    </row>
    <row r="32" spans="2:6">
      <c r="B32" s="1" t="s">
        <v>58</v>
      </c>
      <c r="C32" t="s">
        <v>59</v>
      </c>
      <c r="D32" t="s">
        <v>15</v>
      </c>
      <c r="E32" s="1">
        <v>32</v>
      </c>
      <c r="F32" s="97">
        <v>349.9</v>
      </c>
    </row>
    <row r="33" spans="2:6">
      <c r="B33" s="1" t="s">
        <v>60</v>
      </c>
      <c r="C33" t="s">
        <v>61</v>
      </c>
      <c r="D33" t="s">
        <v>15</v>
      </c>
      <c r="E33" s="1">
        <v>45</v>
      </c>
      <c r="F33" s="97">
        <v>120</v>
      </c>
    </row>
    <row r="34" spans="2:6">
      <c r="B34" s="1" t="s">
        <v>62</v>
      </c>
      <c r="C34" t="s">
        <v>63</v>
      </c>
      <c r="D34" t="s">
        <v>64</v>
      </c>
      <c r="E34" s="1">
        <v>37</v>
      </c>
      <c r="F34" s="97">
        <v>249.9</v>
      </c>
    </row>
    <row r="35" spans="2:6">
      <c r="B35" s="1" t="s">
        <v>65</v>
      </c>
      <c r="C35" t="s">
        <v>66</v>
      </c>
      <c r="D35" t="s">
        <v>64</v>
      </c>
      <c r="E35" s="1">
        <v>41</v>
      </c>
      <c r="F35" s="97">
        <v>255</v>
      </c>
    </row>
    <row r="36" spans="2:6">
      <c r="B36" s="1" t="s">
        <v>67</v>
      </c>
      <c r="C36" t="s">
        <v>68</v>
      </c>
      <c r="D36" t="s">
        <v>64</v>
      </c>
      <c r="E36" s="1">
        <v>30</v>
      </c>
      <c r="F36" s="97">
        <v>259.89999999999998</v>
      </c>
    </row>
    <row r="37" spans="2:6">
      <c r="B37" s="1" t="s">
        <v>69</v>
      </c>
      <c r="C37" t="s">
        <v>70</v>
      </c>
      <c r="D37" t="s">
        <v>64</v>
      </c>
      <c r="E37" s="1">
        <v>27</v>
      </c>
      <c r="F37" s="97">
        <v>245</v>
      </c>
    </row>
    <row r="38" spans="2:6">
      <c r="B38" s="1" t="s">
        <v>71</v>
      </c>
      <c r="C38" t="s">
        <v>72</v>
      </c>
      <c r="D38" t="s">
        <v>64</v>
      </c>
      <c r="E38" s="1">
        <v>41</v>
      </c>
      <c r="F38" s="97">
        <v>250</v>
      </c>
    </row>
    <row r="39" spans="2:6">
      <c r="B39" s="1" t="s">
        <v>73</v>
      </c>
      <c r="C39" t="s">
        <v>74</v>
      </c>
      <c r="D39" t="s">
        <v>64</v>
      </c>
      <c r="E39" s="1">
        <v>43</v>
      </c>
      <c r="F39" s="97">
        <v>259.89999999999998</v>
      </c>
    </row>
    <row r="40" spans="2:6">
      <c r="B40" s="1" t="s">
        <v>75</v>
      </c>
      <c r="C40" t="s">
        <v>76</v>
      </c>
      <c r="D40" t="s">
        <v>15</v>
      </c>
      <c r="E40" s="1">
        <v>43</v>
      </c>
      <c r="F40" s="97">
        <v>89.9</v>
      </c>
    </row>
    <row r="41" spans="2:6">
      <c r="B41" s="1" t="s">
        <v>77</v>
      </c>
      <c r="C41" t="s">
        <v>78</v>
      </c>
      <c r="D41" t="s">
        <v>15</v>
      </c>
      <c r="E41" s="1">
        <v>18</v>
      </c>
      <c r="F41" s="97">
        <v>91.4</v>
      </c>
    </row>
    <row r="42" spans="2:6">
      <c r="B42" s="1" t="s">
        <v>79</v>
      </c>
      <c r="C42" t="s">
        <v>80</v>
      </c>
      <c r="D42" t="s">
        <v>15</v>
      </c>
      <c r="E42" s="1">
        <v>45</v>
      </c>
      <c r="F42" s="97">
        <v>93.5</v>
      </c>
    </row>
    <row r="43" spans="2:6">
      <c r="B43" s="1" t="s">
        <v>81</v>
      </c>
      <c r="C43" t="s">
        <v>82</v>
      </c>
      <c r="D43" t="s">
        <v>15</v>
      </c>
      <c r="E43" s="1">
        <v>34</v>
      </c>
      <c r="F43" s="97">
        <v>140</v>
      </c>
    </row>
    <row r="44" spans="2:6">
      <c r="B44" s="1" t="s">
        <v>83</v>
      </c>
      <c r="C44" t="s">
        <v>84</v>
      </c>
      <c r="D44" t="s">
        <v>15</v>
      </c>
      <c r="E44" s="1">
        <v>47</v>
      </c>
      <c r="F44" s="97">
        <v>142.9</v>
      </c>
    </row>
    <row r="45" spans="2:6">
      <c r="B45" s="1" t="s">
        <v>85</v>
      </c>
      <c r="C45" t="s">
        <v>86</v>
      </c>
      <c r="D45" t="s">
        <v>15</v>
      </c>
      <c r="E45" s="1">
        <v>50</v>
      </c>
      <c r="F45" s="97">
        <v>146</v>
      </c>
    </row>
    <row r="46" spans="2:6">
      <c r="B46" s="1" t="s">
        <v>87</v>
      </c>
      <c r="C46" t="s">
        <v>88</v>
      </c>
      <c r="D46" t="s">
        <v>15</v>
      </c>
      <c r="E46" s="1">
        <v>16</v>
      </c>
      <c r="F46" s="97">
        <v>70</v>
      </c>
    </row>
    <row r="47" spans="2:6">
      <c r="B47" s="1" t="s">
        <v>89</v>
      </c>
      <c r="C47" t="s">
        <v>90</v>
      </c>
      <c r="D47" t="s">
        <v>15</v>
      </c>
      <c r="E47" s="1">
        <v>21</v>
      </c>
      <c r="F47" s="97">
        <v>54.9</v>
      </c>
    </row>
    <row r="48" spans="2:6">
      <c r="B48" s="1" t="s">
        <v>91</v>
      </c>
      <c r="C48" t="s">
        <v>92</v>
      </c>
      <c r="D48" t="s">
        <v>15</v>
      </c>
      <c r="E48" s="1">
        <v>43</v>
      </c>
      <c r="F48" s="97">
        <v>54.9</v>
      </c>
    </row>
    <row r="49" spans="2:6">
      <c r="B49" s="1" t="s">
        <v>93</v>
      </c>
      <c r="C49" t="s">
        <v>94</v>
      </c>
      <c r="D49" t="s">
        <v>8</v>
      </c>
      <c r="E49" s="1">
        <v>43</v>
      </c>
      <c r="F49" s="97">
        <v>72.5</v>
      </c>
    </row>
    <row r="50" spans="2:6">
      <c r="B50" s="1" t="s">
        <v>95</v>
      </c>
      <c r="C50" t="s">
        <v>96</v>
      </c>
      <c r="D50" t="s">
        <v>8</v>
      </c>
      <c r="E50" s="1">
        <v>41</v>
      </c>
      <c r="F50" s="97">
        <v>72.5</v>
      </c>
    </row>
    <row r="51" spans="2:6">
      <c r="B51" s="1" t="s">
        <v>97</v>
      </c>
      <c r="C51" t="s">
        <v>98</v>
      </c>
      <c r="D51" t="s">
        <v>8</v>
      </c>
      <c r="E51" s="1">
        <v>49</v>
      </c>
      <c r="F51" s="97">
        <v>72.5</v>
      </c>
    </row>
    <row r="52" spans="2:6">
      <c r="B52" s="1" t="s">
        <v>99</v>
      </c>
      <c r="C52" t="s">
        <v>100</v>
      </c>
      <c r="D52" t="s">
        <v>8</v>
      </c>
      <c r="E52" s="1">
        <v>15</v>
      </c>
      <c r="F52" s="97">
        <v>289.89999999999998</v>
      </c>
    </row>
    <row r="53" spans="2:6">
      <c r="B53" s="1" t="s">
        <v>101</v>
      </c>
      <c r="C53" t="s">
        <v>102</v>
      </c>
      <c r="D53" t="s">
        <v>8</v>
      </c>
      <c r="E53" s="1">
        <v>10</v>
      </c>
      <c r="F53" s="97">
        <v>289.89999999999998</v>
      </c>
    </row>
    <row r="54" spans="2:6">
      <c r="B54" s="1" t="s">
        <v>103</v>
      </c>
      <c r="C54" t="s">
        <v>104</v>
      </c>
      <c r="D54" t="s">
        <v>8</v>
      </c>
      <c r="E54" s="1">
        <v>21</v>
      </c>
      <c r="F54" s="97">
        <v>289.89999999999998</v>
      </c>
    </row>
    <row r="55" spans="2:6">
      <c r="B55" s="1" t="s">
        <v>105</v>
      </c>
      <c r="C55" t="s">
        <v>106</v>
      </c>
      <c r="D55" t="s">
        <v>8</v>
      </c>
      <c r="E55" s="1">
        <v>8</v>
      </c>
      <c r="F55" s="97">
        <v>32.9</v>
      </c>
    </row>
    <row r="56" spans="2:6">
      <c r="B56" s="1" t="s">
        <v>107</v>
      </c>
      <c r="C56" t="s">
        <v>108</v>
      </c>
      <c r="D56" t="s">
        <v>8</v>
      </c>
      <c r="E56" s="1">
        <v>42</v>
      </c>
      <c r="F56" s="97">
        <v>32.9</v>
      </c>
    </row>
    <row r="57" spans="2:6">
      <c r="B57" s="1" t="s">
        <v>109</v>
      </c>
      <c r="C57" t="s">
        <v>110</v>
      </c>
      <c r="D57" t="s">
        <v>8</v>
      </c>
      <c r="E57" s="1">
        <v>48</v>
      </c>
      <c r="F57" s="97">
        <v>32.9</v>
      </c>
    </row>
    <row r="58" spans="2:6">
      <c r="B58" s="1" t="s">
        <v>111</v>
      </c>
      <c r="C58" t="s">
        <v>112</v>
      </c>
      <c r="D58" t="s">
        <v>8</v>
      </c>
      <c r="E58" s="1">
        <v>35</v>
      </c>
      <c r="F58" s="97">
        <v>49.9</v>
      </c>
    </row>
    <row r="59" spans="2:6">
      <c r="B59" s="1" t="s">
        <v>113</v>
      </c>
      <c r="C59" t="s">
        <v>114</v>
      </c>
      <c r="D59" t="s">
        <v>8</v>
      </c>
      <c r="E59" s="1">
        <v>40</v>
      </c>
      <c r="F59" s="97">
        <v>49.9</v>
      </c>
    </row>
    <row r="60" spans="2:6">
      <c r="B60" s="1" t="s">
        <v>115</v>
      </c>
      <c r="C60" t="s">
        <v>116</v>
      </c>
      <c r="D60" t="s">
        <v>8</v>
      </c>
      <c r="E60" s="1">
        <v>18</v>
      </c>
      <c r="F60" s="97">
        <v>49.9</v>
      </c>
    </row>
    <row r="61" spans="2:6">
      <c r="B61" s="1" t="s">
        <v>117</v>
      </c>
      <c r="C61" t="s">
        <v>118</v>
      </c>
      <c r="D61" t="s">
        <v>64</v>
      </c>
      <c r="E61" s="1">
        <v>48</v>
      </c>
      <c r="F61" s="97">
        <v>89.9</v>
      </c>
    </row>
    <row r="62" spans="2:6">
      <c r="B62" s="1" t="s">
        <v>119</v>
      </c>
      <c r="C62" t="s">
        <v>120</v>
      </c>
      <c r="D62" t="s">
        <v>64</v>
      </c>
      <c r="E62" s="1">
        <v>38</v>
      </c>
      <c r="F62" s="97">
        <v>89.9</v>
      </c>
    </row>
    <row r="63" spans="2:6">
      <c r="B63" s="1" t="s">
        <v>121</v>
      </c>
      <c r="C63" t="s">
        <v>122</v>
      </c>
      <c r="D63" t="s">
        <v>64</v>
      </c>
      <c r="E63" s="1">
        <v>45</v>
      </c>
      <c r="F63" s="97">
        <v>89.9</v>
      </c>
    </row>
    <row r="64" spans="2:6">
      <c r="B64" s="1" t="s">
        <v>123</v>
      </c>
      <c r="C64" t="s">
        <v>124</v>
      </c>
      <c r="D64" t="s">
        <v>8</v>
      </c>
      <c r="E64" s="1">
        <v>40</v>
      </c>
      <c r="F64" s="97">
        <v>180</v>
      </c>
    </row>
    <row r="65" spans="2:6">
      <c r="B65" s="1" t="s">
        <v>125</v>
      </c>
      <c r="C65" t="s">
        <v>126</v>
      </c>
      <c r="D65" t="s">
        <v>8</v>
      </c>
      <c r="E65" s="1">
        <v>35</v>
      </c>
      <c r="F65" s="97">
        <v>180</v>
      </c>
    </row>
    <row r="66" spans="2:6">
      <c r="B66" s="1" t="s">
        <v>127</v>
      </c>
      <c r="C66" t="s">
        <v>128</v>
      </c>
      <c r="D66" t="s">
        <v>8</v>
      </c>
      <c r="E66" s="1">
        <v>35</v>
      </c>
      <c r="F66" s="97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F8" sqref="F8"/>
    </sheetView>
  </sheetViews>
  <sheetFormatPr defaultColWidth="8.85546875"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5" customFormat="1" ht="40.15" customHeight="1">
      <c r="A1" s="38"/>
      <c r="B1" s="108" t="s">
        <v>129</v>
      </c>
      <c r="C1" s="108"/>
      <c r="D1" s="40"/>
      <c r="E1" s="40"/>
    </row>
    <row r="2" spans="1:5" s="36" customFormat="1" ht="4.5" customHeight="1">
      <c r="A2" s="39"/>
      <c r="B2" s="39"/>
    </row>
    <row r="3" spans="1:5" ht="4.5" customHeight="1" thickBot="1">
      <c r="A3" s="37"/>
      <c r="B3" s="37"/>
    </row>
    <row r="4" spans="1:5" ht="21.75">
      <c r="A4" s="47" t="s">
        <v>1</v>
      </c>
      <c r="B4" s="53" t="s">
        <v>130</v>
      </c>
      <c r="C4" s="53" t="s">
        <v>131</v>
      </c>
      <c r="D4" s="48" t="s">
        <v>132</v>
      </c>
    </row>
    <row r="5" spans="1:5" ht="22.5" customHeight="1">
      <c r="A5" s="59" t="s">
        <v>133</v>
      </c>
      <c r="B5" s="52" t="s">
        <v>134</v>
      </c>
      <c r="C5" s="52" t="s">
        <v>135</v>
      </c>
      <c r="D5" s="62">
        <v>0.2</v>
      </c>
    </row>
    <row r="6" spans="1:5" ht="22.5" customHeight="1">
      <c r="A6" s="59" t="s">
        <v>136</v>
      </c>
      <c r="B6" s="52" t="s">
        <v>137</v>
      </c>
      <c r="C6" s="52" t="s">
        <v>138</v>
      </c>
      <c r="D6" s="62">
        <v>0.15</v>
      </c>
    </row>
    <row r="7" spans="1:5" ht="22.5" customHeight="1">
      <c r="A7" s="59" t="s">
        <v>139</v>
      </c>
      <c r="B7" s="52" t="s">
        <v>140</v>
      </c>
      <c r="C7" s="52" t="s">
        <v>141</v>
      </c>
      <c r="D7" s="62">
        <v>0.1</v>
      </c>
    </row>
    <row r="8" spans="1:5" ht="22.5" customHeight="1">
      <c r="A8" s="59" t="s">
        <v>142</v>
      </c>
      <c r="B8" s="52" t="s">
        <v>143</v>
      </c>
      <c r="C8" s="52" t="s">
        <v>144</v>
      </c>
      <c r="D8" s="62">
        <v>0.2</v>
      </c>
    </row>
    <row r="9" spans="1:5" ht="22.5" customHeight="1" thickBot="1">
      <c r="A9" s="60" t="s">
        <v>145</v>
      </c>
      <c r="B9" s="61" t="s">
        <v>146</v>
      </c>
      <c r="C9" s="61" t="s">
        <v>147</v>
      </c>
      <c r="D9" s="63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B11" sqref="B11"/>
    </sheetView>
  </sheetViews>
  <sheetFormatPr defaultColWidth="8.85546875"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5" customFormat="1" ht="40.15" customHeight="1">
      <c r="A1" s="38"/>
      <c r="C1" s="42" t="s">
        <v>148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s="36" customFormat="1" ht="4.5" customHeight="1">
      <c r="A2" s="39"/>
      <c r="B2" s="39"/>
      <c r="C2" s="39"/>
      <c r="D2" s="39"/>
      <c r="E2" s="39"/>
      <c r="F2" s="39"/>
    </row>
    <row r="3" spans="1:14" ht="4.5" customHeight="1">
      <c r="A3" s="37"/>
      <c r="B3" s="37"/>
      <c r="C3" s="37"/>
      <c r="D3" s="37"/>
      <c r="E3" s="37"/>
      <c r="F3" s="37"/>
    </row>
    <row r="4" spans="1:14" s="80" customFormat="1" ht="37.5">
      <c r="A4" s="77" t="s">
        <v>149</v>
      </c>
      <c r="B4" s="78" t="s">
        <v>150</v>
      </c>
      <c r="C4" s="78" t="s">
        <v>151</v>
      </c>
      <c r="D4" s="78" t="s">
        <v>1</v>
      </c>
      <c r="E4" s="78" t="s">
        <v>3</v>
      </c>
      <c r="F4" s="78" t="s">
        <v>152</v>
      </c>
      <c r="G4" s="78" t="s">
        <v>5</v>
      </c>
      <c r="H4" s="78" t="s">
        <v>153</v>
      </c>
      <c r="I4" s="81" t="s">
        <v>154</v>
      </c>
      <c r="J4" s="81" t="s">
        <v>155</v>
      </c>
      <c r="K4" s="81" t="s">
        <v>156</v>
      </c>
      <c r="L4" s="78" t="s">
        <v>157</v>
      </c>
      <c r="M4" s="79" t="s">
        <v>158</v>
      </c>
      <c r="N4" s="78" t="s">
        <v>130</v>
      </c>
    </row>
    <row r="5" spans="1:14">
      <c r="A5" s="10">
        <f>MONTH(TB_Ventas[[#This Row],[Fecha]])</f>
        <v>1</v>
      </c>
      <c r="B5" s="10" t="s">
        <v>159</v>
      </c>
      <c r="C5" s="9">
        <v>44931</v>
      </c>
      <c r="D5" s="10" t="s">
        <v>18</v>
      </c>
      <c r="E5" s="10" t="str">
        <f>_xlfn.XLOOKUP(TB_Ventas[[#This Row],[Código]],TB_Productos[Código],TB_Productos[Categoría])</f>
        <v>Accesorio</v>
      </c>
      <c r="F5" s="1">
        <v>1</v>
      </c>
      <c r="G5" s="98">
        <f>VLOOKUP(TB_Ventas[[#This Row],[Código]],Productos!$B$6:$F$66,5,0)</f>
        <v>39.9</v>
      </c>
      <c r="H5" s="1">
        <f>_xlfn.XMATCH(TB_Ventas[[#This Row],[Categoría]],Desc_CategorÍas,0)</f>
        <v>2</v>
      </c>
      <c r="I5" s="65">
        <f>VLOOKUP(TB_Ventas[[#This Row],[Cant.]],Desc_TabelaToda,TB_Ventas[[#This Row],[Índice]],TRUE)</f>
        <v>0</v>
      </c>
      <c r="J5" s="65" cm="1">
        <f t="array" ref="J5">INDEX(Desc_TabelaToda,MATCH(TB_Ventas[[#This Row],[Cant.]],Desc_Quantidades,1),MATCH(_xlfn.XLOOKUP(TB_Ventas[[#This Row],[Código]],TB_Productos[[#All],[Código]],TB_Productos[[#All],[Categoría]]),Desc_CategorÍas,0))</f>
        <v>0</v>
      </c>
      <c r="K5" s="65">
        <f>_xlfn.XLOOKUP(TB_Ventas[[#This Row],[Vendedor]],Vendedores!$A$5:$A$9,Vendedores!$D$5:$D$9)</f>
        <v>0.15</v>
      </c>
      <c r="L5" s="65">
        <f>IF(TB_Ventas[[#This Row],[Descuento (Directo)]]&lt;=TB_Ventas[[#This Row],[Descuento 
(Vendedor)]],TB_Ventas[[#This Row],[Descuento (Directo)]],TB_Ventas[[#This Row],[Descuento 
(Vendedor)]])</f>
        <v>0</v>
      </c>
      <c r="M5" s="97">
        <f>TB_Ventas[[#This Row],[Precio Unitario]]*TB_Ventas[[#This Row],[Cant.]]</f>
        <v>39.9</v>
      </c>
      <c r="N5" s="1" t="s">
        <v>136</v>
      </c>
    </row>
    <row r="6" spans="1:14">
      <c r="A6" s="10">
        <f>MONTH(TB_Ventas[[#This Row],[Fecha]])</f>
        <v>1</v>
      </c>
      <c r="B6" s="10" t="s">
        <v>159</v>
      </c>
      <c r="C6" s="9">
        <v>44932</v>
      </c>
      <c r="D6" s="10" t="s">
        <v>16</v>
      </c>
      <c r="E6" s="10" t="str">
        <f>_xlfn.XLOOKUP(TB_Ventas[[#This Row],[Código]],TB_Productos[Código],TB_Productos[Categoría])</f>
        <v>Accesorio</v>
      </c>
      <c r="F6" s="1">
        <v>1</v>
      </c>
      <c r="G6" s="98">
        <f>VLOOKUP(TB_Ventas[[#This Row],[Código]],Productos!$B$6:$F$66,5,0)</f>
        <v>259.89999999999998</v>
      </c>
      <c r="H6" s="1">
        <f>_xlfn.XMATCH(TB_Ventas[[#This Row],[Categoría]],Desc_CategorÍas,0)</f>
        <v>2</v>
      </c>
      <c r="I6" s="65">
        <f>VLOOKUP(TB_Ventas[[#This Row],[Cant.]],Desc_TabelaToda,TB_Ventas[[#This Row],[Índice]],TRUE)</f>
        <v>0</v>
      </c>
      <c r="J6" s="65" cm="1">
        <f t="array" ref="J6">INDEX(Desc_TabelaToda,MATCH(TB_Ventas[[#This Row],[Cant.]],Desc_Quantidades,1),MATCH(_xlfn.XLOOKUP(TB_Ventas[[#This Row],[Código]],TB_Productos[[#All],[Código]],TB_Productos[[#All],[Categoría]]),Desc_CategorÍas,0))</f>
        <v>0</v>
      </c>
      <c r="K6" s="65">
        <f>_xlfn.XLOOKUP(TB_Ventas[[#This Row],[Vendedor]],Vendedores!$A$5:$A$9,Vendedores!$D$5:$D$9)</f>
        <v>0.15</v>
      </c>
      <c r="L6" s="65">
        <f>IF(TB_Ventas[[#This Row],[Descuento (Directo)]]&lt;=TB_Ventas[[#This Row],[Descuento 
(Vendedor)]],TB_Ventas[[#This Row],[Descuento (Directo)]],TB_Ventas[[#This Row],[Descuento 
(Vendedor)]])</f>
        <v>0</v>
      </c>
      <c r="M6" s="97">
        <f>TB_Ventas[[#This Row],[Precio Unitario]]*TB_Ventas[[#This Row],[Cant.]]</f>
        <v>259.89999999999998</v>
      </c>
      <c r="N6" s="1" t="s">
        <v>136</v>
      </c>
    </row>
    <row r="7" spans="1:14">
      <c r="A7" s="10">
        <f>MONTH(TB_Ventas[[#This Row],[Fecha]])</f>
        <v>1</v>
      </c>
      <c r="B7" s="10" t="s">
        <v>159</v>
      </c>
      <c r="C7" s="9">
        <v>44933</v>
      </c>
      <c r="D7" s="10" t="s">
        <v>109</v>
      </c>
      <c r="E7" s="10" t="str">
        <f>_xlfn.XLOOKUP(TB_Ventas[[#This Row],[Código]],TB_Productos[Código],TB_Productos[Categoría])</f>
        <v>Vestuario</v>
      </c>
      <c r="F7" s="1">
        <v>2</v>
      </c>
      <c r="G7" s="98">
        <f>VLOOKUP(TB_Ventas[[#This Row],[Código]],Productos!$B$6:$F$66,5,0)</f>
        <v>32.9</v>
      </c>
      <c r="H7" s="1">
        <f>_xlfn.XMATCH(TB_Ventas[[#This Row],[Categoría]],Desc_CategorÍas,0)</f>
        <v>3</v>
      </c>
      <c r="I7" s="65">
        <f>VLOOKUP(TB_Ventas[[#This Row],[Cant.]],Desc_TabelaToda,TB_Ventas[[#This Row],[Índice]],TRUE)</f>
        <v>0.15</v>
      </c>
      <c r="J7" s="65" cm="1">
        <f t="array" ref="J7">INDEX(Desc_TabelaToda,MATCH(TB_Ventas[[#This Row],[Cant.]],Desc_Quantidades,1),MATCH(_xlfn.XLOOKUP(TB_Ventas[[#This Row],[Código]],TB_Productos[[#All],[Código]],TB_Productos[[#All],[Categoría]]),Desc_CategorÍas,0))</f>
        <v>0.15</v>
      </c>
      <c r="K7" s="65">
        <f>_xlfn.XLOOKUP(TB_Ventas[[#This Row],[Vendedor]],Vendedores!$A$5:$A$9,Vendedores!$D$5:$D$9)</f>
        <v>0.2</v>
      </c>
      <c r="L7" s="65">
        <f>IF(TB_Ventas[[#This Row],[Descuento (Directo)]]&lt;=TB_Ventas[[#This Row],[Descuento 
(Vendedor)]],TB_Ventas[[#This Row],[Descuento (Directo)]],TB_Ventas[[#This Row],[Descuento 
(Vendedor)]])</f>
        <v>0.15</v>
      </c>
      <c r="M7" s="97">
        <f>TB_Ventas[[#This Row],[Precio Unitario]]*TB_Ventas[[#This Row],[Cant.]]</f>
        <v>65.8</v>
      </c>
      <c r="N7" s="1" t="s">
        <v>133</v>
      </c>
    </row>
    <row r="8" spans="1:14">
      <c r="A8" s="10">
        <f>MONTH(TB_Ventas[[#This Row],[Fecha]])</f>
        <v>1</v>
      </c>
      <c r="B8" s="10" t="s">
        <v>159</v>
      </c>
      <c r="C8" s="9">
        <v>44938</v>
      </c>
      <c r="D8" s="10" t="s">
        <v>28</v>
      </c>
      <c r="E8" s="10" t="str">
        <f>_xlfn.XLOOKUP(TB_Ventas[[#This Row],[Código]],TB_Productos[Código],TB_Productos[Categoría])</f>
        <v>Vestuario</v>
      </c>
      <c r="F8" s="1">
        <v>1</v>
      </c>
      <c r="G8" s="98">
        <f>VLOOKUP(TB_Ventas[[#This Row],[Código]],Productos!$B$6:$F$66,5,0)</f>
        <v>46.9</v>
      </c>
      <c r="H8" s="1">
        <f>_xlfn.XMATCH(TB_Ventas[[#This Row],[Categoría]],Desc_CategorÍas,0)</f>
        <v>3</v>
      </c>
      <c r="I8" s="65">
        <f>VLOOKUP(TB_Ventas[[#This Row],[Cant.]],Desc_TabelaToda,TB_Ventas[[#This Row],[Índice]],TRUE)</f>
        <v>0.1</v>
      </c>
      <c r="J8" s="65" cm="1">
        <f t="array" ref="J8">INDEX(Desc_TabelaToda,MATCH(TB_Ventas[[#This Row],[Cant.]],Desc_Quantidades,1),MATCH(_xlfn.XLOOKUP(TB_Ventas[[#This Row],[Código]],TB_Productos[[#All],[Código]],TB_Productos[[#All],[Categoría]]),Desc_CategorÍas,0))</f>
        <v>0.1</v>
      </c>
      <c r="K8" s="65">
        <f>_xlfn.XLOOKUP(TB_Ventas[[#This Row],[Vendedor]],Vendedores!$A$5:$A$9,Vendedores!$D$5:$D$9)</f>
        <v>0.15</v>
      </c>
      <c r="L8" s="65">
        <f>IF(TB_Ventas[[#This Row],[Descuento (Directo)]]&lt;=TB_Ventas[[#This Row],[Descuento 
(Vendedor)]],TB_Ventas[[#This Row],[Descuento (Directo)]],TB_Ventas[[#This Row],[Descuento 
(Vendedor)]])</f>
        <v>0.1</v>
      </c>
      <c r="M8" s="97">
        <f>TB_Ventas[[#This Row],[Precio Unitario]]*TB_Ventas[[#This Row],[Cant.]]</f>
        <v>46.9</v>
      </c>
      <c r="N8" s="1" t="s">
        <v>145</v>
      </c>
    </row>
    <row r="9" spans="1:14">
      <c r="A9" s="10">
        <f>MONTH(TB_Ventas[[#This Row],[Fecha]])</f>
        <v>1</v>
      </c>
      <c r="B9" s="10" t="s">
        <v>159</v>
      </c>
      <c r="C9" s="9">
        <v>44939</v>
      </c>
      <c r="D9" s="10" t="s">
        <v>40</v>
      </c>
      <c r="E9" s="10" t="str">
        <f>_xlfn.XLOOKUP(TB_Ventas[[#This Row],[Código]],TB_Productos[Código],TB_Productos[Categoría])</f>
        <v>Vestuario</v>
      </c>
      <c r="F9" s="1">
        <v>1</v>
      </c>
      <c r="G9" s="98">
        <f>VLOOKUP(TB_Ventas[[#This Row],[Código]],Productos!$B$6:$F$66,5,0)</f>
        <v>29.9</v>
      </c>
      <c r="H9" s="1">
        <f>_xlfn.XMATCH(TB_Ventas[[#This Row],[Categoría]],Desc_CategorÍas,0)</f>
        <v>3</v>
      </c>
      <c r="I9" s="65">
        <f>VLOOKUP(TB_Ventas[[#This Row],[Cant.]],Desc_TabelaToda,TB_Ventas[[#This Row],[Índice]],TRUE)</f>
        <v>0.1</v>
      </c>
      <c r="J9" s="65" cm="1">
        <f t="array" ref="J9">INDEX(Desc_TabelaToda,MATCH(TB_Ventas[[#This Row],[Cant.]],Desc_Quantidades,1),MATCH(_xlfn.XLOOKUP(TB_Ventas[[#This Row],[Código]],TB_Productos[[#All],[Código]],TB_Productos[[#All],[Categoría]]),Desc_CategorÍas,0))</f>
        <v>0.1</v>
      </c>
      <c r="K9" s="65">
        <f>_xlfn.XLOOKUP(TB_Ventas[[#This Row],[Vendedor]],Vendedores!$A$5:$A$9,Vendedores!$D$5:$D$9)</f>
        <v>0.15</v>
      </c>
      <c r="L9" s="65">
        <f>IF(TB_Ventas[[#This Row],[Descuento (Directo)]]&lt;=TB_Ventas[[#This Row],[Descuento 
(Vendedor)]],TB_Ventas[[#This Row],[Descuento (Directo)]],TB_Ventas[[#This Row],[Descuento 
(Vendedor)]])</f>
        <v>0.1</v>
      </c>
      <c r="M9" s="97">
        <f>TB_Ventas[[#This Row],[Precio Unitario]]*TB_Ventas[[#This Row],[Cant.]]</f>
        <v>29.9</v>
      </c>
      <c r="N9" s="1" t="s">
        <v>136</v>
      </c>
    </row>
    <row r="10" spans="1:14">
      <c r="A10" s="10">
        <f>MONTH(TB_Ventas[[#This Row],[Fecha]])</f>
        <v>1</v>
      </c>
      <c r="B10" s="10" t="s">
        <v>159</v>
      </c>
      <c r="C10" s="9">
        <v>44943</v>
      </c>
      <c r="D10" s="10" t="s">
        <v>56</v>
      </c>
      <c r="E10" s="10" t="str">
        <f>_xlfn.XLOOKUP(TB_Ventas[[#This Row],[Código]],TB_Productos[Código],TB_Productos[Categoría])</f>
        <v>Accesorio</v>
      </c>
      <c r="F10" s="1">
        <v>1</v>
      </c>
      <c r="G10" s="98">
        <f>VLOOKUP(TB_Ventas[[#This Row],[Código]],Productos!$B$6:$F$66,5,0)</f>
        <v>299.89999999999998</v>
      </c>
      <c r="H10" s="1">
        <f>_xlfn.XMATCH(TB_Ventas[[#This Row],[Categoría]],Desc_CategorÍas,0)</f>
        <v>2</v>
      </c>
      <c r="I10" s="65">
        <f>VLOOKUP(TB_Ventas[[#This Row],[Cant.]],Desc_TabelaToda,TB_Ventas[[#This Row],[Índice]],TRUE)</f>
        <v>0</v>
      </c>
      <c r="J10" s="65" cm="1">
        <f t="array" ref="J10">INDEX(Desc_TabelaToda,MATCH(TB_Ventas[[#This Row],[Cant.]],Desc_Quantidades,1),MATCH(_xlfn.XLOOKUP(TB_Ventas[[#This Row],[Código]],TB_Productos[[#All],[Código]],TB_Productos[[#All],[Categoría]]),Desc_CategorÍas,0))</f>
        <v>0</v>
      </c>
      <c r="K10" s="65">
        <f>_xlfn.XLOOKUP(TB_Ventas[[#This Row],[Vendedor]],Vendedores!$A$5:$A$9,Vendedores!$D$5:$D$9)</f>
        <v>0.15</v>
      </c>
      <c r="L10" s="65">
        <f>IF(TB_Ventas[[#This Row],[Descuento (Directo)]]&lt;=TB_Ventas[[#This Row],[Descuento 
(Vendedor)]],TB_Ventas[[#This Row],[Descuento (Directo)]],TB_Ventas[[#This Row],[Descuento 
(Vendedor)]])</f>
        <v>0</v>
      </c>
      <c r="M10" s="97">
        <f>TB_Ventas[[#This Row],[Precio Unitario]]*TB_Ventas[[#This Row],[Cant.]]</f>
        <v>299.89999999999998</v>
      </c>
      <c r="N10" s="1" t="s">
        <v>145</v>
      </c>
    </row>
    <row r="11" spans="1:14">
      <c r="A11" s="10">
        <f>MONTH(TB_Ventas[[#This Row],[Fecha]])</f>
        <v>1</v>
      </c>
      <c r="B11" s="10" t="s">
        <v>159</v>
      </c>
      <c r="C11" s="9">
        <v>44949</v>
      </c>
      <c r="D11" s="10" t="s">
        <v>85</v>
      </c>
      <c r="E11" s="10" t="str">
        <f>_xlfn.XLOOKUP(TB_Ventas[[#This Row],[Código]],TB_Productos[Código],TB_Productos[Categoría])</f>
        <v>Accesorio</v>
      </c>
      <c r="F11" s="1">
        <v>1</v>
      </c>
      <c r="G11" s="98">
        <f>VLOOKUP(TB_Ventas[[#This Row],[Código]],Productos!$B$6:$F$66,5,0)</f>
        <v>146</v>
      </c>
      <c r="H11" s="1">
        <f>_xlfn.XMATCH(TB_Ventas[[#This Row],[Categoría]],Desc_CategorÍas,0)</f>
        <v>2</v>
      </c>
      <c r="I11" s="65">
        <f>VLOOKUP(TB_Ventas[[#This Row],[Cant.]],Desc_TabelaToda,TB_Ventas[[#This Row],[Índice]],TRUE)</f>
        <v>0</v>
      </c>
      <c r="J11" s="65" cm="1">
        <f t="array" ref="J11">INDEX(Desc_TabelaToda,MATCH(TB_Ventas[[#This Row],[Cant.]],Desc_Quantidades,1),MATCH(_xlfn.XLOOKUP(TB_Ventas[[#This Row],[Código]],TB_Productos[[#All],[Código]],TB_Productos[[#All],[Categoría]]),Desc_CategorÍas,0))</f>
        <v>0</v>
      </c>
      <c r="K11" s="65">
        <f>_xlfn.XLOOKUP(TB_Ventas[[#This Row],[Vendedor]],Vendedores!$A$5:$A$9,Vendedores!$D$5:$D$9)</f>
        <v>0.1</v>
      </c>
      <c r="L11" s="65">
        <f>IF(TB_Ventas[[#This Row],[Descuento (Directo)]]&lt;=TB_Ventas[[#This Row],[Descuento 
(Vendedor)]],TB_Ventas[[#This Row],[Descuento (Directo)]],TB_Ventas[[#This Row],[Descuento 
(Vendedor)]])</f>
        <v>0</v>
      </c>
      <c r="M11" s="97">
        <f>TB_Ventas[[#This Row],[Precio Unitario]]*TB_Ventas[[#This Row],[Cant.]]</f>
        <v>146</v>
      </c>
      <c r="N11" s="1" t="s">
        <v>139</v>
      </c>
    </row>
    <row r="12" spans="1:14">
      <c r="A12" s="10">
        <f>MONTH(TB_Ventas[[#This Row],[Fecha]])</f>
        <v>1</v>
      </c>
      <c r="B12" s="10" t="s">
        <v>159</v>
      </c>
      <c r="C12" s="9">
        <v>44952</v>
      </c>
      <c r="D12" s="10" t="s">
        <v>75</v>
      </c>
      <c r="E12" s="10" t="str">
        <f>_xlfn.XLOOKUP(TB_Ventas[[#This Row],[Código]],TB_Productos[Código],TB_Productos[Categoría])</f>
        <v>Accesorio</v>
      </c>
      <c r="F12" s="1">
        <v>2</v>
      </c>
      <c r="G12" s="98">
        <f>VLOOKUP(TB_Ventas[[#This Row],[Código]],Productos!$B$6:$F$66,5,0)</f>
        <v>89.9</v>
      </c>
      <c r="H12" s="1">
        <f>_xlfn.XMATCH(TB_Ventas[[#This Row],[Categoría]],Desc_CategorÍas,0)</f>
        <v>2</v>
      </c>
      <c r="I12" s="65">
        <f>VLOOKUP(TB_Ventas[[#This Row],[Cant.]],Desc_TabelaToda,TB_Ventas[[#This Row],[Índice]],TRUE)</f>
        <v>0.05</v>
      </c>
      <c r="J12" s="65" cm="1">
        <f t="array" ref="J12">INDEX(Desc_TabelaToda,MATCH(TB_Ventas[[#This Row],[Cant.]],Desc_Quantidades,1),MATCH(_xlfn.XLOOKUP(TB_Ventas[[#This Row],[Código]],TB_Productos[[#All],[Código]],TB_Productos[[#All],[Categoría]]),Desc_CategorÍas,0))</f>
        <v>0.05</v>
      </c>
      <c r="K12" s="65">
        <f>_xlfn.XLOOKUP(TB_Ventas[[#This Row],[Vendedor]],Vendedores!$A$5:$A$9,Vendedores!$D$5:$D$9)</f>
        <v>0.1</v>
      </c>
      <c r="L12" s="65">
        <f>IF(TB_Ventas[[#This Row],[Descuento (Directo)]]&lt;=TB_Ventas[[#This Row],[Descuento 
(Vendedor)]],TB_Ventas[[#This Row],[Descuento (Directo)]],TB_Ventas[[#This Row],[Descuento 
(Vendedor)]])</f>
        <v>0.05</v>
      </c>
      <c r="M12" s="97">
        <f>TB_Ventas[[#This Row],[Precio Unitario]]*TB_Ventas[[#This Row],[Cant.]]</f>
        <v>179.8</v>
      </c>
      <c r="N12" s="1" t="s">
        <v>139</v>
      </c>
    </row>
    <row r="13" spans="1:14">
      <c r="A13" s="10">
        <f>MONTH(TB_Ventas[[#This Row],[Fecha]])</f>
        <v>1</v>
      </c>
      <c r="B13" s="10" t="s">
        <v>159</v>
      </c>
      <c r="C13" s="9">
        <v>44954</v>
      </c>
      <c r="D13" s="10" t="s">
        <v>71</v>
      </c>
      <c r="E13" s="10" t="str">
        <f>_xlfn.XLOOKUP(TB_Ventas[[#This Row],[Código]],TB_Productos[Código],TB_Productos[Categoría])</f>
        <v>Calzado</v>
      </c>
      <c r="F13" s="1">
        <v>2</v>
      </c>
      <c r="G13" s="98">
        <f>VLOOKUP(TB_Ventas[[#This Row],[Código]],Productos!$B$6:$F$66,5,0)</f>
        <v>250</v>
      </c>
      <c r="H13" s="1">
        <f>_xlfn.XMATCH(TB_Ventas[[#This Row],[Categoría]],Desc_CategorÍas,0)</f>
        <v>4</v>
      </c>
      <c r="I13" s="65">
        <f>VLOOKUP(TB_Ventas[[#This Row],[Cant.]],Desc_TabelaToda,TB_Ventas[[#This Row],[Índice]],TRUE)</f>
        <v>0.1</v>
      </c>
      <c r="J13" s="65" cm="1">
        <f t="array" ref="J13">INDEX(Desc_TabelaToda,MATCH(TB_Ventas[[#This Row],[Cant.]],Desc_Quantidades,1),MATCH(_xlfn.XLOOKUP(TB_Ventas[[#This Row],[Código]],TB_Productos[[#All],[Código]],TB_Productos[[#All],[Categoría]]),Desc_CategorÍas,0))</f>
        <v>0.1</v>
      </c>
      <c r="K13" s="65">
        <f>_xlfn.XLOOKUP(TB_Ventas[[#This Row],[Vendedor]],Vendedores!$A$5:$A$9,Vendedores!$D$5:$D$9)</f>
        <v>0.15</v>
      </c>
      <c r="L13" s="65">
        <f>IF(TB_Ventas[[#This Row],[Descuento (Directo)]]&lt;=TB_Ventas[[#This Row],[Descuento 
(Vendedor)]],TB_Ventas[[#This Row],[Descuento (Directo)]],TB_Ventas[[#This Row],[Descuento 
(Vendedor)]])</f>
        <v>0.1</v>
      </c>
      <c r="M13" s="97">
        <f>TB_Ventas[[#This Row],[Precio Unitario]]*TB_Ventas[[#This Row],[Cant.]]</f>
        <v>500</v>
      </c>
      <c r="N13" s="1" t="s">
        <v>136</v>
      </c>
    </row>
    <row r="14" spans="1:14">
      <c r="A14" s="10">
        <f>MONTH(TB_Ventas[[#This Row],[Fecha]])</f>
        <v>1</v>
      </c>
      <c r="B14" s="10" t="s">
        <v>159</v>
      </c>
      <c r="C14" s="9">
        <v>44955</v>
      </c>
      <c r="D14" s="10" t="s">
        <v>32</v>
      </c>
      <c r="E14" s="10" t="str">
        <f>_xlfn.XLOOKUP(TB_Ventas[[#This Row],[Código]],TB_Productos[Código],TB_Productos[Categoría])</f>
        <v>Vestuario</v>
      </c>
      <c r="F14" s="1">
        <v>1</v>
      </c>
      <c r="G14" s="98">
        <f>VLOOKUP(TB_Ventas[[#This Row],[Código]],Productos!$B$6:$F$66,5,0)</f>
        <v>39.9</v>
      </c>
      <c r="H14" s="1">
        <f>_xlfn.XMATCH(TB_Ventas[[#This Row],[Categoría]],Desc_CategorÍas,0)</f>
        <v>3</v>
      </c>
      <c r="I14" s="65">
        <f>VLOOKUP(TB_Ventas[[#This Row],[Cant.]],Desc_TabelaToda,TB_Ventas[[#This Row],[Índice]],TRUE)</f>
        <v>0.1</v>
      </c>
      <c r="J14" s="65" cm="1">
        <f t="array" ref="J14">INDEX(Desc_TabelaToda,MATCH(TB_Ventas[[#This Row],[Cant.]],Desc_Quantidades,1),MATCH(_xlfn.XLOOKUP(TB_Ventas[[#This Row],[Código]],TB_Productos[[#All],[Código]],TB_Productos[[#All],[Categoría]]),Desc_CategorÍas,0))</f>
        <v>0.1</v>
      </c>
      <c r="K14" s="65">
        <f>_xlfn.XLOOKUP(TB_Ventas[[#This Row],[Vendedor]],Vendedores!$A$5:$A$9,Vendedores!$D$5:$D$9)</f>
        <v>0.15</v>
      </c>
      <c r="L14" s="65">
        <f>IF(TB_Ventas[[#This Row],[Descuento (Directo)]]&lt;=TB_Ventas[[#This Row],[Descuento 
(Vendedor)]],TB_Ventas[[#This Row],[Descuento (Directo)]],TB_Ventas[[#This Row],[Descuento 
(Vendedor)]])</f>
        <v>0.1</v>
      </c>
      <c r="M14" s="97">
        <f>TB_Ventas[[#This Row],[Precio Unitario]]*TB_Ventas[[#This Row],[Cant.]]</f>
        <v>39.9</v>
      </c>
      <c r="N14" s="1" t="s">
        <v>136</v>
      </c>
    </row>
    <row r="15" spans="1:14">
      <c r="A15" s="10">
        <f>MONTH(TB_Ventas[[#This Row],[Fecha]])</f>
        <v>1</v>
      </c>
      <c r="B15" s="10" t="s">
        <v>159</v>
      </c>
      <c r="C15" s="9">
        <v>44956</v>
      </c>
      <c r="D15" s="10" t="s">
        <v>83</v>
      </c>
      <c r="E15" s="10" t="str">
        <f>_xlfn.XLOOKUP(TB_Ventas[[#This Row],[Código]],TB_Productos[Código],TB_Productos[Categoría])</f>
        <v>Accesorio</v>
      </c>
      <c r="F15" s="1">
        <v>1</v>
      </c>
      <c r="G15" s="98">
        <f>VLOOKUP(TB_Ventas[[#This Row],[Código]],Productos!$B$6:$F$66,5,0)</f>
        <v>142.9</v>
      </c>
      <c r="H15" s="1">
        <f>_xlfn.XMATCH(TB_Ventas[[#This Row],[Categoría]],Desc_CategorÍas,0)</f>
        <v>2</v>
      </c>
      <c r="I15" s="65">
        <f>VLOOKUP(TB_Ventas[[#This Row],[Cant.]],Desc_TabelaToda,TB_Ventas[[#This Row],[Índice]],TRUE)</f>
        <v>0</v>
      </c>
      <c r="J15" s="65" cm="1">
        <f t="array" ref="J15">INDEX(Desc_TabelaToda,MATCH(TB_Ventas[[#This Row],[Cant.]],Desc_Quantidades,1),MATCH(_xlfn.XLOOKUP(TB_Ventas[[#This Row],[Código]],TB_Productos[[#All],[Código]],TB_Productos[[#All],[Categoría]]),Desc_CategorÍas,0))</f>
        <v>0</v>
      </c>
      <c r="K15" s="65">
        <f>_xlfn.XLOOKUP(TB_Ventas[[#This Row],[Vendedor]],Vendedores!$A$5:$A$9,Vendedores!$D$5:$D$9)</f>
        <v>0.2</v>
      </c>
      <c r="L15" s="65">
        <f>IF(TB_Ventas[[#This Row],[Descuento (Directo)]]&lt;=TB_Ventas[[#This Row],[Descuento 
(Vendedor)]],TB_Ventas[[#This Row],[Descuento (Directo)]],TB_Ventas[[#This Row],[Descuento 
(Vendedor)]])</f>
        <v>0</v>
      </c>
      <c r="M15" s="97">
        <f>TB_Ventas[[#This Row],[Precio Unitario]]*TB_Ventas[[#This Row],[Cant.]]</f>
        <v>142.9</v>
      </c>
      <c r="N15" s="1" t="s">
        <v>142</v>
      </c>
    </row>
    <row r="16" spans="1:14">
      <c r="A16" s="10">
        <f>MONTH(TB_Ventas[[#This Row],[Fecha]])</f>
        <v>2</v>
      </c>
      <c r="B16" s="10" t="s">
        <v>160</v>
      </c>
      <c r="C16" s="9">
        <v>44960</v>
      </c>
      <c r="D16" s="10" t="s">
        <v>50</v>
      </c>
      <c r="E16" s="10" t="str">
        <f>_xlfn.XLOOKUP(TB_Ventas[[#This Row],[Código]],TB_Productos[Código],TB_Productos[Categoría])</f>
        <v>Vestuario</v>
      </c>
      <c r="F16" s="1">
        <v>1</v>
      </c>
      <c r="G16" s="98">
        <f>VLOOKUP(TB_Ventas[[#This Row],[Código]],Productos!$B$6:$F$66,5,0)</f>
        <v>300</v>
      </c>
      <c r="H16" s="1">
        <f>_xlfn.XMATCH(TB_Ventas[[#This Row],[Categoría]],Desc_CategorÍas,0)</f>
        <v>3</v>
      </c>
      <c r="I16" s="65">
        <f>VLOOKUP(TB_Ventas[[#This Row],[Cant.]],Desc_TabelaToda,TB_Ventas[[#This Row],[Índice]],TRUE)</f>
        <v>0.1</v>
      </c>
      <c r="J16" s="65" cm="1">
        <f t="array" ref="J16">INDEX(Desc_TabelaToda,MATCH(TB_Ventas[[#This Row],[Cant.]],Desc_Quantidades,1),MATCH(_xlfn.XLOOKUP(TB_Ventas[[#This Row],[Código]],TB_Productos[[#All],[Código]],TB_Productos[[#All],[Categoría]]),Desc_CategorÍas,0))</f>
        <v>0.1</v>
      </c>
      <c r="K16" s="65">
        <f>_xlfn.XLOOKUP(TB_Ventas[[#This Row],[Vendedor]],Vendedores!$A$5:$A$9,Vendedores!$D$5:$D$9)</f>
        <v>0.1</v>
      </c>
      <c r="L16" s="65">
        <f>IF(TB_Ventas[[#This Row],[Descuento (Directo)]]&lt;=TB_Ventas[[#This Row],[Descuento 
(Vendedor)]],TB_Ventas[[#This Row],[Descuento (Directo)]],TB_Ventas[[#This Row],[Descuento 
(Vendedor)]])</f>
        <v>0.1</v>
      </c>
      <c r="M16" s="97">
        <f>TB_Ventas[[#This Row],[Precio Unitario]]*TB_Ventas[[#This Row],[Cant.]]</f>
        <v>300</v>
      </c>
      <c r="N16" s="1" t="s">
        <v>139</v>
      </c>
    </row>
    <row r="17" spans="1:14">
      <c r="A17" s="10">
        <f>MONTH(TB_Ventas[[#This Row],[Fecha]])</f>
        <v>2</v>
      </c>
      <c r="B17" s="10" t="s">
        <v>160</v>
      </c>
      <c r="C17" s="9">
        <v>44962</v>
      </c>
      <c r="D17" s="10" t="s">
        <v>103</v>
      </c>
      <c r="E17" s="10" t="str">
        <f>_xlfn.XLOOKUP(TB_Ventas[[#This Row],[Código]],TB_Productos[Código],TB_Productos[Categoría])</f>
        <v>Vestuario</v>
      </c>
      <c r="F17" s="1">
        <v>2</v>
      </c>
      <c r="G17" s="98">
        <f>VLOOKUP(TB_Ventas[[#This Row],[Código]],Productos!$B$6:$F$66,5,0)</f>
        <v>289.89999999999998</v>
      </c>
      <c r="H17" s="1">
        <f>_xlfn.XMATCH(TB_Ventas[[#This Row],[Categoría]],Desc_CategorÍas,0)</f>
        <v>3</v>
      </c>
      <c r="I17" s="65">
        <f>VLOOKUP(TB_Ventas[[#This Row],[Cant.]],Desc_TabelaToda,TB_Ventas[[#This Row],[Índice]],TRUE)</f>
        <v>0.15</v>
      </c>
      <c r="J17" s="65" cm="1">
        <f t="array" ref="J17">INDEX(Desc_TabelaToda,MATCH(TB_Ventas[[#This Row],[Cant.]],Desc_Quantidades,1),MATCH(_xlfn.XLOOKUP(TB_Ventas[[#This Row],[Código]],TB_Productos[[#All],[Código]],TB_Productos[[#All],[Categoría]]),Desc_CategorÍas,0))</f>
        <v>0.15</v>
      </c>
      <c r="K17" s="65">
        <f>_xlfn.XLOOKUP(TB_Ventas[[#This Row],[Vendedor]],Vendedores!$A$5:$A$9,Vendedores!$D$5:$D$9)</f>
        <v>0.2</v>
      </c>
      <c r="L17" s="65">
        <f>IF(TB_Ventas[[#This Row],[Descuento (Directo)]]&lt;=TB_Ventas[[#This Row],[Descuento 
(Vendedor)]],TB_Ventas[[#This Row],[Descuento (Directo)]],TB_Ventas[[#This Row],[Descuento 
(Vendedor)]])</f>
        <v>0.15</v>
      </c>
      <c r="M17" s="97">
        <f>TB_Ventas[[#This Row],[Precio Unitario]]*TB_Ventas[[#This Row],[Cant.]]</f>
        <v>579.79999999999995</v>
      </c>
      <c r="N17" s="1" t="s">
        <v>142</v>
      </c>
    </row>
    <row r="18" spans="1:14">
      <c r="A18" s="10">
        <f>MONTH(TB_Ventas[[#This Row],[Fecha]])</f>
        <v>2</v>
      </c>
      <c r="B18" s="10" t="s">
        <v>160</v>
      </c>
      <c r="C18" s="9">
        <v>44975</v>
      </c>
      <c r="D18" s="10" t="s">
        <v>62</v>
      </c>
      <c r="E18" s="10" t="str">
        <f>_xlfn.XLOOKUP(TB_Ventas[[#This Row],[Código]],TB_Productos[Código],TB_Productos[Categoría])</f>
        <v>Calzado</v>
      </c>
      <c r="F18" s="1">
        <v>1</v>
      </c>
      <c r="G18" s="98">
        <f>VLOOKUP(TB_Ventas[[#This Row],[Código]],Productos!$B$6:$F$66,5,0)</f>
        <v>249.9</v>
      </c>
      <c r="H18" s="1">
        <f>_xlfn.XMATCH(TB_Ventas[[#This Row],[Categoría]],Desc_CategorÍas,0)</f>
        <v>4</v>
      </c>
      <c r="I18" s="65">
        <f>VLOOKUP(TB_Ventas[[#This Row],[Cant.]],Desc_TabelaToda,TB_Ventas[[#This Row],[Índice]],TRUE)</f>
        <v>0</v>
      </c>
      <c r="J18" s="65" cm="1">
        <f t="array" ref="J18">INDEX(Desc_TabelaToda,MATCH(TB_Ventas[[#This Row],[Cant.]],Desc_Quantidades,1),MATCH(_xlfn.XLOOKUP(TB_Ventas[[#This Row],[Código]],TB_Productos[[#All],[Código]],TB_Productos[[#All],[Categoría]]),Desc_CategorÍas,0))</f>
        <v>0</v>
      </c>
      <c r="K18" s="65">
        <f>_xlfn.XLOOKUP(TB_Ventas[[#This Row],[Vendedor]],Vendedores!$A$5:$A$9,Vendedores!$D$5:$D$9)</f>
        <v>0.2</v>
      </c>
      <c r="L18" s="65">
        <f>IF(TB_Ventas[[#This Row],[Descuento (Directo)]]&lt;=TB_Ventas[[#This Row],[Descuento 
(Vendedor)]],TB_Ventas[[#This Row],[Descuento (Directo)]],TB_Ventas[[#This Row],[Descuento 
(Vendedor)]])</f>
        <v>0</v>
      </c>
      <c r="M18" s="97">
        <f>TB_Ventas[[#This Row],[Precio Unitario]]*TB_Ventas[[#This Row],[Cant.]]</f>
        <v>249.9</v>
      </c>
      <c r="N18" s="1" t="s">
        <v>142</v>
      </c>
    </row>
    <row r="19" spans="1:14">
      <c r="A19" s="10">
        <f>MONTH(TB_Ventas[[#This Row],[Fecha]])</f>
        <v>2</v>
      </c>
      <c r="B19" s="10" t="s">
        <v>160</v>
      </c>
      <c r="C19" s="9">
        <v>44978</v>
      </c>
      <c r="D19" s="10" t="s">
        <v>32</v>
      </c>
      <c r="E19" s="10" t="str">
        <f>_xlfn.XLOOKUP(TB_Ventas[[#This Row],[Código]],TB_Productos[Código],TB_Productos[Categoría])</f>
        <v>Vestuario</v>
      </c>
      <c r="F19" s="1">
        <v>2</v>
      </c>
      <c r="G19" s="98">
        <f>VLOOKUP(TB_Ventas[[#This Row],[Código]],Productos!$B$6:$F$66,5,0)</f>
        <v>39.9</v>
      </c>
      <c r="H19" s="1">
        <f>_xlfn.XMATCH(TB_Ventas[[#This Row],[Categoría]],Desc_CategorÍas,0)</f>
        <v>3</v>
      </c>
      <c r="I19" s="65">
        <f>VLOOKUP(TB_Ventas[[#This Row],[Cant.]],Desc_TabelaToda,TB_Ventas[[#This Row],[Índice]],TRUE)</f>
        <v>0.15</v>
      </c>
      <c r="J19" s="65" cm="1">
        <f t="array" ref="J19">INDEX(Desc_TabelaToda,MATCH(TB_Ventas[[#This Row],[Cant.]],Desc_Quantidades,1),MATCH(_xlfn.XLOOKUP(TB_Ventas[[#This Row],[Código]],TB_Productos[[#All],[Código]],TB_Productos[[#All],[Categoría]]),Desc_CategorÍas,0))</f>
        <v>0.15</v>
      </c>
      <c r="K19" s="65">
        <f>_xlfn.XLOOKUP(TB_Ventas[[#This Row],[Vendedor]],Vendedores!$A$5:$A$9,Vendedores!$D$5:$D$9)</f>
        <v>0.2</v>
      </c>
      <c r="L19" s="65">
        <f>IF(TB_Ventas[[#This Row],[Descuento (Directo)]]&lt;=TB_Ventas[[#This Row],[Descuento 
(Vendedor)]],TB_Ventas[[#This Row],[Descuento (Directo)]],TB_Ventas[[#This Row],[Descuento 
(Vendedor)]])</f>
        <v>0.15</v>
      </c>
      <c r="M19" s="97">
        <f>TB_Ventas[[#This Row],[Precio Unitario]]*TB_Ventas[[#This Row],[Cant.]]</f>
        <v>79.8</v>
      </c>
      <c r="N19" s="1" t="s">
        <v>142</v>
      </c>
    </row>
    <row r="20" spans="1:14">
      <c r="A20" s="10">
        <f>MONTH(TB_Ventas[[#This Row],[Fecha]])</f>
        <v>2</v>
      </c>
      <c r="B20" s="10" t="s">
        <v>160</v>
      </c>
      <c r="C20" s="9">
        <v>44981</v>
      </c>
      <c r="D20" s="10" t="s">
        <v>99</v>
      </c>
      <c r="E20" s="10" t="str">
        <f>_xlfn.XLOOKUP(TB_Ventas[[#This Row],[Código]],TB_Productos[Código],TB_Productos[Categoría])</f>
        <v>Vestuario</v>
      </c>
      <c r="F20" s="1">
        <v>4</v>
      </c>
      <c r="G20" s="98">
        <f>VLOOKUP(TB_Ventas[[#This Row],[Código]],Productos!$B$6:$F$66,5,0)</f>
        <v>289.89999999999998</v>
      </c>
      <c r="H20" s="1">
        <f>_xlfn.XMATCH(TB_Ventas[[#This Row],[Categoría]],Desc_CategorÍas,0)</f>
        <v>3</v>
      </c>
      <c r="I20" s="65">
        <f>VLOOKUP(TB_Ventas[[#This Row],[Cant.]],Desc_TabelaToda,TB_Ventas[[#This Row],[Índice]],TRUE)</f>
        <v>0.2</v>
      </c>
      <c r="J20" s="65" cm="1">
        <f t="array" ref="J20">INDEX(Desc_TabelaToda,MATCH(TB_Ventas[[#This Row],[Cant.]],Desc_Quantidades,1),MATCH(_xlfn.XLOOKUP(TB_Ventas[[#This Row],[Código]],TB_Productos[[#All],[Código]],TB_Productos[[#All],[Categoría]]),Desc_CategorÍas,0))</f>
        <v>0.2</v>
      </c>
      <c r="K20" s="65">
        <f>_xlfn.XLOOKUP(TB_Ventas[[#This Row],[Vendedor]],Vendedores!$A$5:$A$9,Vendedores!$D$5:$D$9)</f>
        <v>0.2</v>
      </c>
      <c r="L20" s="65">
        <f>IF(TB_Ventas[[#This Row],[Descuento (Directo)]]&lt;=TB_Ventas[[#This Row],[Descuento 
(Vendedor)]],TB_Ventas[[#This Row],[Descuento (Directo)]],TB_Ventas[[#This Row],[Descuento 
(Vendedor)]])</f>
        <v>0.2</v>
      </c>
      <c r="M20" s="97">
        <f>TB_Ventas[[#This Row],[Precio Unitario]]*TB_Ventas[[#This Row],[Cant.]]</f>
        <v>1159.5999999999999</v>
      </c>
      <c r="N20" s="1" t="s">
        <v>142</v>
      </c>
    </row>
    <row r="21" spans="1:14">
      <c r="A21" s="10">
        <f>MONTH(TB_Ventas[[#This Row],[Fecha]])</f>
        <v>2</v>
      </c>
      <c r="B21" s="10" t="s">
        <v>160</v>
      </c>
      <c r="C21" s="9">
        <v>44982</v>
      </c>
      <c r="D21" s="10" t="s">
        <v>127</v>
      </c>
      <c r="E21" s="10" t="str">
        <f>_xlfn.XLOOKUP(TB_Ventas[[#This Row],[Código]],TB_Productos[Código],TB_Productos[Categoría])</f>
        <v>Vestuario</v>
      </c>
      <c r="F21" s="1">
        <v>3</v>
      </c>
      <c r="G21" s="98">
        <f>VLOOKUP(TB_Ventas[[#This Row],[Código]],Productos!$B$6:$F$66,5,0)</f>
        <v>180</v>
      </c>
      <c r="H21" s="1">
        <f>_xlfn.XMATCH(TB_Ventas[[#This Row],[Categoría]],Desc_CategorÍas,0)</f>
        <v>3</v>
      </c>
      <c r="I21" s="65">
        <f>VLOOKUP(TB_Ventas[[#This Row],[Cant.]],Desc_TabelaToda,TB_Ventas[[#This Row],[Índice]],TRUE)</f>
        <v>0.2</v>
      </c>
      <c r="J21" s="65" cm="1">
        <f t="array" ref="J21">INDEX(Desc_TabelaToda,MATCH(TB_Ventas[[#This Row],[Cant.]],Desc_Quantidades,1),MATCH(_xlfn.XLOOKUP(TB_Ventas[[#This Row],[Código]],TB_Productos[[#All],[Código]],TB_Productos[[#All],[Categoría]]),Desc_CategorÍas,0))</f>
        <v>0.2</v>
      </c>
      <c r="K21" s="65">
        <f>_xlfn.XLOOKUP(TB_Ventas[[#This Row],[Vendedor]],Vendedores!$A$5:$A$9,Vendedores!$D$5:$D$9)</f>
        <v>0.15</v>
      </c>
      <c r="L21" s="65">
        <f>IF(TB_Ventas[[#This Row],[Descuento (Directo)]]&lt;=TB_Ventas[[#This Row],[Descuento 
(Vendedor)]],TB_Ventas[[#This Row],[Descuento (Directo)]],TB_Ventas[[#This Row],[Descuento 
(Vendedor)]])</f>
        <v>0.15</v>
      </c>
      <c r="M21" s="97">
        <f>TB_Ventas[[#This Row],[Precio Unitario]]*TB_Ventas[[#This Row],[Cant.]]</f>
        <v>540</v>
      </c>
      <c r="N21" s="1" t="s">
        <v>136</v>
      </c>
    </row>
    <row r="22" spans="1:14">
      <c r="A22" s="10">
        <f>MONTH(TB_Ventas[[#This Row],[Fecha]])</f>
        <v>2</v>
      </c>
      <c r="B22" s="10" t="s">
        <v>160</v>
      </c>
      <c r="C22" s="9">
        <v>44983</v>
      </c>
      <c r="D22" s="10" t="s">
        <v>107</v>
      </c>
      <c r="E22" s="10" t="str">
        <f>_xlfn.XLOOKUP(TB_Ventas[[#This Row],[Código]],TB_Productos[Código],TB_Productos[Categoría])</f>
        <v>Vestuario</v>
      </c>
      <c r="F22" s="1">
        <v>2</v>
      </c>
      <c r="G22" s="98">
        <f>VLOOKUP(TB_Ventas[[#This Row],[Código]],Productos!$B$6:$F$66,5,0)</f>
        <v>32.9</v>
      </c>
      <c r="H22" s="1">
        <f>_xlfn.XMATCH(TB_Ventas[[#This Row],[Categoría]],Desc_CategorÍas,0)</f>
        <v>3</v>
      </c>
      <c r="I22" s="65">
        <f>VLOOKUP(TB_Ventas[[#This Row],[Cant.]],Desc_TabelaToda,TB_Ventas[[#This Row],[Índice]],TRUE)</f>
        <v>0.15</v>
      </c>
      <c r="J22" s="65" cm="1">
        <f t="array" ref="J22">INDEX(Desc_TabelaToda,MATCH(TB_Ventas[[#This Row],[Cant.]],Desc_Quantidades,1),MATCH(_xlfn.XLOOKUP(TB_Ventas[[#This Row],[Código]],TB_Productos[[#All],[Código]],TB_Productos[[#All],[Categoría]]),Desc_CategorÍas,0))</f>
        <v>0.15</v>
      </c>
      <c r="K22" s="65">
        <f>_xlfn.XLOOKUP(TB_Ventas[[#This Row],[Vendedor]],Vendedores!$A$5:$A$9,Vendedores!$D$5:$D$9)</f>
        <v>0.2</v>
      </c>
      <c r="L22" s="65">
        <f>IF(TB_Ventas[[#This Row],[Descuento (Directo)]]&lt;=TB_Ventas[[#This Row],[Descuento 
(Vendedor)]],TB_Ventas[[#This Row],[Descuento (Directo)]],TB_Ventas[[#This Row],[Descuento 
(Vendedor)]])</f>
        <v>0.15</v>
      </c>
      <c r="M22" s="97">
        <f>TB_Ventas[[#This Row],[Precio Unitario]]*TB_Ventas[[#This Row],[Cant.]]</f>
        <v>65.8</v>
      </c>
      <c r="N22" s="1" t="s">
        <v>133</v>
      </c>
    </row>
    <row r="23" spans="1:14">
      <c r="A23" s="10">
        <f>MONTH(TB_Ventas[[#This Row],[Fecha]])</f>
        <v>3</v>
      </c>
      <c r="B23" s="10" t="s">
        <v>161</v>
      </c>
      <c r="C23" s="9">
        <v>44986</v>
      </c>
      <c r="D23" s="10" t="s">
        <v>65</v>
      </c>
      <c r="E23" s="10" t="str">
        <f>_xlfn.XLOOKUP(TB_Ventas[[#This Row],[Código]],TB_Productos[Código],TB_Productos[Categoría])</f>
        <v>Calzado</v>
      </c>
      <c r="F23" s="1">
        <v>3</v>
      </c>
      <c r="G23" s="98">
        <f>VLOOKUP(TB_Ventas[[#This Row],[Código]],Productos!$B$6:$F$66,5,0)</f>
        <v>255</v>
      </c>
      <c r="H23" s="1">
        <f>_xlfn.XMATCH(TB_Ventas[[#This Row],[Categoría]],Desc_CategorÍas,0)</f>
        <v>4</v>
      </c>
      <c r="I23" s="65">
        <f>VLOOKUP(TB_Ventas[[#This Row],[Cant.]],Desc_TabelaToda,TB_Ventas[[#This Row],[Índice]],TRUE)</f>
        <v>0.15</v>
      </c>
      <c r="J23" s="65" cm="1">
        <f t="array" ref="J23">INDEX(Desc_TabelaToda,MATCH(TB_Ventas[[#This Row],[Cant.]],Desc_Quantidades,1),MATCH(_xlfn.XLOOKUP(TB_Ventas[[#This Row],[Código]],TB_Productos[[#All],[Código]],TB_Productos[[#All],[Categoría]]),Desc_CategorÍas,0))</f>
        <v>0.15</v>
      </c>
      <c r="K23" s="65">
        <f>_xlfn.XLOOKUP(TB_Ventas[[#This Row],[Vendedor]],Vendedores!$A$5:$A$9,Vendedores!$D$5:$D$9)</f>
        <v>0.2</v>
      </c>
      <c r="L23" s="65">
        <f>IF(TB_Ventas[[#This Row],[Descuento (Directo)]]&lt;=TB_Ventas[[#This Row],[Descuento 
(Vendedor)]],TB_Ventas[[#This Row],[Descuento (Directo)]],TB_Ventas[[#This Row],[Descuento 
(Vendedor)]])</f>
        <v>0.15</v>
      </c>
      <c r="M23" s="97">
        <f>TB_Ventas[[#This Row],[Precio Unitario]]*TB_Ventas[[#This Row],[Cant.]]</f>
        <v>765</v>
      </c>
      <c r="N23" s="1" t="s">
        <v>142</v>
      </c>
    </row>
    <row r="24" spans="1:14">
      <c r="A24" s="10">
        <f>MONTH(TB_Ventas[[#This Row],[Fecha]])</f>
        <v>3</v>
      </c>
      <c r="B24" s="10" t="s">
        <v>161</v>
      </c>
      <c r="C24" s="9">
        <v>44986</v>
      </c>
      <c r="D24" s="10" t="s">
        <v>83</v>
      </c>
      <c r="E24" s="10" t="str">
        <f>_xlfn.XLOOKUP(TB_Ventas[[#This Row],[Código]],TB_Productos[Código],TB_Productos[Categoría])</f>
        <v>Accesorio</v>
      </c>
      <c r="F24" s="1">
        <v>1</v>
      </c>
      <c r="G24" s="98">
        <f>VLOOKUP(TB_Ventas[[#This Row],[Código]],Productos!$B$6:$F$66,5,0)</f>
        <v>142.9</v>
      </c>
      <c r="H24" s="1">
        <f>_xlfn.XMATCH(TB_Ventas[[#This Row],[Categoría]],Desc_CategorÍas,0)</f>
        <v>2</v>
      </c>
      <c r="I24" s="65">
        <f>VLOOKUP(TB_Ventas[[#This Row],[Cant.]],Desc_TabelaToda,TB_Ventas[[#This Row],[Índice]],TRUE)</f>
        <v>0</v>
      </c>
      <c r="J24" s="65" cm="1">
        <f t="array" ref="J24">INDEX(Desc_TabelaToda,MATCH(TB_Ventas[[#This Row],[Cant.]],Desc_Quantidades,1),MATCH(_xlfn.XLOOKUP(TB_Ventas[[#This Row],[Código]],TB_Productos[[#All],[Código]],TB_Productos[[#All],[Categoría]]),Desc_CategorÍas,0))</f>
        <v>0</v>
      </c>
      <c r="K24" s="65">
        <f>_xlfn.XLOOKUP(TB_Ventas[[#This Row],[Vendedor]],Vendedores!$A$5:$A$9,Vendedores!$D$5:$D$9)</f>
        <v>0.2</v>
      </c>
      <c r="L24" s="65">
        <f>IF(TB_Ventas[[#This Row],[Descuento (Directo)]]&lt;=TB_Ventas[[#This Row],[Descuento 
(Vendedor)]],TB_Ventas[[#This Row],[Descuento (Directo)]],TB_Ventas[[#This Row],[Descuento 
(Vendedor)]])</f>
        <v>0</v>
      </c>
      <c r="M24" s="97">
        <f>TB_Ventas[[#This Row],[Precio Unitario]]*TB_Ventas[[#This Row],[Cant.]]</f>
        <v>142.9</v>
      </c>
      <c r="N24" s="1" t="s">
        <v>133</v>
      </c>
    </row>
    <row r="25" spans="1:14">
      <c r="A25" s="10">
        <f>MONTH(TB_Ventas[[#This Row],[Fecha]])</f>
        <v>3</v>
      </c>
      <c r="B25" s="10" t="s">
        <v>161</v>
      </c>
      <c r="C25" s="9">
        <v>44987</v>
      </c>
      <c r="D25" s="10" t="s">
        <v>24</v>
      </c>
      <c r="E25" s="10" t="str">
        <f>_xlfn.XLOOKUP(TB_Ventas[[#This Row],[Código]],TB_Productos[Código],TB_Productos[Categoría])</f>
        <v>Vestuario</v>
      </c>
      <c r="F25" s="1">
        <v>4</v>
      </c>
      <c r="G25" s="98">
        <f>VLOOKUP(TB_Ventas[[#This Row],[Código]],Productos!$B$6:$F$66,5,0)</f>
        <v>92.9</v>
      </c>
      <c r="H25" s="1">
        <f>_xlfn.XMATCH(TB_Ventas[[#This Row],[Categoría]],Desc_CategorÍas,0)</f>
        <v>3</v>
      </c>
      <c r="I25" s="65">
        <f>VLOOKUP(TB_Ventas[[#This Row],[Cant.]],Desc_TabelaToda,TB_Ventas[[#This Row],[Índice]],TRUE)</f>
        <v>0.2</v>
      </c>
      <c r="J25" s="65" cm="1">
        <f t="array" ref="J25">INDEX(Desc_TabelaToda,MATCH(TB_Ventas[[#This Row],[Cant.]],Desc_Quantidades,1),MATCH(_xlfn.XLOOKUP(TB_Ventas[[#This Row],[Código]],TB_Productos[[#All],[Código]],TB_Productos[[#All],[Categoría]]),Desc_CategorÍas,0))</f>
        <v>0.2</v>
      </c>
      <c r="K25" s="65">
        <f>_xlfn.XLOOKUP(TB_Ventas[[#This Row],[Vendedor]],Vendedores!$A$5:$A$9,Vendedores!$D$5:$D$9)</f>
        <v>0.1</v>
      </c>
      <c r="L25" s="65">
        <f>IF(TB_Ventas[[#This Row],[Descuento (Directo)]]&lt;=TB_Ventas[[#This Row],[Descuento 
(Vendedor)]],TB_Ventas[[#This Row],[Descuento (Directo)]],TB_Ventas[[#This Row],[Descuento 
(Vendedor)]])</f>
        <v>0.1</v>
      </c>
      <c r="M25" s="97">
        <f>TB_Ventas[[#This Row],[Precio Unitario]]*TB_Ventas[[#This Row],[Cant.]]</f>
        <v>371.6</v>
      </c>
      <c r="N25" s="1" t="s">
        <v>139</v>
      </c>
    </row>
    <row r="26" spans="1:14">
      <c r="A26" s="10">
        <f>MONTH(TB_Ventas[[#This Row],[Fecha]])</f>
        <v>3</v>
      </c>
      <c r="B26" s="10" t="s">
        <v>161</v>
      </c>
      <c r="C26" s="9">
        <v>44988</v>
      </c>
      <c r="D26" s="10" t="s">
        <v>91</v>
      </c>
      <c r="E26" s="10" t="str">
        <f>_xlfn.XLOOKUP(TB_Ventas[[#This Row],[Código]],TB_Productos[Código],TB_Productos[Categoría])</f>
        <v>Accesorio</v>
      </c>
      <c r="F26" s="1">
        <v>2</v>
      </c>
      <c r="G26" s="98">
        <f>VLOOKUP(TB_Ventas[[#This Row],[Código]],Productos!$B$6:$F$66,5,0)</f>
        <v>54.9</v>
      </c>
      <c r="H26" s="1">
        <f>_xlfn.XMATCH(TB_Ventas[[#This Row],[Categoría]],Desc_CategorÍas,0)</f>
        <v>2</v>
      </c>
      <c r="I26" s="65">
        <f>VLOOKUP(TB_Ventas[[#This Row],[Cant.]],Desc_TabelaToda,TB_Ventas[[#This Row],[Índice]],TRUE)</f>
        <v>0.05</v>
      </c>
      <c r="J26" s="65" cm="1">
        <f t="array" ref="J26">INDEX(Desc_TabelaToda,MATCH(TB_Ventas[[#This Row],[Cant.]],Desc_Quantidades,1),MATCH(_xlfn.XLOOKUP(TB_Ventas[[#This Row],[Código]],TB_Productos[[#All],[Código]],TB_Productos[[#All],[Categoría]]),Desc_CategorÍas,0))</f>
        <v>0.05</v>
      </c>
      <c r="K26" s="65">
        <f>_xlfn.XLOOKUP(TB_Ventas[[#This Row],[Vendedor]],Vendedores!$A$5:$A$9,Vendedores!$D$5:$D$9)</f>
        <v>0.2</v>
      </c>
      <c r="L26" s="65">
        <f>IF(TB_Ventas[[#This Row],[Descuento (Directo)]]&lt;=TB_Ventas[[#This Row],[Descuento 
(Vendedor)]],TB_Ventas[[#This Row],[Descuento (Directo)]],TB_Ventas[[#This Row],[Descuento 
(Vendedor)]])</f>
        <v>0.05</v>
      </c>
      <c r="M26" s="97">
        <f>TB_Ventas[[#This Row],[Precio Unitario]]*TB_Ventas[[#This Row],[Cant.]]</f>
        <v>109.8</v>
      </c>
      <c r="N26" s="1" t="s">
        <v>133</v>
      </c>
    </row>
    <row r="27" spans="1:14">
      <c r="A27" s="10">
        <f>MONTH(TB_Ventas[[#This Row],[Fecha]])</f>
        <v>3</v>
      </c>
      <c r="B27" s="10" t="s">
        <v>161</v>
      </c>
      <c r="C27" s="9">
        <v>44989</v>
      </c>
      <c r="D27" s="10" t="s">
        <v>83</v>
      </c>
      <c r="E27" s="10" t="str">
        <f>_xlfn.XLOOKUP(TB_Ventas[[#This Row],[Código]],TB_Productos[Código],TB_Productos[Categoría])</f>
        <v>Accesorio</v>
      </c>
      <c r="F27" s="1">
        <v>3</v>
      </c>
      <c r="G27" s="98">
        <f>VLOOKUP(TB_Ventas[[#This Row],[Código]],Productos!$B$6:$F$66,5,0)</f>
        <v>142.9</v>
      </c>
      <c r="H27" s="1">
        <f>_xlfn.XMATCH(TB_Ventas[[#This Row],[Categoría]],Desc_CategorÍas,0)</f>
        <v>2</v>
      </c>
      <c r="I27" s="65">
        <f>VLOOKUP(TB_Ventas[[#This Row],[Cant.]],Desc_TabelaToda,TB_Ventas[[#This Row],[Índice]],TRUE)</f>
        <v>0.15</v>
      </c>
      <c r="J27" s="65" cm="1">
        <f t="array" ref="J27">INDEX(Desc_TabelaToda,MATCH(TB_Ventas[[#This Row],[Cant.]],Desc_Quantidades,1),MATCH(_xlfn.XLOOKUP(TB_Ventas[[#This Row],[Código]],TB_Productos[[#All],[Código]],TB_Productos[[#All],[Categoría]]),Desc_CategorÍas,0))</f>
        <v>0.15</v>
      </c>
      <c r="K27" s="65">
        <f>_xlfn.XLOOKUP(TB_Ventas[[#This Row],[Vendedor]],Vendedores!$A$5:$A$9,Vendedores!$D$5:$D$9)</f>
        <v>0.15</v>
      </c>
      <c r="L27" s="65">
        <f>IF(TB_Ventas[[#This Row],[Descuento (Directo)]]&lt;=TB_Ventas[[#This Row],[Descuento 
(Vendedor)]],TB_Ventas[[#This Row],[Descuento (Directo)]],TB_Ventas[[#This Row],[Descuento 
(Vendedor)]])</f>
        <v>0.15</v>
      </c>
      <c r="M27" s="97">
        <f>TB_Ventas[[#This Row],[Precio Unitario]]*TB_Ventas[[#This Row],[Cant.]]</f>
        <v>428.70000000000005</v>
      </c>
      <c r="N27" s="1" t="s">
        <v>136</v>
      </c>
    </row>
    <row r="28" spans="1:14">
      <c r="A28" s="10">
        <f>MONTH(TB_Ventas[[#This Row],[Fecha]])</f>
        <v>3</v>
      </c>
      <c r="B28" s="10" t="s">
        <v>161</v>
      </c>
      <c r="C28" s="9">
        <v>44994</v>
      </c>
      <c r="D28" s="10" t="s">
        <v>60</v>
      </c>
      <c r="E28" s="10" t="str">
        <f>_xlfn.XLOOKUP(TB_Ventas[[#This Row],[Código]],TB_Productos[Código],TB_Productos[Categoría])</f>
        <v>Accesorio</v>
      </c>
      <c r="F28" s="1">
        <v>2</v>
      </c>
      <c r="G28" s="98">
        <f>VLOOKUP(TB_Ventas[[#This Row],[Código]],Productos!$B$6:$F$66,5,0)</f>
        <v>120</v>
      </c>
      <c r="H28" s="1">
        <f>_xlfn.XMATCH(TB_Ventas[[#This Row],[Categoría]],Desc_CategorÍas,0)</f>
        <v>2</v>
      </c>
      <c r="I28" s="65">
        <f>VLOOKUP(TB_Ventas[[#This Row],[Cant.]],Desc_TabelaToda,TB_Ventas[[#This Row],[Índice]],TRUE)</f>
        <v>0.05</v>
      </c>
      <c r="J28" s="65" cm="1">
        <f t="array" ref="J28">INDEX(Desc_TabelaToda,MATCH(TB_Ventas[[#This Row],[Cant.]],Desc_Quantidades,1),MATCH(_xlfn.XLOOKUP(TB_Ventas[[#This Row],[Código]],TB_Productos[[#All],[Código]],TB_Productos[[#All],[Categoría]]),Desc_CategorÍas,0))</f>
        <v>0.05</v>
      </c>
      <c r="K28" s="65">
        <f>_xlfn.XLOOKUP(TB_Ventas[[#This Row],[Vendedor]],Vendedores!$A$5:$A$9,Vendedores!$D$5:$D$9)</f>
        <v>0.15</v>
      </c>
      <c r="L28" s="65">
        <f>IF(TB_Ventas[[#This Row],[Descuento (Directo)]]&lt;=TB_Ventas[[#This Row],[Descuento 
(Vendedor)]],TB_Ventas[[#This Row],[Descuento (Directo)]],TB_Ventas[[#This Row],[Descuento 
(Vendedor)]])</f>
        <v>0.05</v>
      </c>
      <c r="M28" s="97">
        <f>TB_Ventas[[#This Row],[Precio Unitario]]*TB_Ventas[[#This Row],[Cant.]]</f>
        <v>240</v>
      </c>
      <c r="N28" s="1" t="s">
        <v>136</v>
      </c>
    </row>
    <row r="29" spans="1:14">
      <c r="A29" s="10">
        <f>MONTH(TB_Ventas[[#This Row],[Fecha]])</f>
        <v>3</v>
      </c>
      <c r="B29" s="10" t="s">
        <v>161</v>
      </c>
      <c r="C29" s="9">
        <v>44999</v>
      </c>
      <c r="D29" s="10" t="s">
        <v>6</v>
      </c>
      <c r="E29" s="10" t="str">
        <f>_xlfn.XLOOKUP(TB_Ventas[[#This Row],[Código]],TB_Productos[Código],TB_Productos[Categoría])</f>
        <v>Vestuario</v>
      </c>
      <c r="F29" s="1">
        <v>1</v>
      </c>
      <c r="G29" s="98">
        <f>VLOOKUP(TB_Ventas[[#This Row],[Código]],Productos!$B$6:$F$66,5,0)</f>
        <v>65.900000000000006</v>
      </c>
      <c r="H29" s="1">
        <f>_xlfn.XMATCH(TB_Ventas[[#This Row],[Categoría]],Desc_CategorÍas,0)</f>
        <v>3</v>
      </c>
      <c r="I29" s="65">
        <f>VLOOKUP(TB_Ventas[[#This Row],[Cant.]],Desc_TabelaToda,TB_Ventas[[#This Row],[Índice]],TRUE)</f>
        <v>0.1</v>
      </c>
      <c r="J29" s="65" cm="1">
        <f t="array" ref="J29">INDEX(Desc_TabelaToda,MATCH(TB_Ventas[[#This Row],[Cant.]],Desc_Quantidades,1),MATCH(_xlfn.XLOOKUP(TB_Ventas[[#This Row],[Código]],TB_Productos[[#All],[Código]],TB_Productos[[#All],[Categoría]]),Desc_CategorÍas,0))</f>
        <v>0.1</v>
      </c>
      <c r="K29" s="65">
        <f>_xlfn.XLOOKUP(TB_Ventas[[#This Row],[Vendedor]],Vendedores!$A$5:$A$9,Vendedores!$D$5:$D$9)</f>
        <v>0.2</v>
      </c>
      <c r="L29" s="65">
        <f>IF(TB_Ventas[[#This Row],[Descuento (Directo)]]&lt;=TB_Ventas[[#This Row],[Descuento 
(Vendedor)]],TB_Ventas[[#This Row],[Descuento (Directo)]],TB_Ventas[[#This Row],[Descuento 
(Vendedor)]])</f>
        <v>0.1</v>
      </c>
      <c r="M29" s="97">
        <f>TB_Ventas[[#This Row],[Precio Unitario]]*TB_Ventas[[#This Row],[Cant.]]</f>
        <v>65.900000000000006</v>
      </c>
      <c r="N29" s="1" t="s">
        <v>142</v>
      </c>
    </row>
    <row r="30" spans="1:14">
      <c r="A30" s="10">
        <f>MONTH(TB_Ventas[[#This Row],[Fecha]])</f>
        <v>3</v>
      </c>
      <c r="B30" s="10" t="s">
        <v>161</v>
      </c>
      <c r="C30" s="9">
        <v>45004</v>
      </c>
      <c r="D30" s="10" t="s">
        <v>105</v>
      </c>
      <c r="E30" s="10" t="str">
        <f>_xlfn.XLOOKUP(TB_Ventas[[#This Row],[Código]],TB_Productos[Código],TB_Productos[Categoría])</f>
        <v>Vestuario</v>
      </c>
      <c r="F30" s="1">
        <v>5</v>
      </c>
      <c r="G30" s="98">
        <f>VLOOKUP(TB_Ventas[[#This Row],[Código]],Productos!$B$6:$F$66,5,0)</f>
        <v>32.9</v>
      </c>
      <c r="H30" s="1">
        <f>_xlfn.XMATCH(TB_Ventas[[#This Row],[Categoría]],Desc_CategorÍas,0)</f>
        <v>3</v>
      </c>
      <c r="I30" s="65">
        <f>VLOOKUP(TB_Ventas[[#This Row],[Cant.]],Desc_TabelaToda,TB_Ventas[[#This Row],[Índice]],TRUE)</f>
        <v>0.25</v>
      </c>
      <c r="J30" s="65" cm="1">
        <f t="array" ref="J30">INDEX(Desc_TabelaToda,MATCH(TB_Ventas[[#This Row],[Cant.]],Desc_Quantidades,1),MATCH(_xlfn.XLOOKUP(TB_Ventas[[#This Row],[Código]],TB_Productos[[#All],[Código]],TB_Productos[[#All],[Categoría]]),Desc_CategorÍas,0))</f>
        <v>0.25</v>
      </c>
      <c r="K30" s="65">
        <f>_xlfn.XLOOKUP(TB_Ventas[[#This Row],[Vendedor]],Vendedores!$A$5:$A$9,Vendedores!$D$5:$D$9)</f>
        <v>0.15</v>
      </c>
      <c r="L30" s="65">
        <f>IF(TB_Ventas[[#This Row],[Descuento (Directo)]]&lt;=TB_Ventas[[#This Row],[Descuento 
(Vendedor)]],TB_Ventas[[#This Row],[Descuento (Directo)]],TB_Ventas[[#This Row],[Descuento 
(Vendedor)]])</f>
        <v>0.15</v>
      </c>
      <c r="M30" s="97">
        <f>TB_Ventas[[#This Row],[Precio Unitario]]*TB_Ventas[[#This Row],[Cant.]]</f>
        <v>164.5</v>
      </c>
      <c r="N30" s="1" t="s">
        <v>145</v>
      </c>
    </row>
    <row r="31" spans="1:14">
      <c r="A31" s="10">
        <f>MONTH(TB_Ventas[[#This Row],[Fecha]])</f>
        <v>3</v>
      </c>
      <c r="B31" s="10" t="s">
        <v>161</v>
      </c>
      <c r="C31" s="9">
        <v>45006</v>
      </c>
      <c r="D31" s="10" t="s">
        <v>125</v>
      </c>
      <c r="E31" s="10" t="str">
        <f>_xlfn.XLOOKUP(TB_Ventas[[#This Row],[Código]],TB_Productos[Código],TB_Productos[Categoría])</f>
        <v>Vestuario</v>
      </c>
      <c r="F31" s="1">
        <v>2</v>
      </c>
      <c r="G31" s="98">
        <f>VLOOKUP(TB_Ventas[[#This Row],[Código]],Productos!$B$6:$F$66,5,0)</f>
        <v>180</v>
      </c>
      <c r="H31" s="1">
        <f>_xlfn.XMATCH(TB_Ventas[[#This Row],[Categoría]],Desc_CategorÍas,0)</f>
        <v>3</v>
      </c>
      <c r="I31" s="65">
        <f>VLOOKUP(TB_Ventas[[#This Row],[Cant.]],Desc_TabelaToda,TB_Ventas[[#This Row],[Índice]],TRUE)</f>
        <v>0.15</v>
      </c>
      <c r="J31" s="65" cm="1">
        <f t="array" ref="J31">INDEX(Desc_TabelaToda,MATCH(TB_Ventas[[#This Row],[Cant.]],Desc_Quantidades,1),MATCH(_xlfn.XLOOKUP(TB_Ventas[[#This Row],[Código]],TB_Productos[[#All],[Código]],TB_Productos[[#All],[Categoría]]),Desc_CategorÍas,0))</f>
        <v>0.15</v>
      </c>
      <c r="K31" s="65">
        <f>_xlfn.XLOOKUP(TB_Ventas[[#This Row],[Vendedor]],Vendedores!$A$5:$A$9,Vendedores!$D$5:$D$9)</f>
        <v>0.15</v>
      </c>
      <c r="L31" s="65">
        <f>IF(TB_Ventas[[#This Row],[Descuento (Directo)]]&lt;=TB_Ventas[[#This Row],[Descuento 
(Vendedor)]],TB_Ventas[[#This Row],[Descuento (Directo)]],TB_Ventas[[#This Row],[Descuento 
(Vendedor)]])</f>
        <v>0.15</v>
      </c>
      <c r="M31" s="97">
        <f>TB_Ventas[[#This Row],[Precio Unitario]]*TB_Ventas[[#This Row],[Cant.]]</f>
        <v>360</v>
      </c>
      <c r="N31" s="1" t="s">
        <v>136</v>
      </c>
    </row>
    <row r="32" spans="1:14">
      <c r="A32" s="10">
        <f>MONTH(TB_Ventas[[#This Row],[Fecha]])</f>
        <v>3</v>
      </c>
      <c r="B32" s="10" t="s">
        <v>161</v>
      </c>
      <c r="C32" s="9">
        <v>45010</v>
      </c>
      <c r="D32" s="10" t="s">
        <v>58</v>
      </c>
      <c r="E32" s="10" t="str">
        <f>_xlfn.XLOOKUP(TB_Ventas[[#This Row],[Código]],TB_Productos[Código],TB_Productos[Categoría])</f>
        <v>Accesorio</v>
      </c>
      <c r="F32" s="1">
        <v>3</v>
      </c>
      <c r="G32" s="98">
        <f>VLOOKUP(TB_Ventas[[#This Row],[Código]],Productos!$B$6:$F$66,5,0)</f>
        <v>349.9</v>
      </c>
      <c r="H32" s="1">
        <f>_xlfn.XMATCH(TB_Ventas[[#This Row],[Categoría]],Desc_CategorÍas,0)</f>
        <v>2</v>
      </c>
      <c r="I32" s="65">
        <f>VLOOKUP(TB_Ventas[[#This Row],[Cant.]],Desc_TabelaToda,TB_Ventas[[#This Row],[Índice]],TRUE)</f>
        <v>0.15</v>
      </c>
      <c r="J32" s="65" cm="1">
        <f t="array" ref="J32">INDEX(Desc_TabelaToda,MATCH(TB_Ventas[[#This Row],[Cant.]],Desc_Quantidades,1),MATCH(_xlfn.XLOOKUP(TB_Ventas[[#This Row],[Código]],TB_Productos[[#All],[Código]],TB_Productos[[#All],[Categoría]]),Desc_CategorÍas,0))</f>
        <v>0.15</v>
      </c>
      <c r="K32" s="65">
        <f>_xlfn.XLOOKUP(TB_Ventas[[#This Row],[Vendedor]],Vendedores!$A$5:$A$9,Vendedores!$D$5:$D$9)</f>
        <v>0.2</v>
      </c>
      <c r="L32" s="65">
        <f>IF(TB_Ventas[[#This Row],[Descuento (Directo)]]&lt;=TB_Ventas[[#This Row],[Descuento 
(Vendedor)]],TB_Ventas[[#This Row],[Descuento (Directo)]],TB_Ventas[[#This Row],[Descuento 
(Vendedor)]])</f>
        <v>0.15</v>
      </c>
      <c r="M32" s="97">
        <f>TB_Ventas[[#This Row],[Precio Unitario]]*TB_Ventas[[#This Row],[Cant.]]</f>
        <v>1049.6999999999998</v>
      </c>
      <c r="N32" s="1" t="s">
        <v>133</v>
      </c>
    </row>
    <row r="33" spans="1:14">
      <c r="A33" s="10">
        <f>MONTH(TB_Ventas[[#This Row],[Fecha]])</f>
        <v>4</v>
      </c>
      <c r="B33" s="10" t="s">
        <v>162</v>
      </c>
      <c r="C33" s="9">
        <v>45018</v>
      </c>
      <c r="D33" s="10" t="s">
        <v>95</v>
      </c>
      <c r="E33" s="10" t="str">
        <f>_xlfn.XLOOKUP(TB_Ventas[[#This Row],[Código]],TB_Productos[Código],TB_Productos[Categoría])</f>
        <v>Vestuario</v>
      </c>
      <c r="F33" s="1">
        <v>1</v>
      </c>
      <c r="G33" s="98">
        <f>VLOOKUP(TB_Ventas[[#This Row],[Código]],Productos!$B$6:$F$66,5,0)</f>
        <v>72.5</v>
      </c>
      <c r="H33" s="1">
        <f>_xlfn.XMATCH(TB_Ventas[[#This Row],[Categoría]],Desc_CategorÍas,0)</f>
        <v>3</v>
      </c>
      <c r="I33" s="65">
        <f>VLOOKUP(TB_Ventas[[#This Row],[Cant.]],Desc_TabelaToda,TB_Ventas[[#This Row],[Índice]],TRUE)</f>
        <v>0.1</v>
      </c>
      <c r="J33" s="65" cm="1">
        <f t="array" ref="J33">INDEX(Desc_TabelaToda,MATCH(TB_Ventas[[#This Row],[Cant.]],Desc_Quantidades,1),MATCH(_xlfn.XLOOKUP(TB_Ventas[[#This Row],[Código]],TB_Productos[[#All],[Código]],TB_Productos[[#All],[Categoría]]),Desc_CategorÍas,0))</f>
        <v>0.1</v>
      </c>
      <c r="K33" s="65">
        <f>_xlfn.XLOOKUP(TB_Ventas[[#This Row],[Vendedor]],Vendedores!$A$5:$A$9,Vendedores!$D$5:$D$9)</f>
        <v>0.1</v>
      </c>
      <c r="L33" s="65">
        <f>IF(TB_Ventas[[#This Row],[Descuento (Directo)]]&lt;=TB_Ventas[[#This Row],[Descuento 
(Vendedor)]],TB_Ventas[[#This Row],[Descuento (Directo)]],TB_Ventas[[#This Row],[Descuento 
(Vendedor)]])</f>
        <v>0.1</v>
      </c>
      <c r="M33" s="97">
        <f>TB_Ventas[[#This Row],[Precio Unitario]]*TB_Ventas[[#This Row],[Cant.]]</f>
        <v>72.5</v>
      </c>
      <c r="N33" s="1" t="s">
        <v>139</v>
      </c>
    </row>
    <row r="34" spans="1:14">
      <c r="A34" s="10">
        <f>MONTH(TB_Ventas[[#This Row],[Fecha]])</f>
        <v>4</v>
      </c>
      <c r="B34" s="10" t="s">
        <v>162</v>
      </c>
      <c r="C34" s="9">
        <v>45020</v>
      </c>
      <c r="D34" s="10" t="s">
        <v>54</v>
      </c>
      <c r="E34" s="10" t="str">
        <f>_xlfn.XLOOKUP(TB_Ventas[[#This Row],[Código]],TB_Productos[Código],TB_Productos[Categoría])</f>
        <v>Accesorio</v>
      </c>
      <c r="F34" s="1">
        <v>4</v>
      </c>
      <c r="G34" s="98">
        <f>VLOOKUP(TB_Ventas[[#This Row],[Código]],Productos!$B$6:$F$66,5,0)</f>
        <v>259.89999999999998</v>
      </c>
      <c r="H34" s="1">
        <f>_xlfn.XMATCH(TB_Ventas[[#This Row],[Categoría]],Desc_CategorÍas,0)</f>
        <v>2</v>
      </c>
      <c r="I34" s="65">
        <f>VLOOKUP(TB_Ventas[[#This Row],[Cant.]],Desc_TabelaToda,TB_Ventas[[#This Row],[Índice]],TRUE)</f>
        <v>0.15</v>
      </c>
      <c r="J34" s="65" cm="1">
        <f t="array" ref="J34">INDEX(Desc_TabelaToda,MATCH(TB_Ventas[[#This Row],[Cant.]],Desc_Quantidades,1),MATCH(_xlfn.XLOOKUP(TB_Ventas[[#This Row],[Código]],TB_Productos[[#All],[Código]],TB_Productos[[#All],[Categoría]]),Desc_CategorÍas,0))</f>
        <v>0.15</v>
      </c>
      <c r="K34" s="65">
        <f>_xlfn.XLOOKUP(TB_Ventas[[#This Row],[Vendedor]],Vendedores!$A$5:$A$9,Vendedores!$D$5:$D$9)</f>
        <v>0.2</v>
      </c>
      <c r="L34" s="65">
        <f>IF(TB_Ventas[[#This Row],[Descuento (Directo)]]&lt;=TB_Ventas[[#This Row],[Descuento 
(Vendedor)]],TB_Ventas[[#This Row],[Descuento (Directo)]],TB_Ventas[[#This Row],[Descuento 
(Vendedor)]])</f>
        <v>0.15</v>
      </c>
      <c r="M34" s="97">
        <f>TB_Ventas[[#This Row],[Precio Unitario]]*TB_Ventas[[#This Row],[Cant.]]</f>
        <v>1039.5999999999999</v>
      </c>
      <c r="N34" s="1" t="s">
        <v>133</v>
      </c>
    </row>
    <row r="35" spans="1:14">
      <c r="A35" s="10">
        <f>MONTH(TB_Ventas[[#This Row],[Fecha]])</f>
        <v>4</v>
      </c>
      <c r="B35" s="10" t="s">
        <v>162</v>
      </c>
      <c r="C35" s="9">
        <v>45024</v>
      </c>
      <c r="D35" s="10" t="s">
        <v>38</v>
      </c>
      <c r="E35" s="10" t="str">
        <f>_xlfn.XLOOKUP(TB_Ventas[[#This Row],[Código]],TB_Productos[Código],TB_Productos[Categoría])</f>
        <v>Vestuario</v>
      </c>
      <c r="F35" s="1">
        <v>3</v>
      </c>
      <c r="G35" s="98">
        <f>VLOOKUP(TB_Ventas[[#This Row],[Código]],Productos!$B$6:$F$66,5,0)</f>
        <v>25.9</v>
      </c>
      <c r="H35" s="1">
        <f>_xlfn.XMATCH(TB_Ventas[[#This Row],[Categoría]],Desc_CategorÍas,0)</f>
        <v>3</v>
      </c>
      <c r="I35" s="65">
        <f>VLOOKUP(TB_Ventas[[#This Row],[Cant.]],Desc_TabelaToda,TB_Ventas[[#This Row],[Índice]],TRUE)</f>
        <v>0.2</v>
      </c>
      <c r="J35" s="65" cm="1">
        <f t="array" ref="J35">INDEX(Desc_TabelaToda,MATCH(TB_Ventas[[#This Row],[Cant.]],Desc_Quantidades,1),MATCH(_xlfn.XLOOKUP(TB_Ventas[[#This Row],[Código]],TB_Productos[[#All],[Código]],TB_Productos[[#All],[Categoría]]),Desc_CategorÍas,0))</f>
        <v>0.2</v>
      </c>
      <c r="K35" s="65">
        <f>_xlfn.XLOOKUP(TB_Ventas[[#This Row],[Vendedor]],Vendedores!$A$5:$A$9,Vendedores!$D$5:$D$9)</f>
        <v>0.15</v>
      </c>
      <c r="L35" s="65">
        <f>IF(TB_Ventas[[#This Row],[Descuento (Directo)]]&lt;=TB_Ventas[[#This Row],[Descuento 
(Vendedor)]],TB_Ventas[[#This Row],[Descuento (Directo)]],TB_Ventas[[#This Row],[Descuento 
(Vendedor)]])</f>
        <v>0.15</v>
      </c>
      <c r="M35" s="97">
        <f>TB_Ventas[[#This Row],[Precio Unitario]]*TB_Ventas[[#This Row],[Cant.]]</f>
        <v>77.699999999999989</v>
      </c>
      <c r="N35" s="1" t="s">
        <v>136</v>
      </c>
    </row>
    <row r="36" spans="1:14">
      <c r="A36" s="10">
        <f>MONTH(TB_Ventas[[#This Row],[Fecha]])</f>
        <v>4</v>
      </c>
      <c r="B36" s="10" t="s">
        <v>162</v>
      </c>
      <c r="C36" s="9">
        <v>45027</v>
      </c>
      <c r="D36" s="10" t="s">
        <v>13</v>
      </c>
      <c r="E36" s="10" t="str">
        <f>_xlfn.XLOOKUP(TB_Ventas[[#This Row],[Código]],TB_Productos[Código],TB_Productos[Categoría])</f>
        <v>Accesorio</v>
      </c>
      <c r="F36" s="1">
        <v>2</v>
      </c>
      <c r="G36" s="98">
        <f>VLOOKUP(TB_Ventas[[#This Row],[Código]],Productos!$B$6:$F$66,5,0)</f>
        <v>145</v>
      </c>
      <c r="H36" s="1">
        <f>_xlfn.XMATCH(TB_Ventas[[#This Row],[Categoría]],Desc_CategorÍas,0)</f>
        <v>2</v>
      </c>
      <c r="I36" s="65">
        <f>VLOOKUP(TB_Ventas[[#This Row],[Cant.]],Desc_TabelaToda,TB_Ventas[[#This Row],[Índice]],TRUE)</f>
        <v>0.05</v>
      </c>
      <c r="J36" s="65" cm="1">
        <f t="array" ref="J36">INDEX(Desc_TabelaToda,MATCH(TB_Ventas[[#This Row],[Cant.]],Desc_Quantidades,1),MATCH(_xlfn.XLOOKUP(TB_Ventas[[#This Row],[Código]],TB_Productos[[#All],[Código]],TB_Productos[[#All],[Categoría]]),Desc_CategorÍas,0))</f>
        <v>0.05</v>
      </c>
      <c r="K36" s="65">
        <f>_xlfn.XLOOKUP(TB_Ventas[[#This Row],[Vendedor]],Vendedores!$A$5:$A$9,Vendedores!$D$5:$D$9)</f>
        <v>0.2</v>
      </c>
      <c r="L36" s="65">
        <f>IF(TB_Ventas[[#This Row],[Descuento (Directo)]]&lt;=TB_Ventas[[#This Row],[Descuento 
(Vendedor)]],TB_Ventas[[#This Row],[Descuento (Directo)]],TB_Ventas[[#This Row],[Descuento 
(Vendedor)]])</f>
        <v>0.05</v>
      </c>
      <c r="M36" s="97">
        <f>TB_Ventas[[#This Row],[Precio Unitario]]*TB_Ventas[[#This Row],[Cant.]]</f>
        <v>290</v>
      </c>
      <c r="N36" s="1" t="s">
        <v>133</v>
      </c>
    </row>
    <row r="37" spans="1:14">
      <c r="A37" s="10">
        <f>MONTH(TB_Ventas[[#This Row],[Fecha]])</f>
        <v>4</v>
      </c>
      <c r="B37" s="10" t="s">
        <v>162</v>
      </c>
      <c r="C37" s="9">
        <v>45028</v>
      </c>
      <c r="D37" s="10" t="s">
        <v>18</v>
      </c>
      <c r="E37" s="10" t="str">
        <f>_xlfn.XLOOKUP(TB_Ventas[[#This Row],[Código]],TB_Productos[Código],TB_Productos[Categoría])</f>
        <v>Accesorio</v>
      </c>
      <c r="F37" s="1">
        <v>1</v>
      </c>
      <c r="G37" s="98">
        <f>VLOOKUP(TB_Ventas[[#This Row],[Código]],Productos!$B$6:$F$66,5,0)</f>
        <v>39.9</v>
      </c>
      <c r="H37" s="1">
        <f>_xlfn.XMATCH(TB_Ventas[[#This Row],[Categoría]],Desc_CategorÍas,0)</f>
        <v>2</v>
      </c>
      <c r="I37" s="65">
        <f>VLOOKUP(TB_Ventas[[#This Row],[Cant.]],Desc_TabelaToda,TB_Ventas[[#This Row],[Índice]],TRUE)</f>
        <v>0</v>
      </c>
      <c r="J37" s="65" cm="1">
        <f t="array" ref="J37">INDEX(Desc_TabelaToda,MATCH(TB_Ventas[[#This Row],[Cant.]],Desc_Quantidades,1),MATCH(_xlfn.XLOOKUP(TB_Ventas[[#This Row],[Código]],TB_Productos[[#All],[Código]],TB_Productos[[#All],[Categoría]]),Desc_CategorÍas,0))</f>
        <v>0</v>
      </c>
      <c r="K37" s="65">
        <f>_xlfn.XLOOKUP(TB_Ventas[[#This Row],[Vendedor]],Vendedores!$A$5:$A$9,Vendedores!$D$5:$D$9)</f>
        <v>0.15</v>
      </c>
      <c r="L37" s="65">
        <f>IF(TB_Ventas[[#This Row],[Descuento (Directo)]]&lt;=TB_Ventas[[#This Row],[Descuento 
(Vendedor)]],TB_Ventas[[#This Row],[Descuento (Directo)]],TB_Ventas[[#This Row],[Descuento 
(Vendedor)]])</f>
        <v>0</v>
      </c>
      <c r="M37" s="97">
        <f>TB_Ventas[[#This Row],[Precio Unitario]]*TB_Ventas[[#This Row],[Cant.]]</f>
        <v>39.9</v>
      </c>
      <c r="N37" s="1" t="s">
        <v>136</v>
      </c>
    </row>
    <row r="38" spans="1:14">
      <c r="A38" s="10">
        <f>MONTH(TB_Ventas[[#This Row],[Fecha]])</f>
        <v>4</v>
      </c>
      <c r="B38" s="10" t="s">
        <v>162</v>
      </c>
      <c r="C38" s="9">
        <v>45029</v>
      </c>
      <c r="D38" s="10" t="s">
        <v>58</v>
      </c>
      <c r="E38" s="10" t="str">
        <f>_xlfn.XLOOKUP(TB_Ventas[[#This Row],[Código]],TB_Productos[Código],TB_Productos[Categoría])</f>
        <v>Accesorio</v>
      </c>
      <c r="F38" s="1">
        <v>3</v>
      </c>
      <c r="G38" s="98">
        <f>VLOOKUP(TB_Ventas[[#This Row],[Código]],Productos!$B$6:$F$66,5,0)</f>
        <v>349.9</v>
      </c>
      <c r="H38" s="1">
        <f>_xlfn.XMATCH(TB_Ventas[[#This Row],[Categoría]],Desc_CategorÍas,0)</f>
        <v>2</v>
      </c>
      <c r="I38" s="65">
        <f>VLOOKUP(TB_Ventas[[#This Row],[Cant.]],Desc_TabelaToda,TB_Ventas[[#This Row],[Índice]],TRUE)</f>
        <v>0.15</v>
      </c>
      <c r="J38" s="65" cm="1">
        <f t="array" ref="J38">INDEX(Desc_TabelaToda,MATCH(TB_Ventas[[#This Row],[Cant.]],Desc_Quantidades,1),MATCH(_xlfn.XLOOKUP(TB_Ventas[[#This Row],[Código]],TB_Productos[[#All],[Código]],TB_Productos[[#All],[Categoría]]),Desc_CategorÍas,0))</f>
        <v>0.15</v>
      </c>
      <c r="K38" s="65">
        <f>_xlfn.XLOOKUP(TB_Ventas[[#This Row],[Vendedor]],Vendedores!$A$5:$A$9,Vendedores!$D$5:$D$9)</f>
        <v>0.2</v>
      </c>
      <c r="L38" s="65">
        <f>IF(TB_Ventas[[#This Row],[Descuento (Directo)]]&lt;=TB_Ventas[[#This Row],[Descuento 
(Vendedor)]],TB_Ventas[[#This Row],[Descuento (Directo)]],TB_Ventas[[#This Row],[Descuento 
(Vendedor)]])</f>
        <v>0.15</v>
      </c>
      <c r="M38" s="97">
        <f>TB_Ventas[[#This Row],[Precio Unitario]]*TB_Ventas[[#This Row],[Cant.]]</f>
        <v>1049.6999999999998</v>
      </c>
      <c r="N38" s="1" t="s">
        <v>142</v>
      </c>
    </row>
    <row r="39" spans="1:14">
      <c r="A39" s="10">
        <f>MONTH(TB_Ventas[[#This Row],[Fecha]])</f>
        <v>4</v>
      </c>
      <c r="B39" s="10" t="s">
        <v>162</v>
      </c>
      <c r="C39" s="9">
        <v>45031</v>
      </c>
      <c r="D39" s="10" t="s">
        <v>121</v>
      </c>
      <c r="E39" s="10" t="str">
        <f>_xlfn.XLOOKUP(TB_Ventas[[#This Row],[Código]],TB_Productos[Código],TB_Productos[Categoría])</f>
        <v>Calzado</v>
      </c>
      <c r="F39" s="1">
        <v>4</v>
      </c>
      <c r="G39" s="98">
        <f>VLOOKUP(TB_Ventas[[#This Row],[Código]],Productos!$B$6:$F$66,5,0)</f>
        <v>89.9</v>
      </c>
      <c r="H39" s="1">
        <f>_xlfn.XMATCH(TB_Ventas[[#This Row],[Categoría]],Desc_CategorÍas,0)</f>
        <v>4</v>
      </c>
      <c r="I39" s="65">
        <f>VLOOKUP(TB_Ventas[[#This Row],[Cant.]],Desc_TabelaToda,TB_Ventas[[#This Row],[Índice]],TRUE)</f>
        <v>0.15</v>
      </c>
      <c r="J39" s="65" cm="1">
        <f t="array" ref="J39">INDEX(Desc_TabelaToda,MATCH(TB_Ventas[[#This Row],[Cant.]],Desc_Quantidades,1),MATCH(_xlfn.XLOOKUP(TB_Ventas[[#This Row],[Código]],TB_Productos[[#All],[Código]],TB_Productos[[#All],[Categoría]]),Desc_CategorÍas,0))</f>
        <v>0.15</v>
      </c>
      <c r="K39" s="65">
        <f>_xlfn.XLOOKUP(TB_Ventas[[#This Row],[Vendedor]],Vendedores!$A$5:$A$9,Vendedores!$D$5:$D$9)</f>
        <v>0.2</v>
      </c>
      <c r="L39" s="65">
        <f>IF(TB_Ventas[[#This Row],[Descuento (Directo)]]&lt;=TB_Ventas[[#This Row],[Descuento 
(Vendedor)]],TB_Ventas[[#This Row],[Descuento (Directo)]],TB_Ventas[[#This Row],[Descuento 
(Vendedor)]])</f>
        <v>0.15</v>
      </c>
      <c r="M39" s="97">
        <f>TB_Ventas[[#This Row],[Precio Unitario]]*TB_Ventas[[#This Row],[Cant.]]</f>
        <v>359.6</v>
      </c>
      <c r="N39" s="1" t="s">
        <v>133</v>
      </c>
    </row>
    <row r="40" spans="1:14">
      <c r="A40" s="10">
        <f>MONTH(TB_Ventas[[#This Row],[Fecha]])</f>
        <v>4</v>
      </c>
      <c r="B40" s="10" t="s">
        <v>162</v>
      </c>
      <c r="C40" s="9">
        <v>45038</v>
      </c>
      <c r="D40" s="10" t="s">
        <v>117</v>
      </c>
      <c r="E40" s="10" t="str">
        <f>_xlfn.XLOOKUP(TB_Ventas[[#This Row],[Código]],TB_Productos[Código],TB_Productos[Categoría])</f>
        <v>Calzado</v>
      </c>
      <c r="F40" s="1">
        <v>2</v>
      </c>
      <c r="G40" s="98">
        <f>VLOOKUP(TB_Ventas[[#This Row],[Código]],Productos!$B$6:$F$66,5,0)</f>
        <v>89.9</v>
      </c>
      <c r="H40" s="1">
        <f>_xlfn.XMATCH(TB_Ventas[[#This Row],[Categoría]],Desc_CategorÍas,0)</f>
        <v>4</v>
      </c>
      <c r="I40" s="65">
        <f>VLOOKUP(TB_Ventas[[#This Row],[Cant.]],Desc_TabelaToda,TB_Ventas[[#This Row],[Índice]],TRUE)</f>
        <v>0.1</v>
      </c>
      <c r="J40" s="65" cm="1">
        <f t="array" ref="J40">INDEX(Desc_TabelaToda,MATCH(TB_Ventas[[#This Row],[Cant.]],Desc_Quantidades,1),MATCH(_xlfn.XLOOKUP(TB_Ventas[[#This Row],[Código]],TB_Productos[[#All],[Código]],TB_Productos[[#All],[Categoría]]),Desc_CategorÍas,0))</f>
        <v>0.1</v>
      </c>
      <c r="K40" s="65">
        <f>_xlfn.XLOOKUP(TB_Ventas[[#This Row],[Vendedor]],Vendedores!$A$5:$A$9,Vendedores!$D$5:$D$9)</f>
        <v>0.2</v>
      </c>
      <c r="L40" s="65">
        <f>IF(TB_Ventas[[#This Row],[Descuento (Directo)]]&lt;=TB_Ventas[[#This Row],[Descuento 
(Vendedor)]],TB_Ventas[[#This Row],[Descuento (Directo)]],TB_Ventas[[#This Row],[Descuento 
(Vendedor)]])</f>
        <v>0.1</v>
      </c>
      <c r="M40" s="97">
        <f>TB_Ventas[[#This Row],[Precio Unitario]]*TB_Ventas[[#This Row],[Cant.]]</f>
        <v>179.8</v>
      </c>
      <c r="N40" s="1" t="s">
        <v>142</v>
      </c>
    </row>
    <row r="41" spans="1:14">
      <c r="A41" s="10">
        <f>MONTH(TB_Ventas[[#This Row],[Fecha]])</f>
        <v>4</v>
      </c>
      <c r="B41" s="10" t="s">
        <v>162</v>
      </c>
      <c r="C41" s="9">
        <v>45039</v>
      </c>
      <c r="D41" s="10" t="s">
        <v>9</v>
      </c>
      <c r="E41" s="10" t="str">
        <f>_xlfn.XLOOKUP(TB_Ventas[[#This Row],[Código]],TB_Productos[Código],TB_Productos[Categoría])</f>
        <v>Vestuario</v>
      </c>
      <c r="F41" s="1">
        <v>3</v>
      </c>
      <c r="G41" s="98">
        <f>VLOOKUP(TB_Ventas[[#This Row],[Código]],Productos!$B$6:$F$66,5,0)</f>
        <v>69.900000000000006</v>
      </c>
      <c r="H41" s="1">
        <f>_xlfn.XMATCH(TB_Ventas[[#This Row],[Categoría]],Desc_CategorÍas,0)</f>
        <v>3</v>
      </c>
      <c r="I41" s="65">
        <f>VLOOKUP(TB_Ventas[[#This Row],[Cant.]],Desc_TabelaToda,TB_Ventas[[#This Row],[Índice]],TRUE)</f>
        <v>0.2</v>
      </c>
      <c r="J41" s="65" cm="1">
        <f t="array" ref="J41">INDEX(Desc_TabelaToda,MATCH(TB_Ventas[[#This Row],[Cant.]],Desc_Quantidades,1),MATCH(_xlfn.XLOOKUP(TB_Ventas[[#This Row],[Código]],TB_Productos[[#All],[Código]],TB_Productos[[#All],[Categoría]]),Desc_CategorÍas,0))</f>
        <v>0.2</v>
      </c>
      <c r="K41" s="65">
        <f>_xlfn.XLOOKUP(TB_Ventas[[#This Row],[Vendedor]],Vendedores!$A$5:$A$9,Vendedores!$D$5:$D$9)</f>
        <v>0.2</v>
      </c>
      <c r="L41" s="65">
        <f>IF(TB_Ventas[[#This Row],[Descuento (Directo)]]&lt;=TB_Ventas[[#This Row],[Descuento 
(Vendedor)]],TB_Ventas[[#This Row],[Descuento (Directo)]],TB_Ventas[[#This Row],[Descuento 
(Vendedor)]])</f>
        <v>0.2</v>
      </c>
      <c r="M41" s="97">
        <f>TB_Ventas[[#This Row],[Precio Unitario]]*TB_Ventas[[#This Row],[Cant.]]</f>
        <v>209.70000000000002</v>
      </c>
      <c r="N41" s="1" t="s">
        <v>133</v>
      </c>
    </row>
    <row r="42" spans="1:14">
      <c r="A42" s="10">
        <f>MONTH(TB_Ventas[[#This Row],[Fecha]])</f>
        <v>4</v>
      </c>
      <c r="B42" s="10" t="s">
        <v>162</v>
      </c>
      <c r="C42" s="9">
        <v>45042</v>
      </c>
      <c r="D42" s="10" t="s">
        <v>13</v>
      </c>
      <c r="E42" s="10" t="str">
        <f>_xlfn.XLOOKUP(TB_Ventas[[#This Row],[Código]],TB_Productos[Código],TB_Productos[Categoría])</f>
        <v>Accesorio</v>
      </c>
      <c r="F42" s="1">
        <v>1</v>
      </c>
      <c r="G42" s="98">
        <f>VLOOKUP(TB_Ventas[[#This Row],[Código]],Productos!$B$6:$F$66,5,0)</f>
        <v>145</v>
      </c>
      <c r="H42" s="1">
        <f>_xlfn.XMATCH(TB_Ventas[[#This Row],[Categoría]],Desc_CategorÍas,0)</f>
        <v>2</v>
      </c>
      <c r="I42" s="65">
        <f>VLOOKUP(TB_Ventas[[#This Row],[Cant.]],Desc_TabelaToda,TB_Ventas[[#This Row],[Índice]],TRUE)</f>
        <v>0</v>
      </c>
      <c r="J42" s="65" cm="1">
        <f t="array" ref="J42">INDEX(Desc_TabelaToda,MATCH(TB_Ventas[[#This Row],[Cant.]],Desc_Quantidades,1),MATCH(_xlfn.XLOOKUP(TB_Ventas[[#This Row],[Código]],TB_Productos[[#All],[Código]],TB_Productos[[#All],[Categoría]]),Desc_CategorÍas,0))</f>
        <v>0</v>
      </c>
      <c r="K42" s="65">
        <f>_xlfn.XLOOKUP(TB_Ventas[[#This Row],[Vendedor]],Vendedores!$A$5:$A$9,Vendedores!$D$5:$D$9)</f>
        <v>0.15</v>
      </c>
      <c r="L42" s="65">
        <f>IF(TB_Ventas[[#This Row],[Descuento (Directo)]]&lt;=TB_Ventas[[#This Row],[Descuento 
(Vendedor)]],TB_Ventas[[#This Row],[Descuento (Directo)]],TB_Ventas[[#This Row],[Descuento 
(Vendedor)]])</f>
        <v>0</v>
      </c>
      <c r="M42" s="97">
        <f>TB_Ventas[[#This Row],[Precio Unitario]]*TB_Ventas[[#This Row],[Cant.]]</f>
        <v>145</v>
      </c>
      <c r="N42" s="1" t="s">
        <v>145</v>
      </c>
    </row>
    <row r="43" spans="1:14">
      <c r="A43" s="10">
        <f>MONTH(TB_Ventas[[#This Row],[Fecha]])</f>
        <v>4</v>
      </c>
      <c r="B43" s="10" t="s">
        <v>162</v>
      </c>
      <c r="C43" s="9">
        <v>45043</v>
      </c>
      <c r="D43" s="10" t="s">
        <v>28</v>
      </c>
      <c r="E43" s="10" t="str">
        <f>_xlfn.XLOOKUP(TB_Ventas[[#This Row],[Código]],TB_Productos[Código],TB_Productos[Categoría])</f>
        <v>Vestuario</v>
      </c>
      <c r="F43" s="1">
        <v>4</v>
      </c>
      <c r="G43" s="98">
        <f>VLOOKUP(TB_Ventas[[#This Row],[Código]],Productos!$B$6:$F$66,5,0)</f>
        <v>46.9</v>
      </c>
      <c r="H43" s="1">
        <f>_xlfn.XMATCH(TB_Ventas[[#This Row],[Categoría]],Desc_CategorÍas,0)</f>
        <v>3</v>
      </c>
      <c r="I43" s="65">
        <f>VLOOKUP(TB_Ventas[[#This Row],[Cant.]],Desc_TabelaToda,TB_Ventas[[#This Row],[Índice]],TRUE)</f>
        <v>0.2</v>
      </c>
      <c r="J43" s="65" cm="1">
        <f t="array" ref="J43">INDEX(Desc_TabelaToda,MATCH(TB_Ventas[[#This Row],[Cant.]],Desc_Quantidades,1),MATCH(_xlfn.XLOOKUP(TB_Ventas[[#This Row],[Código]],TB_Productos[[#All],[Código]],TB_Productos[[#All],[Categoría]]),Desc_CategorÍas,0))</f>
        <v>0.2</v>
      </c>
      <c r="K43" s="65">
        <f>_xlfn.XLOOKUP(TB_Ventas[[#This Row],[Vendedor]],Vendedores!$A$5:$A$9,Vendedores!$D$5:$D$9)</f>
        <v>0.2</v>
      </c>
      <c r="L43" s="65">
        <f>IF(TB_Ventas[[#This Row],[Descuento (Directo)]]&lt;=TB_Ventas[[#This Row],[Descuento 
(Vendedor)]],TB_Ventas[[#This Row],[Descuento (Directo)]],TB_Ventas[[#This Row],[Descuento 
(Vendedor)]])</f>
        <v>0.2</v>
      </c>
      <c r="M43" s="97">
        <f>TB_Ventas[[#This Row],[Precio Unitario]]*TB_Ventas[[#This Row],[Cant.]]</f>
        <v>187.6</v>
      </c>
      <c r="N43" s="1" t="s">
        <v>133</v>
      </c>
    </row>
    <row r="44" spans="1:14">
      <c r="A44" s="10">
        <f>MONTH(TB_Ventas[[#This Row],[Fecha]])</f>
        <v>5</v>
      </c>
      <c r="B44" s="10" t="s">
        <v>163</v>
      </c>
      <c r="C44" s="9">
        <v>45054</v>
      </c>
      <c r="D44" s="10" t="s">
        <v>93</v>
      </c>
      <c r="E44" s="10" t="str">
        <f>_xlfn.XLOOKUP(TB_Ventas[[#This Row],[Código]],TB_Productos[Código],TB_Productos[Categoría])</f>
        <v>Vestuario</v>
      </c>
      <c r="F44" s="1">
        <v>2</v>
      </c>
      <c r="G44" s="98">
        <f>VLOOKUP(TB_Ventas[[#This Row],[Código]],Productos!$B$6:$F$66,5,0)</f>
        <v>72.5</v>
      </c>
      <c r="H44" s="1">
        <f>_xlfn.XMATCH(TB_Ventas[[#This Row],[Categoría]],Desc_CategorÍas,0)</f>
        <v>3</v>
      </c>
      <c r="I44" s="65">
        <f>VLOOKUP(TB_Ventas[[#This Row],[Cant.]],Desc_TabelaToda,TB_Ventas[[#This Row],[Índice]],TRUE)</f>
        <v>0.15</v>
      </c>
      <c r="J44" s="65" cm="1">
        <f t="array" ref="J44">INDEX(Desc_TabelaToda,MATCH(TB_Ventas[[#This Row],[Cant.]],Desc_Quantidades,1),MATCH(_xlfn.XLOOKUP(TB_Ventas[[#This Row],[Código]],TB_Productos[[#All],[Código]],TB_Productos[[#All],[Categoría]]),Desc_CategorÍas,0))</f>
        <v>0.15</v>
      </c>
      <c r="K44" s="65">
        <f>_xlfn.XLOOKUP(TB_Ventas[[#This Row],[Vendedor]],Vendedores!$A$5:$A$9,Vendedores!$D$5:$D$9)</f>
        <v>0.15</v>
      </c>
      <c r="L44" s="65">
        <f>IF(TB_Ventas[[#This Row],[Descuento (Directo)]]&lt;=TB_Ventas[[#This Row],[Descuento 
(Vendedor)]],TB_Ventas[[#This Row],[Descuento (Directo)]],TB_Ventas[[#This Row],[Descuento 
(Vendedor)]])</f>
        <v>0.15</v>
      </c>
      <c r="M44" s="97">
        <f>TB_Ventas[[#This Row],[Precio Unitario]]*TB_Ventas[[#This Row],[Cant.]]</f>
        <v>145</v>
      </c>
      <c r="N44" s="1" t="s">
        <v>145</v>
      </c>
    </row>
    <row r="45" spans="1:14">
      <c r="A45" s="10">
        <f>MONTH(TB_Ventas[[#This Row],[Fecha]])</f>
        <v>5</v>
      </c>
      <c r="B45" s="10" t="s">
        <v>163</v>
      </c>
      <c r="C45" s="9">
        <v>45055</v>
      </c>
      <c r="D45" s="10" t="s">
        <v>81</v>
      </c>
      <c r="E45" s="10" t="str">
        <f>_xlfn.XLOOKUP(TB_Ventas[[#This Row],[Código]],TB_Productos[Código],TB_Productos[Categoría])</f>
        <v>Accesorio</v>
      </c>
      <c r="F45" s="1">
        <v>3</v>
      </c>
      <c r="G45" s="98">
        <f>VLOOKUP(TB_Ventas[[#This Row],[Código]],Productos!$B$6:$F$66,5,0)</f>
        <v>140</v>
      </c>
      <c r="H45" s="1">
        <f>_xlfn.XMATCH(TB_Ventas[[#This Row],[Categoría]],Desc_CategorÍas,0)</f>
        <v>2</v>
      </c>
      <c r="I45" s="65">
        <f>VLOOKUP(TB_Ventas[[#This Row],[Cant.]],Desc_TabelaToda,TB_Ventas[[#This Row],[Índice]],TRUE)</f>
        <v>0.15</v>
      </c>
      <c r="J45" s="65" cm="1">
        <f t="array" ref="J45">INDEX(Desc_TabelaToda,MATCH(TB_Ventas[[#This Row],[Cant.]],Desc_Quantidades,1),MATCH(_xlfn.XLOOKUP(TB_Ventas[[#This Row],[Código]],TB_Productos[[#All],[Código]],TB_Productos[[#All],[Categoría]]),Desc_CategorÍas,0))</f>
        <v>0.15</v>
      </c>
      <c r="K45" s="65">
        <f>_xlfn.XLOOKUP(TB_Ventas[[#This Row],[Vendedor]],Vendedores!$A$5:$A$9,Vendedores!$D$5:$D$9)</f>
        <v>0.2</v>
      </c>
      <c r="L45" s="65">
        <f>IF(TB_Ventas[[#This Row],[Descuento (Directo)]]&lt;=TB_Ventas[[#This Row],[Descuento 
(Vendedor)]],TB_Ventas[[#This Row],[Descuento (Directo)]],TB_Ventas[[#This Row],[Descuento 
(Vendedor)]])</f>
        <v>0.15</v>
      </c>
      <c r="M45" s="97">
        <f>TB_Ventas[[#This Row],[Precio Unitario]]*TB_Ventas[[#This Row],[Cant.]]</f>
        <v>420</v>
      </c>
      <c r="N45" s="1" t="s">
        <v>142</v>
      </c>
    </row>
    <row r="46" spans="1:14">
      <c r="A46" s="10">
        <f>MONTH(TB_Ventas[[#This Row],[Fecha]])</f>
        <v>5</v>
      </c>
      <c r="B46" s="10" t="s">
        <v>163</v>
      </c>
      <c r="C46" s="9">
        <v>45056</v>
      </c>
      <c r="D46" s="10" t="s">
        <v>77</v>
      </c>
      <c r="E46" s="10" t="str">
        <f>_xlfn.XLOOKUP(TB_Ventas[[#This Row],[Código]],TB_Productos[Código],TB_Productos[Categoría])</f>
        <v>Accesorio</v>
      </c>
      <c r="F46" s="1">
        <v>1</v>
      </c>
      <c r="G46" s="98">
        <f>VLOOKUP(TB_Ventas[[#This Row],[Código]],Productos!$B$6:$F$66,5,0)</f>
        <v>91.4</v>
      </c>
      <c r="H46" s="1">
        <f>_xlfn.XMATCH(TB_Ventas[[#This Row],[Categoría]],Desc_CategorÍas,0)</f>
        <v>2</v>
      </c>
      <c r="I46" s="65">
        <f>VLOOKUP(TB_Ventas[[#This Row],[Cant.]],Desc_TabelaToda,TB_Ventas[[#This Row],[Índice]],TRUE)</f>
        <v>0</v>
      </c>
      <c r="J46" s="65" cm="1">
        <f t="array" ref="J46">INDEX(Desc_TabelaToda,MATCH(TB_Ventas[[#This Row],[Cant.]],Desc_Quantidades,1),MATCH(_xlfn.XLOOKUP(TB_Ventas[[#This Row],[Código]],TB_Productos[[#All],[Código]],TB_Productos[[#All],[Categoría]]),Desc_CategorÍas,0))</f>
        <v>0</v>
      </c>
      <c r="K46" s="65">
        <f>_xlfn.XLOOKUP(TB_Ventas[[#This Row],[Vendedor]],Vendedores!$A$5:$A$9,Vendedores!$D$5:$D$9)</f>
        <v>0.15</v>
      </c>
      <c r="L46" s="65">
        <f>IF(TB_Ventas[[#This Row],[Descuento (Directo)]]&lt;=TB_Ventas[[#This Row],[Descuento 
(Vendedor)]],TB_Ventas[[#This Row],[Descuento (Directo)]],TB_Ventas[[#This Row],[Descuento 
(Vendedor)]])</f>
        <v>0</v>
      </c>
      <c r="M46" s="97">
        <f>TB_Ventas[[#This Row],[Precio Unitario]]*TB_Ventas[[#This Row],[Cant.]]</f>
        <v>91.4</v>
      </c>
      <c r="N46" s="1" t="s">
        <v>136</v>
      </c>
    </row>
    <row r="47" spans="1:14">
      <c r="A47" s="10">
        <f>MONTH(TB_Ventas[[#This Row],[Fecha]])</f>
        <v>5</v>
      </c>
      <c r="B47" s="10" t="s">
        <v>163</v>
      </c>
      <c r="C47" s="9">
        <v>45057</v>
      </c>
      <c r="D47" s="10" t="s">
        <v>58</v>
      </c>
      <c r="E47" s="10" t="str">
        <f>_xlfn.XLOOKUP(TB_Ventas[[#This Row],[Código]],TB_Productos[Código],TB_Productos[Categoría])</f>
        <v>Accesorio</v>
      </c>
      <c r="F47" s="1">
        <v>2</v>
      </c>
      <c r="G47" s="98">
        <f>VLOOKUP(TB_Ventas[[#This Row],[Código]],Productos!$B$6:$F$66,5,0)</f>
        <v>349.9</v>
      </c>
      <c r="H47" s="1">
        <f>_xlfn.XMATCH(TB_Ventas[[#This Row],[Categoría]],Desc_CategorÍas,0)</f>
        <v>2</v>
      </c>
      <c r="I47" s="65">
        <f>VLOOKUP(TB_Ventas[[#This Row],[Cant.]],Desc_TabelaToda,TB_Ventas[[#This Row],[Índice]],TRUE)</f>
        <v>0.05</v>
      </c>
      <c r="J47" s="65" cm="1">
        <f t="array" ref="J47">INDEX(Desc_TabelaToda,MATCH(TB_Ventas[[#This Row],[Cant.]],Desc_Quantidades,1),MATCH(_xlfn.XLOOKUP(TB_Ventas[[#This Row],[Código]],TB_Productos[[#All],[Código]],TB_Productos[[#All],[Categoría]]),Desc_CategorÍas,0))</f>
        <v>0.05</v>
      </c>
      <c r="K47" s="65">
        <f>_xlfn.XLOOKUP(TB_Ventas[[#This Row],[Vendedor]],Vendedores!$A$5:$A$9,Vendedores!$D$5:$D$9)</f>
        <v>0.2</v>
      </c>
      <c r="L47" s="65">
        <f>IF(TB_Ventas[[#This Row],[Descuento (Directo)]]&lt;=TB_Ventas[[#This Row],[Descuento 
(Vendedor)]],TB_Ventas[[#This Row],[Descuento (Directo)]],TB_Ventas[[#This Row],[Descuento 
(Vendedor)]])</f>
        <v>0.05</v>
      </c>
      <c r="M47" s="97">
        <f>TB_Ventas[[#This Row],[Precio Unitario]]*TB_Ventas[[#This Row],[Cant.]]</f>
        <v>699.8</v>
      </c>
      <c r="N47" s="1" t="s">
        <v>142</v>
      </c>
    </row>
    <row r="48" spans="1:14">
      <c r="A48" s="10">
        <f>MONTH(TB_Ventas[[#This Row],[Fecha]])</f>
        <v>5</v>
      </c>
      <c r="B48" s="10" t="s">
        <v>163</v>
      </c>
      <c r="C48" s="9">
        <v>45058</v>
      </c>
      <c r="D48" s="10" t="s">
        <v>6</v>
      </c>
      <c r="E48" s="10" t="str">
        <f>_xlfn.XLOOKUP(TB_Ventas[[#This Row],[Código]],TB_Productos[Código],TB_Productos[Categoría])</f>
        <v>Vestuario</v>
      </c>
      <c r="F48" s="1">
        <v>3</v>
      </c>
      <c r="G48" s="98">
        <f>VLOOKUP(TB_Ventas[[#This Row],[Código]],Productos!$B$6:$F$66,5,0)</f>
        <v>65.900000000000006</v>
      </c>
      <c r="H48" s="1">
        <f>_xlfn.XMATCH(TB_Ventas[[#This Row],[Categoría]],Desc_CategorÍas,0)</f>
        <v>3</v>
      </c>
      <c r="I48" s="65">
        <f>VLOOKUP(TB_Ventas[[#This Row],[Cant.]],Desc_TabelaToda,TB_Ventas[[#This Row],[Índice]],TRUE)</f>
        <v>0.2</v>
      </c>
      <c r="J48" s="65" cm="1">
        <f t="array" ref="J48">INDEX(Desc_TabelaToda,MATCH(TB_Ventas[[#This Row],[Cant.]],Desc_Quantidades,1),MATCH(_xlfn.XLOOKUP(TB_Ventas[[#This Row],[Código]],TB_Productos[[#All],[Código]],TB_Productos[[#All],[Categoría]]),Desc_CategorÍas,0))</f>
        <v>0.2</v>
      </c>
      <c r="K48" s="65">
        <f>_xlfn.XLOOKUP(TB_Ventas[[#This Row],[Vendedor]],Vendedores!$A$5:$A$9,Vendedores!$D$5:$D$9)</f>
        <v>0.15</v>
      </c>
      <c r="L48" s="65">
        <f>IF(TB_Ventas[[#This Row],[Descuento (Directo)]]&lt;=TB_Ventas[[#This Row],[Descuento 
(Vendedor)]],TB_Ventas[[#This Row],[Descuento (Directo)]],TB_Ventas[[#This Row],[Descuento 
(Vendedor)]])</f>
        <v>0.15</v>
      </c>
      <c r="M48" s="97">
        <f>TB_Ventas[[#This Row],[Precio Unitario]]*TB_Ventas[[#This Row],[Cant.]]</f>
        <v>197.70000000000002</v>
      </c>
      <c r="N48" s="1" t="s">
        <v>136</v>
      </c>
    </row>
    <row r="49" spans="1:14">
      <c r="A49" s="10">
        <f>MONTH(TB_Ventas[[#This Row],[Fecha]])</f>
        <v>5</v>
      </c>
      <c r="B49" s="10" t="s">
        <v>163</v>
      </c>
      <c r="C49" s="9">
        <v>45061</v>
      </c>
      <c r="D49" s="10" t="s">
        <v>77</v>
      </c>
      <c r="E49" s="10" t="str">
        <f>_xlfn.XLOOKUP(TB_Ventas[[#This Row],[Código]],TB_Productos[Código],TB_Productos[Categoría])</f>
        <v>Accesorio</v>
      </c>
      <c r="F49" s="1">
        <v>2</v>
      </c>
      <c r="G49" s="98">
        <f>VLOOKUP(TB_Ventas[[#This Row],[Código]],Productos!$B$6:$F$66,5,0)</f>
        <v>91.4</v>
      </c>
      <c r="H49" s="1">
        <f>_xlfn.XMATCH(TB_Ventas[[#This Row],[Categoría]],Desc_CategorÍas,0)</f>
        <v>2</v>
      </c>
      <c r="I49" s="65">
        <f>VLOOKUP(TB_Ventas[[#This Row],[Cant.]],Desc_TabelaToda,TB_Ventas[[#This Row],[Índice]],TRUE)</f>
        <v>0.05</v>
      </c>
      <c r="J49" s="65" cm="1">
        <f t="array" ref="J49">INDEX(Desc_TabelaToda,MATCH(TB_Ventas[[#This Row],[Cant.]],Desc_Quantidades,1),MATCH(_xlfn.XLOOKUP(TB_Ventas[[#This Row],[Código]],TB_Productos[[#All],[Código]],TB_Productos[[#All],[Categoría]]),Desc_CategorÍas,0))</f>
        <v>0.05</v>
      </c>
      <c r="K49" s="65">
        <f>_xlfn.XLOOKUP(TB_Ventas[[#This Row],[Vendedor]],Vendedores!$A$5:$A$9,Vendedores!$D$5:$D$9)</f>
        <v>0.2</v>
      </c>
      <c r="L49" s="65">
        <f>IF(TB_Ventas[[#This Row],[Descuento (Directo)]]&lt;=TB_Ventas[[#This Row],[Descuento 
(Vendedor)]],TB_Ventas[[#This Row],[Descuento (Directo)]],TB_Ventas[[#This Row],[Descuento 
(Vendedor)]])</f>
        <v>0.05</v>
      </c>
      <c r="M49" s="97">
        <f>TB_Ventas[[#This Row],[Precio Unitario]]*TB_Ventas[[#This Row],[Cant.]]</f>
        <v>182.8</v>
      </c>
      <c r="N49" s="1" t="s">
        <v>133</v>
      </c>
    </row>
    <row r="50" spans="1:14">
      <c r="A50" s="10">
        <f>MONTH(TB_Ventas[[#This Row],[Fecha]])</f>
        <v>5</v>
      </c>
      <c r="B50" s="10" t="s">
        <v>163</v>
      </c>
      <c r="C50" s="9">
        <v>45064</v>
      </c>
      <c r="D50" s="10" t="s">
        <v>16</v>
      </c>
      <c r="E50" s="10" t="str">
        <f>_xlfn.XLOOKUP(TB_Ventas[[#This Row],[Código]],TB_Productos[Código],TB_Productos[Categoría])</f>
        <v>Accesorio</v>
      </c>
      <c r="F50" s="1">
        <v>4</v>
      </c>
      <c r="G50" s="98">
        <f>VLOOKUP(TB_Ventas[[#This Row],[Código]],Productos!$B$6:$F$66,5,0)</f>
        <v>259.89999999999998</v>
      </c>
      <c r="H50" s="1">
        <f>_xlfn.XMATCH(TB_Ventas[[#This Row],[Categoría]],Desc_CategorÍas,0)</f>
        <v>2</v>
      </c>
      <c r="I50" s="65">
        <f>VLOOKUP(TB_Ventas[[#This Row],[Cant.]],Desc_TabelaToda,TB_Ventas[[#This Row],[Índice]],TRUE)</f>
        <v>0.15</v>
      </c>
      <c r="J50" s="65" cm="1">
        <f t="array" ref="J50">INDEX(Desc_TabelaToda,MATCH(TB_Ventas[[#This Row],[Cant.]],Desc_Quantidades,1),MATCH(_xlfn.XLOOKUP(TB_Ventas[[#This Row],[Código]],TB_Productos[[#All],[Código]],TB_Productos[[#All],[Categoría]]),Desc_CategorÍas,0))</f>
        <v>0.15</v>
      </c>
      <c r="K50" s="65">
        <f>_xlfn.XLOOKUP(TB_Ventas[[#This Row],[Vendedor]],Vendedores!$A$5:$A$9,Vendedores!$D$5:$D$9)</f>
        <v>0.15</v>
      </c>
      <c r="L50" s="65">
        <f>IF(TB_Ventas[[#This Row],[Descuento (Directo)]]&lt;=TB_Ventas[[#This Row],[Descuento 
(Vendedor)]],TB_Ventas[[#This Row],[Descuento (Directo)]],TB_Ventas[[#This Row],[Descuento 
(Vendedor)]])</f>
        <v>0.15</v>
      </c>
      <c r="M50" s="97">
        <f>TB_Ventas[[#This Row],[Precio Unitario]]*TB_Ventas[[#This Row],[Cant.]]</f>
        <v>1039.5999999999999</v>
      </c>
      <c r="N50" s="1" t="s">
        <v>136</v>
      </c>
    </row>
    <row r="51" spans="1:14">
      <c r="A51" s="10">
        <f>MONTH(TB_Ventas[[#This Row],[Fecha]])</f>
        <v>6</v>
      </c>
      <c r="B51" s="10" t="s">
        <v>164</v>
      </c>
      <c r="C51" s="9">
        <v>45084</v>
      </c>
      <c r="D51" s="10" t="s">
        <v>13</v>
      </c>
      <c r="E51" s="10" t="str">
        <f>_xlfn.XLOOKUP(TB_Ventas[[#This Row],[Código]],TB_Productos[Código],TB_Productos[Categoría])</f>
        <v>Accesorio</v>
      </c>
      <c r="F51" s="1">
        <v>3</v>
      </c>
      <c r="G51" s="98">
        <f>VLOOKUP(TB_Ventas[[#This Row],[Código]],Productos!$B$6:$F$66,5,0)</f>
        <v>145</v>
      </c>
      <c r="H51" s="1">
        <f>_xlfn.XMATCH(TB_Ventas[[#This Row],[Categoría]],Desc_CategorÍas,0)</f>
        <v>2</v>
      </c>
      <c r="I51" s="65">
        <f>VLOOKUP(TB_Ventas[[#This Row],[Cant.]],Desc_TabelaToda,TB_Ventas[[#This Row],[Índice]],TRUE)</f>
        <v>0.15</v>
      </c>
      <c r="J51" s="65" cm="1">
        <f t="array" ref="J51">INDEX(Desc_TabelaToda,MATCH(TB_Ventas[[#This Row],[Cant.]],Desc_Quantidades,1),MATCH(_xlfn.XLOOKUP(TB_Ventas[[#This Row],[Código]],TB_Productos[[#All],[Código]],TB_Productos[[#All],[Categoría]]),Desc_CategorÍas,0))</f>
        <v>0.15</v>
      </c>
      <c r="K51" s="65">
        <f>_xlfn.XLOOKUP(TB_Ventas[[#This Row],[Vendedor]],Vendedores!$A$5:$A$9,Vendedores!$D$5:$D$9)</f>
        <v>0.2</v>
      </c>
      <c r="L51" s="65">
        <f>IF(TB_Ventas[[#This Row],[Descuento (Directo)]]&lt;=TB_Ventas[[#This Row],[Descuento 
(Vendedor)]],TB_Ventas[[#This Row],[Descuento (Directo)]],TB_Ventas[[#This Row],[Descuento 
(Vendedor)]])</f>
        <v>0.15</v>
      </c>
      <c r="M51" s="97">
        <f>TB_Ventas[[#This Row],[Precio Unitario]]*TB_Ventas[[#This Row],[Cant.]]</f>
        <v>435</v>
      </c>
      <c r="N51" s="1" t="s">
        <v>133</v>
      </c>
    </row>
    <row r="52" spans="1:14">
      <c r="A52" s="10">
        <f>MONTH(TB_Ventas[[#This Row],[Fecha]])</f>
        <v>6</v>
      </c>
      <c r="B52" s="10" t="s">
        <v>164</v>
      </c>
      <c r="C52" s="9">
        <v>45084</v>
      </c>
      <c r="D52" s="10" t="s">
        <v>83</v>
      </c>
      <c r="E52" s="10" t="str">
        <f>_xlfn.XLOOKUP(TB_Ventas[[#This Row],[Código]],TB_Productos[Código],TB_Productos[Categoría])</f>
        <v>Accesorio</v>
      </c>
      <c r="F52" s="1">
        <v>2</v>
      </c>
      <c r="G52" s="98">
        <f>VLOOKUP(TB_Ventas[[#This Row],[Código]],Productos!$B$6:$F$66,5,0)</f>
        <v>142.9</v>
      </c>
      <c r="H52" s="1">
        <f>_xlfn.XMATCH(TB_Ventas[[#This Row],[Categoría]],Desc_CategorÍas,0)</f>
        <v>2</v>
      </c>
      <c r="I52" s="65">
        <f>VLOOKUP(TB_Ventas[[#This Row],[Cant.]],Desc_TabelaToda,TB_Ventas[[#This Row],[Índice]],TRUE)</f>
        <v>0.05</v>
      </c>
      <c r="J52" s="65" cm="1">
        <f t="array" ref="J52">INDEX(Desc_TabelaToda,MATCH(TB_Ventas[[#This Row],[Cant.]],Desc_Quantidades,1),MATCH(_xlfn.XLOOKUP(TB_Ventas[[#This Row],[Código]],TB_Productos[[#All],[Código]],TB_Productos[[#All],[Categoría]]),Desc_CategorÍas,0))</f>
        <v>0.05</v>
      </c>
      <c r="K52" s="65">
        <f>_xlfn.XLOOKUP(TB_Ventas[[#This Row],[Vendedor]],Vendedores!$A$5:$A$9,Vendedores!$D$5:$D$9)</f>
        <v>0.1</v>
      </c>
      <c r="L52" s="65">
        <f>IF(TB_Ventas[[#This Row],[Descuento (Directo)]]&lt;=TB_Ventas[[#This Row],[Descuento 
(Vendedor)]],TB_Ventas[[#This Row],[Descuento (Directo)]],TB_Ventas[[#This Row],[Descuento 
(Vendedor)]])</f>
        <v>0.05</v>
      </c>
      <c r="M52" s="97">
        <f>TB_Ventas[[#This Row],[Precio Unitario]]*TB_Ventas[[#This Row],[Cant.]]</f>
        <v>285.8</v>
      </c>
      <c r="N52" s="1" t="s">
        <v>139</v>
      </c>
    </row>
    <row r="53" spans="1:14">
      <c r="A53" s="10">
        <f>MONTH(TB_Ventas[[#This Row],[Fecha]])</f>
        <v>6</v>
      </c>
      <c r="B53" s="10" t="s">
        <v>164</v>
      </c>
      <c r="C53" s="9">
        <v>45086</v>
      </c>
      <c r="D53" s="10" t="s">
        <v>125</v>
      </c>
      <c r="E53" s="10" t="str">
        <f>_xlfn.XLOOKUP(TB_Ventas[[#This Row],[Código]],TB_Productos[Código],TB_Productos[Categoría])</f>
        <v>Vestuario</v>
      </c>
      <c r="F53" s="1">
        <v>2</v>
      </c>
      <c r="G53" s="98">
        <f>VLOOKUP(TB_Ventas[[#This Row],[Código]],Productos!$B$6:$F$66,5,0)</f>
        <v>180</v>
      </c>
      <c r="H53" s="1">
        <f>_xlfn.XMATCH(TB_Ventas[[#This Row],[Categoría]],Desc_CategorÍas,0)</f>
        <v>3</v>
      </c>
      <c r="I53" s="65">
        <f>VLOOKUP(TB_Ventas[[#This Row],[Cant.]],Desc_TabelaToda,TB_Ventas[[#This Row],[Índice]],TRUE)</f>
        <v>0.15</v>
      </c>
      <c r="J53" s="65" cm="1">
        <f t="array" ref="J53">INDEX(Desc_TabelaToda,MATCH(TB_Ventas[[#This Row],[Cant.]],Desc_Quantidades,1),MATCH(_xlfn.XLOOKUP(TB_Ventas[[#This Row],[Código]],TB_Productos[[#All],[Código]],TB_Productos[[#All],[Categoría]]),Desc_CategorÍas,0))</f>
        <v>0.15</v>
      </c>
      <c r="K53" s="65">
        <f>_xlfn.XLOOKUP(TB_Ventas[[#This Row],[Vendedor]],Vendedores!$A$5:$A$9,Vendedores!$D$5:$D$9)</f>
        <v>0.2</v>
      </c>
      <c r="L53" s="65">
        <f>IF(TB_Ventas[[#This Row],[Descuento (Directo)]]&lt;=TB_Ventas[[#This Row],[Descuento 
(Vendedor)]],TB_Ventas[[#This Row],[Descuento (Directo)]],TB_Ventas[[#This Row],[Descuento 
(Vendedor)]])</f>
        <v>0.15</v>
      </c>
      <c r="M53" s="97">
        <f>TB_Ventas[[#This Row],[Precio Unitario]]*TB_Ventas[[#This Row],[Cant.]]</f>
        <v>360</v>
      </c>
      <c r="N53" s="1" t="s">
        <v>133</v>
      </c>
    </row>
    <row r="54" spans="1:14">
      <c r="A54" s="10">
        <f>MONTH(TB_Ventas[[#This Row],[Fecha]])</f>
        <v>6</v>
      </c>
      <c r="B54" s="10" t="s">
        <v>164</v>
      </c>
      <c r="C54" s="9">
        <v>45086</v>
      </c>
      <c r="D54" s="10" t="s">
        <v>36</v>
      </c>
      <c r="E54" s="10" t="str">
        <f>_xlfn.XLOOKUP(TB_Ventas[[#This Row],[Código]],TB_Productos[Código],TB_Productos[Categoría])</f>
        <v>Vestuario</v>
      </c>
      <c r="F54" s="1">
        <v>2</v>
      </c>
      <c r="G54" s="98">
        <f>VLOOKUP(TB_Ventas[[#This Row],[Código]],Productos!$B$6:$F$66,5,0)</f>
        <v>42.5</v>
      </c>
      <c r="H54" s="1">
        <f>_xlfn.XMATCH(TB_Ventas[[#This Row],[Categoría]],Desc_CategorÍas,0)</f>
        <v>3</v>
      </c>
      <c r="I54" s="65">
        <f>VLOOKUP(TB_Ventas[[#This Row],[Cant.]],Desc_TabelaToda,TB_Ventas[[#This Row],[Índice]],TRUE)</f>
        <v>0.15</v>
      </c>
      <c r="J54" s="65" cm="1">
        <f t="array" ref="J54">INDEX(Desc_TabelaToda,MATCH(TB_Ventas[[#This Row],[Cant.]],Desc_Quantidades,1),MATCH(_xlfn.XLOOKUP(TB_Ventas[[#This Row],[Código]],TB_Productos[[#All],[Código]],TB_Productos[[#All],[Categoría]]),Desc_CategorÍas,0))</f>
        <v>0.15</v>
      </c>
      <c r="K54" s="65">
        <f>_xlfn.XLOOKUP(TB_Ventas[[#This Row],[Vendedor]],Vendedores!$A$5:$A$9,Vendedores!$D$5:$D$9)</f>
        <v>0.1</v>
      </c>
      <c r="L54" s="65">
        <f>IF(TB_Ventas[[#This Row],[Descuento (Directo)]]&lt;=TB_Ventas[[#This Row],[Descuento 
(Vendedor)]],TB_Ventas[[#This Row],[Descuento (Directo)]],TB_Ventas[[#This Row],[Descuento 
(Vendedor)]])</f>
        <v>0.1</v>
      </c>
      <c r="M54" s="97">
        <f>TB_Ventas[[#This Row],[Precio Unitario]]*TB_Ventas[[#This Row],[Cant.]]</f>
        <v>85</v>
      </c>
      <c r="N54" s="1" t="s">
        <v>139</v>
      </c>
    </row>
    <row r="55" spans="1:14">
      <c r="A55" s="10">
        <f>MONTH(TB_Ventas[[#This Row],[Fecha]])</f>
        <v>6</v>
      </c>
      <c r="B55" s="10" t="s">
        <v>164</v>
      </c>
      <c r="C55" s="9">
        <v>45088</v>
      </c>
      <c r="D55" s="10" t="s">
        <v>6</v>
      </c>
      <c r="E55" s="10" t="str">
        <f>_xlfn.XLOOKUP(TB_Ventas[[#This Row],[Código]],TB_Productos[Código],TB_Productos[Categoría])</f>
        <v>Vestuario</v>
      </c>
      <c r="F55" s="1">
        <v>1</v>
      </c>
      <c r="G55" s="98">
        <f>VLOOKUP(TB_Ventas[[#This Row],[Código]],Productos!$B$6:$F$66,5,0)</f>
        <v>65.900000000000006</v>
      </c>
      <c r="H55" s="1">
        <f>_xlfn.XMATCH(TB_Ventas[[#This Row],[Categoría]],Desc_CategorÍas,0)</f>
        <v>3</v>
      </c>
      <c r="I55" s="65">
        <f>VLOOKUP(TB_Ventas[[#This Row],[Cant.]],Desc_TabelaToda,TB_Ventas[[#This Row],[Índice]],TRUE)</f>
        <v>0.1</v>
      </c>
      <c r="J55" s="65" cm="1">
        <f t="array" ref="J55">INDEX(Desc_TabelaToda,MATCH(TB_Ventas[[#This Row],[Cant.]],Desc_Quantidades,1),MATCH(_xlfn.XLOOKUP(TB_Ventas[[#This Row],[Código]],TB_Productos[[#All],[Código]],TB_Productos[[#All],[Categoría]]),Desc_CategorÍas,0))</f>
        <v>0.1</v>
      </c>
      <c r="K55" s="65">
        <f>_xlfn.XLOOKUP(TB_Ventas[[#This Row],[Vendedor]],Vendedores!$A$5:$A$9,Vendedores!$D$5:$D$9)</f>
        <v>0.15</v>
      </c>
      <c r="L55" s="65">
        <f>IF(TB_Ventas[[#This Row],[Descuento (Directo)]]&lt;=TB_Ventas[[#This Row],[Descuento 
(Vendedor)]],TB_Ventas[[#This Row],[Descuento (Directo)]],TB_Ventas[[#This Row],[Descuento 
(Vendedor)]])</f>
        <v>0.1</v>
      </c>
      <c r="M55" s="97">
        <f>TB_Ventas[[#This Row],[Precio Unitario]]*TB_Ventas[[#This Row],[Cant.]]</f>
        <v>65.900000000000006</v>
      </c>
      <c r="N55" s="1" t="s">
        <v>136</v>
      </c>
    </row>
    <row r="56" spans="1:14">
      <c r="A56" s="10">
        <f>MONTH(TB_Ventas[[#This Row],[Fecha]])</f>
        <v>6</v>
      </c>
      <c r="B56" s="10" t="s">
        <v>164</v>
      </c>
      <c r="C56" s="9">
        <v>45090</v>
      </c>
      <c r="D56" s="10" t="s">
        <v>123</v>
      </c>
      <c r="E56" s="10" t="str">
        <f>_xlfn.XLOOKUP(TB_Ventas[[#This Row],[Código]],TB_Productos[Código],TB_Productos[Categoría])</f>
        <v>Vestuario</v>
      </c>
      <c r="F56" s="1">
        <v>1</v>
      </c>
      <c r="G56" s="98">
        <f>VLOOKUP(TB_Ventas[[#This Row],[Código]],Productos!$B$6:$F$66,5,0)</f>
        <v>180</v>
      </c>
      <c r="H56" s="1">
        <f>_xlfn.XMATCH(TB_Ventas[[#This Row],[Categoría]],Desc_CategorÍas,0)</f>
        <v>3</v>
      </c>
      <c r="I56" s="65">
        <f>VLOOKUP(TB_Ventas[[#This Row],[Cant.]],Desc_TabelaToda,TB_Ventas[[#This Row],[Índice]],TRUE)</f>
        <v>0.1</v>
      </c>
      <c r="J56" s="65" cm="1">
        <f t="array" ref="J56">INDEX(Desc_TabelaToda,MATCH(TB_Ventas[[#This Row],[Cant.]],Desc_Quantidades,1),MATCH(_xlfn.XLOOKUP(TB_Ventas[[#This Row],[Código]],TB_Productos[[#All],[Código]],TB_Productos[[#All],[Categoría]]),Desc_CategorÍas,0))</f>
        <v>0.1</v>
      </c>
      <c r="K56" s="65">
        <f>_xlfn.XLOOKUP(TB_Ventas[[#This Row],[Vendedor]],Vendedores!$A$5:$A$9,Vendedores!$D$5:$D$9)</f>
        <v>0.1</v>
      </c>
      <c r="L56" s="65">
        <f>IF(TB_Ventas[[#This Row],[Descuento (Directo)]]&lt;=TB_Ventas[[#This Row],[Descuento 
(Vendedor)]],TB_Ventas[[#This Row],[Descuento (Directo)]],TB_Ventas[[#This Row],[Descuento 
(Vendedor)]])</f>
        <v>0.1</v>
      </c>
      <c r="M56" s="97">
        <f>TB_Ventas[[#This Row],[Precio Unitario]]*TB_Ventas[[#This Row],[Cant.]]</f>
        <v>180</v>
      </c>
      <c r="N56" s="1" t="s">
        <v>139</v>
      </c>
    </row>
    <row r="57" spans="1:14">
      <c r="A57" s="10">
        <f>MONTH(TB_Ventas[[#This Row],[Fecha]])</f>
        <v>6</v>
      </c>
      <c r="B57" s="10" t="s">
        <v>164</v>
      </c>
      <c r="C57" s="9">
        <v>45093</v>
      </c>
      <c r="D57" s="10" t="s">
        <v>107</v>
      </c>
      <c r="E57" s="10" t="str">
        <f>_xlfn.XLOOKUP(TB_Ventas[[#This Row],[Código]],TB_Productos[Código],TB_Productos[Categoría])</f>
        <v>Vestuario</v>
      </c>
      <c r="F57" s="1">
        <v>3</v>
      </c>
      <c r="G57" s="98">
        <f>VLOOKUP(TB_Ventas[[#This Row],[Código]],Productos!$B$6:$F$66,5,0)</f>
        <v>32.9</v>
      </c>
      <c r="H57" s="1">
        <f>_xlfn.XMATCH(TB_Ventas[[#This Row],[Categoría]],Desc_CategorÍas,0)</f>
        <v>3</v>
      </c>
      <c r="I57" s="65">
        <f>VLOOKUP(TB_Ventas[[#This Row],[Cant.]],Desc_TabelaToda,TB_Ventas[[#This Row],[Índice]],TRUE)</f>
        <v>0.2</v>
      </c>
      <c r="J57" s="65" cm="1">
        <f t="array" ref="J57">INDEX(Desc_TabelaToda,MATCH(TB_Ventas[[#This Row],[Cant.]],Desc_Quantidades,1),MATCH(_xlfn.XLOOKUP(TB_Ventas[[#This Row],[Código]],TB_Productos[[#All],[Código]],TB_Productos[[#All],[Categoría]]),Desc_CategorÍas,0))</f>
        <v>0.2</v>
      </c>
      <c r="K57" s="65">
        <f>_xlfn.XLOOKUP(TB_Ventas[[#This Row],[Vendedor]],Vendedores!$A$5:$A$9,Vendedores!$D$5:$D$9)</f>
        <v>0.15</v>
      </c>
      <c r="L57" s="65">
        <f>IF(TB_Ventas[[#This Row],[Descuento (Directo)]]&lt;=TB_Ventas[[#This Row],[Descuento 
(Vendedor)]],TB_Ventas[[#This Row],[Descuento (Directo)]],TB_Ventas[[#This Row],[Descuento 
(Vendedor)]])</f>
        <v>0.15</v>
      </c>
      <c r="M57" s="97">
        <f>TB_Ventas[[#This Row],[Precio Unitario]]*TB_Ventas[[#This Row],[Cant.]]</f>
        <v>98.699999999999989</v>
      </c>
      <c r="N57" s="1" t="s">
        <v>136</v>
      </c>
    </row>
    <row r="58" spans="1:14">
      <c r="A58" s="10">
        <f>MONTH(TB_Ventas[[#This Row],[Fecha]])</f>
        <v>6</v>
      </c>
      <c r="B58" s="10" t="s">
        <v>164</v>
      </c>
      <c r="C58" s="9">
        <v>45093</v>
      </c>
      <c r="D58" s="10" t="s">
        <v>24</v>
      </c>
      <c r="E58" s="10" t="str">
        <f>_xlfn.XLOOKUP(TB_Ventas[[#This Row],[Código]],TB_Productos[Código],TB_Productos[Categoría])</f>
        <v>Vestuario</v>
      </c>
      <c r="F58" s="1">
        <v>4</v>
      </c>
      <c r="G58" s="98">
        <f>VLOOKUP(TB_Ventas[[#This Row],[Código]],Productos!$B$6:$F$66,5,0)</f>
        <v>92.9</v>
      </c>
      <c r="H58" s="1">
        <f>_xlfn.XMATCH(TB_Ventas[[#This Row],[Categoría]],Desc_CategorÍas,0)</f>
        <v>3</v>
      </c>
      <c r="I58" s="65">
        <f>VLOOKUP(TB_Ventas[[#This Row],[Cant.]],Desc_TabelaToda,TB_Ventas[[#This Row],[Índice]],TRUE)</f>
        <v>0.2</v>
      </c>
      <c r="J58" s="65" cm="1">
        <f t="array" ref="J58">INDEX(Desc_TabelaToda,MATCH(TB_Ventas[[#This Row],[Cant.]],Desc_Quantidades,1),MATCH(_xlfn.XLOOKUP(TB_Ventas[[#This Row],[Código]],TB_Productos[[#All],[Código]],TB_Productos[[#All],[Categoría]]),Desc_CategorÍas,0))</f>
        <v>0.2</v>
      </c>
      <c r="K58" s="65">
        <f>_xlfn.XLOOKUP(TB_Ventas[[#This Row],[Vendedor]],Vendedores!$A$5:$A$9,Vendedores!$D$5:$D$9)</f>
        <v>0.2</v>
      </c>
      <c r="L58" s="65">
        <f>IF(TB_Ventas[[#This Row],[Descuento (Directo)]]&lt;=TB_Ventas[[#This Row],[Descuento 
(Vendedor)]],TB_Ventas[[#This Row],[Descuento (Directo)]],TB_Ventas[[#This Row],[Descuento 
(Vendedor)]])</f>
        <v>0.2</v>
      </c>
      <c r="M58" s="97">
        <f>TB_Ventas[[#This Row],[Precio Unitario]]*TB_Ventas[[#This Row],[Cant.]]</f>
        <v>371.6</v>
      </c>
      <c r="N58" s="1" t="s">
        <v>133</v>
      </c>
    </row>
    <row r="59" spans="1:14">
      <c r="A59" s="10">
        <f>MONTH(TB_Ventas[[#This Row],[Fecha]])</f>
        <v>6</v>
      </c>
      <c r="B59" s="10" t="s">
        <v>164</v>
      </c>
      <c r="C59" s="9">
        <v>45094</v>
      </c>
      <c r="D59" s="10" t="s">
        <v>73</v>
      </c>
      <c r="E59" s="10" t="str">
        <f>_xlfn.XLOOKUP(TB_Ventas[[#This Row],[Código]],TB_Productos[Código],TB_Productos[Categoría])</f>
        <v>Calzado</v>
      </c>
      <c r="F59" s="1">
        <v>2</v>
      </c>
      <c r="G59" s="98">
        <f>VLOOKUP(TB_Ventas[[#This Row],[Código]],Productos!$B$6:$F$66,5,0)</f>
        <v>259.89999999999998</v>
      </c>
      <c r="H59" s="1">
        <f>_xlfn.XMATCH(TB_Ventas[[#This Row],[Categoría]],Desc_CategorÍas,0)</f>
        <v>4</v>
      </c>
      <c r="I59" s="65">
        <f>VLOOKUP(TB_Ventas[[#This Row],[Cant.]],Desc_TabelaToda,TB_Ventas[[#This Row],[Índice]],TRUE)</f>
        <v>0.1</v>
      </c>
      <c r="J59" s="65" cm="1">
        <f t="array" ref="J59">INDEX(Desc_TabelaToda,MATCH(TB_Ventas[[#This Row],[Cant.]],Desc_Quantidades,1),MATCH(_xlfn.XLOOKUP(TB_Ventas[[#This Row],[Código]],TB_Productos[[#All],[Código]],TB_Productos[[#All],[Categoría]]),Desc_CategorÍas,0))</f>
        <v>0.1</v>
      </c>
      <c r="K59" s="65">
        <f>_xlfn.XLOOKUP(TB_Ventas[[#This Row],[Vendedor]],Vendedores!$A$5:$A$9,Vendedores!$D$5:$D$9)</f>
        <v>0.1</v>
      </c>
      <c r="L59" s="65">
        <f>IF(TB_Ventas[[#This Row],[Descuento (Directo)]]&lt;=TB_Ventas[[#This Row],[Descuento 
(Vendedor)]],TB_Ventas[[#This Row],[Descuento (Directo)]],TB_Ventas[[#This Row],[Descuento 
(Vendedor)]])</f>
        <v>0.1</v>
      </c>
      <c r="M59" s="97">
        <f>TB_Ventas[[#This Row],[Precio Unitario]]*TB_Ventas[[#This Row],[Cant.]]</f>
        <v>519.79999999999995</v>
      </c>
      <c r="N59" s="1" t="s">
        <v>139</v>
      </c>
    </row>
    <row r="60" spans="1:14">
      <c r="A60" s="10">
        <f>MONTH(TB_Ventas[[#This Row],[Fecha]])</f>
        <v>6</v>
      </c>
      <c r="B60" s="10" t="s">
        <v>164</v>
      </c>
      <c r="C60" s="9">
        <v>45097</v>
      </c>
      <c r="D60" s="10" t="s">
        <v>54</v>
      </c>
      <c r="E60" s="10" t="str">
        <f>_xlfn.XLOOKUP(TB_Ventas[[#This Row],[Código]],TB_Productos[Código],TB_Productos[Categoría])</f>
        <v>Accesorio</v>
      </c>
      <c r="F60" s="1">
        <v>1</v>
      </c>
      <c r="G60" s="98">
        <f>VLOOKUP(TB_Ventas[[#This Row],[Código]],Productos!$B$6:$F$66,5,0)</f>
        <v>259.89999999999998</v>
      </c>
      <c r="H60" s="1">
        <f>_xlfn.XMATCH(TB_Ventas[[#This Row],[Categoría]],Desc_CategorÍas,0)</f>
        <v>2</v>
      </c>
      <c r="I60" s="65">
        <f>VLOOKUP(TB_Ventas[[#This Row],[Cant.]],Desc_TabelaToda,TB_Ventas[[#This Row],[Índice]],TRUE)</f>
        <v>0</v>
      </c>
      <c r="J60" s="65" cm="1">
        <f t="array" ref="J60">INDEX(Desc_TabelaToda,MATCH(TB_Ventas[[#This Row],[Cant.]],Desc_Quantidades,1),MATCH(_xlfn.XLOOKUP(TB_Ventas[[#This Row],[Código]],TB_Productos[[#All],[Código]],TB_Productos[[#All],[Categoría]]),Desc_CategorÍas,0))</f>
        <v>0</v>
      </c>
      <c r="K60" s="65">
        <f>_xlfn.XLOOKUP(TB_Ventas[[#This Row],[Vendedor]],Vendedores!$A$5:$A$9,Vendedores!$D$5:$D$9)</f>
        <v>0.15</v>
      </c>
      <c r="L60" s="65">
        <f>IF(TB_Ventas[[#This Row],[Descuento (Directo)]]&lt;=TB_Ventas[[#This Row],[Descuento 
(Vendedor)]],TB_Ventas[[#This Row],[Descuento (Directo)]],TB_Ventas[[#This Row],[Descuento 
(Vendedor)]])</f>
        <v>0</v>
      </c>
      <c r="M60" s="97">
        <f>TB_Ventas[[#This Row],[Precio Unitario]]*TB_Ventas[[#This Row],[Cant.]]</f>
        <v>259.89999999999998</v>
      </c>
      <c r="N60" s="1" t="s">
        <v>145</v>
      </c>
    </row>
    <row r="61" spans="1:14">
      <c r="A61" s="10">
        <f>MONTH(TB_Ventas[[#This Row],[Fecha]])</f>
        <v>6</v>
      </c>
      <c r="B61" s="10" t="s">
        <v>164</v>
      </c>
      <c r="C61" s="9">
        <v>45105</v>
      </c>
      <c r="D61" s="10" t="s">
        <v>36</v>
      </c>
      <c r="E61" s="10" t="str">
        <f>_xlfn.XLOOKUP(TB_Ventas[[#This Row],[Código]],TB_Productos[Código],TB_Productos[Categoría])</f>
        <v>Vestuario</v>
      </c>
      <c r="F61" s="1">
        <v>5</v>
      </c>
      <c r="G61" s="98">
        <f>VLOOKUP(TB_Ventas[[#This Row],[Código]],Productos!$B$6:$F$66,5,0)</f>
        <v>42.5</v>
      </c>
      <c r="H61" s="1">
        <f>_xlfn.XMATCH(TB_Ventas[[#This Row],[Categoría]],Desc_CategorÍas,0)</f>
        <v>3</v>
      </c>
      <c r="I61" s="65">
        <f>VLOOKUP(TB_Ventas[[#This Row],[Cant.]],Desc_TabelaToda,TB_Ventas[[#This Row],[Índice]],TRUE)</f>
        <v>0.25</v>
      </c>
      <c r="J61" s="65" cm="1">
        <f t="array" ref="J61">INDEX(Desc_TabelaToda,MATCH(TB_Ventas[[#This Row],[Cant.]],Desc_Quantidades,1),MATCH(_xlfn.XLOOKUP(TB_Ventas[[#This Row],[Código]],TB_Productos[[#All],[Código]],TB_Productos[[#All],[Categoría]]),Desc_CategorÍas,0))</f>
        <v>0.25</v>
      </c>
      <c r="K61" s="65">
        <f>_xlfn.XLOOKUP(TB_Ventas[[#This Row],[Vendedor]],Vendedores!$A$5:$A$9,Vendedores!$D$5:$D$9)</f>
        <v>0.15</v>
      </c>
      <c r="L61" s="65">
        <f>IF(TB_Ventas[[#This Row],[Descuento (Directo)]]&lt;=TB_Ventas[[#This Row],[Descuento 
(Vendedor)]],TB_Ventas[[#This Row],[Descuento (Directo)]],TB_Ventas[[#This Row],[Descuento 
(Vendedor)]])</f>
        <v>0.15</v>
      </c>
      <c r="M61" s="97">
        <f>TB_Ventas[[#This Row],[Precio Unitario]]*TB_Ventas[[#This Row],[Cant.]]</f>
        <v>212.5</v>
      </c>
      <c r="N61" s="1" t="s">
        <v>145</v>
      </c>
    </row>
    <row r="62" spans="1:14">
      <c r="A62" s="10">
        <f>MONTH(TB_Ventas[[#This Row],[Fecha]])</f>
        <v>6</v>
      </c>
      <c r="B62" s="10" t="s">
        <v>164</v>
      </c>
      <c r="C62" s="9">
        <v>45105</v>
      </c>
      <c r="D62" s="10" t="s">
        <v>107</v>
      </c>
      <c r="E62" s="10" t="str">
        <f>_xlfn.XLOOKUP(TB_Ventas[[#This Row],[Código]],TB_Productos[Código],TB_Productos[Categoría])</f>
        <v>Vestuario</v>
      </c>
      <c r="F62" s="1">
        <v>2</v>
      </c>
      <c r="G62" s="98">
        <f>VLOOKUP(TB_Ventas[[#This Row],[Código]],Productos!$B$6:$F$66,5,0)</f>
        <v>32.9</v>
      </c>
      <c r="H62" s="1">
        <f>_xlfn.XMATCH(TB_Ventas[[#This Row],[Categoría]],Desc_CategorÍas,0)</f>
        <v>3</v>
      </c>
      <c r="I62" s="65">
        <f>VLOOKUP(TB_Ventas[[#This Row],[Cant.]],Desc_TabelaToda,TB_Ventas[[#This Row],[Índice]],TRUE)</f>
        <v>0.15</v>
      </c>
      <c r="J62" s="65" cm="1">
        <f t="array" ref="J62">INDEX(Desc_TabelaToda,MATCH(TB_Ventas[[#This Row],[Cant.]],Desc_Quantidades,1),MATCH(_xlfn.XLOOKUP(TB_Ventas[[#This Row],[Código]],TB_Productos[[#All],[Código]],TB_Productos[[#All],[Categoría]]),Desc_CategorÍas,0))</f>
        <v>0.15</v>
      </c>
      <c r="K62" s="65">
        <f>_xlfn.XLOOKUP(TB_Ventas[[#This Row],[Vendedor]],Vendedores!$A$5:$A$9,Vendedores!$D$5:$D$9)</f>
        <v>0.15</v>
      </c>
      <c r="L62" s="65">
        <f>IF(TB_Ventas[[#This Row],[Descuento (Directo)]]&lt;=TB_Ventas[[#This Row],[Descuento 
(Vendedor)]],TB_Ventas[[#This Row],[Descuento (Directo)]],TB_Ventas[[#This Row],[Descuento 
(Vendedor)]])</f>
        <v>0.15</v>
      </c>
      <c r="M62" s="97">
        <f>TB_Ventas[[#This Row],[Precio Unitario]]*TB_Ventas[[#This Row],[Cant.]]</f>
        <v>65.8</v>
      </c>
      <c r="N62" s="1" t="s">
        <v>145</v>
      </c>
    </row>
    <row r="63" spans="1:14">
      <c r="A63" s="10">
        <f>MONTH(TB_Ventas[[#This Row],[Fecha]])</f>
        <v>6</v>
      </c>
      <c r="B63" s="10" t="s">
        <v>164</v>
      </c>
      <c r="C63" s="9">
        <v>45106</v>
      </c>
      <c r="D63" s="10" t="s">
        <v>24</v>
      </c>
      <c r="E63" s="10" t="str">
        <f>_xlfn.XLOOKUP(TB_Ventas[[#This Row],[Código]],TB_Productos[Código],TB_Productos[Categoría])</f>
        <v>Vestuario</v>
      </c>
      <c r="F63" s="1">
        <v>3</v>
      </c>
      <c r="G63" s="98">
        <f>VLOOKUP(TB_Ventas[[#This Row],[Código]],Productos!$B$6:$F$66,5,0)</f>
        <v>92.9</v>
      </c>
      <c r="H63" s="1">
        <f>_xlfn.XMATCH(TB_Ventas[[#This Row],[Categoría]],Desc_CategorÍas,0)</f>
        <v>3</v>
      </c>
      <c r="I63" s="65">
        <f>VLOOKUP(TB_Ventas[[#This Row],[Cant.]],Desc_TabelaToda,TB_Ventas[[#This Row],[Índice]],TRUE)</f>
        <v>0.2</v>
      </c>
      <c r="J63" s="65" cm="1">
        <f t="array" ref="J63">INDEX(Desc_TabelaToda,MATCH(TB_Ventas[[#This Row],[Cant.]],Desc_Quantidades,1),MATCH(_xlfn.XLOOKUP(TB_Ventas[[#This Row],[Código]],TB_Productos[[#All],[Código]],TB_Productos[[#All],[Categoría]]),Desc_CategorÍas,0))</f>
        <v>0.2</v>
      </c>
      <c r="K63" s="65">
        <f>_xlfn.XLOOKUP(TB_Ventas[[#This Row],[Vendedor]],Vendedores!$A$5:$A$9,Vendedores!$D$5:$D$9)</f>
        <v>0.2</v>
      </c>
      <c r="L63" s="65">
        <f>IF(TB_Ventas[[#This Row],[Descuento (Directo)]]&lt;=TB_Ventas[[#This Row],[Descuento 
(Vendedor)]],TB_Ventas[[#This Row],[Descuento (Directo)]],TB_Ventas[[#This Row],[Descuento 
(Vendedor)]])</f>
        <v>0.2</v>
      </c>
      <c r="M63" s="97">
        <f>TB_Ventas[[#This Row],[Precio Unitario]]*TB_Ventas[[#This Row],[Cant.]]</f>
        <v>278.70000000000005</v>
      </c>
      <c r="N63" s="1" t="s">
        <v>133</v>
      </c>
    </row>
    <row r="64" spans="1:14">
      <c r="A64" s="1">
        <f>MONTH(TB_Ventas[[#This Row],[Fecha]])</f>
        <v>6</v>
      </c>
      <c r="B64" s="10" t="s">
        <v>164</v>
      </c>
      <c r="C64" s="9">
        <v>45107</v>
      </c>
      <c r="D64" s="10" t="s">
        <v>38</v>
      </c>
      <c r="E64" s="10" t="str">
        <f>_xlfn.XLOOKUP(TB_Ventas[[#This Row],[Código]],TB_Productos[Código],TB_Productos[Categoría])</f>
        <v>Vestuario</v>
      </c>
      <c r="F64" s="1">
        <v>10</v>
      </c>
      <c r="G64" s="98">
        <f>VLOOKUP(TB_Ventas[[#This Row],[Código]],Productos!$B$6:$F$66,5,0)</f>
        <v>25.9</v>
      </c>
      <c r="H64" s="1">
        <f>_xlfn.XMATCH(TB_Ventas[[#This Row],[Categoría]],Desc_CategorÍas,0)</f>
        <v>3</v>
      </c>
      <c r="I64" s="65">
        <f>VLOOKUP(TB_Ventas[[#This Row],[Cant.]],Desc_TabelaToda,TB_Ventas[[#This Row],[Índice]],TRUE)</f>
        <v>0.3</v>
      </c>
      <c r="J64" s="65" cm="1">
        <f t="array" ref="J64">INDEX(Desc_TabelaToda,MATCH(TB_Ventas[[#This Row],[Cant.]],Desc_Quantidades,1),MATCH(_xlfn.XLOOKUP(TB_Ventas[[#This Row],[Código]],TB_Productos[[#All],[Código]],TB_Productos[[#All],[Categoría]]),Desc_CategorÍas,0))</f>
        <v>0.3</v>
      </c>
      <c r="K64" s="65">
        <f>_xlfn.XLOOKUP(TB_Ventas[[#This Row],[Vendedor]],Vendedores!$A$5:$A$9,Vendedores!$D$5:$D$9)</f>
        <v>0.2</v>
      </c>
      <c r="L64" s="65">
        <f>IF(TB_Ventas[[#This Row],[Descuento (Directo)]]&lt;=TB_Ventas[[#This Row],[Descuento 
(Vendedor)]],TB_Ventas[[#This Row],[Descuento (Directo)]],TB_Ventas[[#This Row],[Descuento 
(Vendedor)]])</f>
        <v>0.2</v>
      </c>
      <c r="M64" s="97">
        <f>TB_Ventas[[#This Row],[Precio Unitario]]*TB_Ventas[[#This Row],[Cant.]]</f>
        <v>259</v>
      </c>
      <c r="N64" s="1" t="s">
        <v>133</v>
      </c>
    </row>
    <row r="65" spans="1:14">
      <c r="A65" s="1">
        <f>MONTH(TB_Ventas[[#This Row],[Fecha]])</f>
        <v>7</v>
      </c>
      <c r="B65" s="10" t="s">
        <v>165</v>
      </c>
      <c r="C65" s="9">
        <v>45112</v>
      </c>
      <c r="D65" s="10" t="s">
        <v>95</v>
      </c>
      <c r="E65" s="10" t="str">
        <f>_xlfn.XLOOKUP(TB_Ventas[[#This Row],[Código]],TB_Productos[Código],TB_Productos[Categoría])</f>
        <v>Vestuario</v>
      </c>
      <c r="F65" s="1">
        <v>1</v>
      </c>
      <c r="G65" s="98">
        <f>VLOOKUP(TB_Ventas[[#This Row],[Código]],Productos!$B$6:$F$66,5,0)</f>
        <v>72.5</v>
      </c>
      <c r="H65" s="1">
        <f>_xlfn.XMATCH(TB_Ventas[[#This Row],[Categoría]],Desc_CategorÍas,0)</f>
        <v>3</v>
      </c>
      <c r="I65" s="65">
        <f>VLOOKUP(TB_Ventas[[#This Row],[Cant.]],Desc_TabelaToda,TB_Ventas[[#This Row],[Índice]],TRUE)</f>
        <v>0.1</v>
      </c>
      <c r="J65" s="65" cm="1">
        <f t="array" ref="J65">INDEX(Desc_TabelaToda,MATCH(TB_Ventas[[#This Row],[Cant.]],Desc_Quantidades,1),MATCH(_xlfn.XLOOKUP(TB_Ventas[[#This Row],[Código]],TB_Productos[[#All],[Código]],TB_Productos[[#All],[Categoría]]),Desc_CategorÍas,0))</f>
        <v>0.1</v>
      </c>
      <c r="K65" s="65">
        <f>_xlfn.XLOOKUP(TB_Ventas[[#This Row],[Vendedor]],Vendedores!$A$5:$A$9,Vendedores!$D$5:$D$9)</f>
        <v>0.15</v>
      </c>
      <c r="L65" s="65">
        <f>IF(TB_Ventas[[#This Row],[Descuento (Directo)]]&lt;=TB_Ventas[[#This Row],[Descuento 
(Vendedor)]],TB_Ventas[[#This Row],[Descuento (Directo)]],TB_Ventas[[#This Row],[Descuento 
(Vendedor)]])</f>
        <v>0.1</v>
      </c>
      <c r="M65" s="97">
        <f>TB_Ventas[[#This Row],[Precio Unitario]]*TB_Ventas[[#This Row],[Cant.]]</f>
        <v>72.5</v>
      </c>
      <c r="N65" s="1" t="s">
        <v>136</v>
      </c>
    </row>
    <row r="66" spans="1:14">
      <c r="A66" s="1">
        <f>MONTH(TB_Ventas[[#This Row],[Fecha]])</f>
        <v>7</v>
      </c>
      <c r="B66" s="10" t="s">
        <v>165</v>
      </c>
      <c r="C66" s="9">
        <v>45113</v>
      </c>
      <c r="D66" s="10" t="s">
        <v>48</v>
      </c>
      <c r="E66" s="10" t="str">
        <f>_xlfn.XLOOKUP(TB_Ventas[[#This Row],[Código]],TB_Productos[Código],TB_Productos[Categoría])</f>
        <v>Vestuario</v>
      </c>
      <c r="F66" s="1">
        <v>4</v>
      </c>
      <c r="G66" s="98">
        <f>VLOOKUP(TB_Ventas[[#This Row],[Código]],Productos!$B$6:$F$66,5,0)</f>
        <v>302.89999999999998</v>
      </c>
      <c r="H66" s="1">
        <f>_xlfn.XMATCH(TB_Ventas[[#This Row],[Categoría]],Desc_CategorÍas,0)</f>
        <v>3</v>
      </c>
      <c r="I66" s="65">
        <f>VLOOKUP(TB_Ventas[[#This Row],[Cant.]],Desc_TabelaToda,TB_Ventas[[#This Row],[Índice]],TRUE)</f>
        <v>0.2</v>
      </c>
      <c r="J66" s="65" cm="1">
        <f t="array" ref="J66">INDEX(Desc_TabelaToda,MATCH(TB_Ventas[[#This Row],[Cant.]],Desc_Quantidades,1),MATCH(_xlfn.XLOOKUP(TB_Ventas[[#This Row],[Código]],TB_Productos[[#All],[Código]],TB_Productos[[#All],[Categoría]]),Desc_CategorÍas,0))</f>
        <v>0.2</v>
      </c>
      <c r="K66" s="65">
        <f>_xlfn.XLOOKUP(TB_Ventas[[#This Row],[Vendedor]],Vendedores!$A$5:$A$9,Vendedores!$D$5:$D$9)</f>
        <v>0.15</v>
      </c>
      <c r="L66" s="65">
        <f>IF(TB_Ventas[[#This Row],[Descuento (Directo)]]&lt;=TB_Ventas[[#This Row],[Descuento 
(Vendedor)]],TB_Ventas[[#This Row],[Descuento (Directo)]],TB_Ventas[[#This Row],[Descuento 
(Vendedor)]])</f>
        <v>0.15</v>
      </c>
      <c r="M66" s="97">
        <f>TB_Ventas[[#This Row],[Precio Unitario]]*TB_Ventas[[#This Row],[Cant.]]</f>
        <v>1211.5999999999999</v>
      </c>
      <c r="N66" s="1" t="s">
        <v>145</v>
      </c>
    </row>
    <row r="67" spans="1:14">
      <c r="A67" s="1">
        <f>MONTH(TB_Ventas[[#This Row],[Fecha]])</f>
        <v>7</v>
      </c>
      <c r="B67" s="10" t="s">
        <v>165</v>
      </c>
      <c r="C67" s="9">
        <v>45114</v>
      </c>
      <c r="D67" s="10" t="s">
        <v>103</v>
      </c>
      <c r="E67" s="10" t="str">
        <f>_xlfn.XLOOKUP(TB_Ventas[[#This Row],[Código]],TB_Productos[Código],TB_Productos[Categoría])</f>
        <v>Vestuario</v>
      </c>
      <c r="F67" s="1">
        <v>8</v>
      </c>
      <c r="G67" s="98">
        <f>VLOOKUP(TB_Ventas[[#This Row],[Código]],Productos!$B$6:$F$66,5,0)</f>
        <v>289.89999999999998</v>
      </c>
      <c r="H67" s="1">
        <f>_xlfn.XMATCH(TB_Ventas[[#This Row],[Categoría]],Desc_CategorÍas,0)</f>
        <v>3</v>
      </c>
      <c r="I67" s="65">
        <f>VLOOKUP(TB_Ventas[[#This Row],[Cant.]],Desc_TabelaToda,TB_Ventas[[#This Row],[Índice]],TRUE)</f>
        <v>0.25</v>
      </c>
      <c r="J67" s="65" cm="1">
        <f t="array" ref="J67">INDEX(Desc_TabelaToda,MATCH(TB_Ventas[[#This Row],[Cant.]],Desc_Quantidades,1),MATCH(_xlfn.XLOOKUP(TB_Ventas[[#This Row],[Código]],TB_Productos[[#All],[Código]],TB_Productos[[#All],[Categoría]]),Desc_CategorÍas,0))</f>
        <v>0.25</v>
      </c>
      <c r="K67" s="65">
        <f>_xlfn.XLOOKUP(TB_Ventas[[#This Row],[Vendedor]],Vendedores!$A$5:$A$9,Vendedores!$D$5:$D$9)</f>
        <v>0.2</v>
      </c>
      <c r="L67" s="65">
        <f>IF(TB_Ventas[[#This Row],[Descuento (Directo)]]&lt;=TB_Ventas[[#This Row],[Descuento 
(Vendedor)]],TB_Ventas[[#This Row],[Descuento (Directo)]],TB_Ventas[[#This Row],[Descuento 
(Vendedor)]])</f>
        <v>0.2</v>
      </c>
      <c r="M67" s="97">
        <f>TB_Ventas[[#This Row],[Precio Unitario]]*TB_Ventas[[#This Row],[Cant.]]</f>
        <v>2319.1999999999998</v>
      </c>
      <c r="N67" s="1" t="s">
        <v>133</v>
      </c>
    </row>
    <row r="68" spans="1:14">
      <c r="A68" s="1">
        <f>MONTH(TB_Ventas[[#This Row],[Fecha]])</f>
        <v>7</v>
      </c>
      <c r="B68" s="10" t="s">
        <v>165</v>
      </c>
      <c r="C68" s="9">
        <v>45119</v>
      </c>
      <c r="D68" s="10" t="s">
        <v>89</v>
      </c>
      <c r="E68" s="10" t="str">
        <f>_xlfn.XLOOKUP(TB_Ventas[[#This Row],[Código]],TB_Productos[Código],TB_Productos[Categoría])</f>
        <v>Accesorio</v>
      </c>
      <c r="F68" s="1">
        <v>2</v>
      </c>
      <c r="G68" s="98">
        <f>VLOOKUP(TB_Ventas[[#This Row],[Código]],Productos!$B$6:$F$66,5,0)</f>
        <v>54.9</v>
      </c>
      <c r="H68" s="1">
        <f>_xlfn.XMATCH(TB_Ventas[[#This Row],[Categoría]],Desc_CategorÍas,0)</f>
        <v>2</v>
      </c>
      <c r="I68" s="65">
        <f>VLOOKUP(TB_Ventas[[#This Row],[Cant.]],Desc_TabelaToda,TB_Ventas[[#This Row],[Índice]],TRUE)</f>
        <v>0.05</v>
      </c>
      <c r="J68" s="65" cm="1">
        <f t="array" ref="J68">INDEX(Desc_TabelaToda,MATCH(TB_Ventas[[#This Row],[Cant.]],Desc_Quantidades,1),MATCH(_xlfn.XLOOKUP(TB_Ventas[[#This Row],[Código]],TB_Productos[[#All],[Código]],TB_Productos[[#All],[Categoría]]),Desc_CategorÍas,0))</f>
        <v>0.05</v>
      </c>
      <c r="K68" s="65">
        <f>_xlfn.XLOOKUP(TB_Ventas[[#This Row],[Vendedor]],Vendedores!$A$5:$A$9,Vendedores!$D$5:$D$9)</f>
        <v>0.2</v>
      </c>
      <c r="L68" s="65">
        <f>IF(TB_Ventas[[#This Row],[Descuento (Directo)]]&lt;=TB_Ventas[[#This Row],[Descuento 
(Vendedor)]],TB_Ventas[[#This Row],[Descuento (Directo)]],TB_Ventas[[#This Row],[Descuento 
(Vendedor)]])</f>
        <v>0.05</v>
      </c>
      <c r="M68" s="97">
        <f>TB_Ventas[[#This Row],[Precio Unitario]]*TB_Ventas[[#This Row],[Cant.]]</f>
        <v>109.8</v>
      </c>
      <c r="N68" s="1" t="s">
        <v>133</v>
      </c>
    </row>
    <row r="69" spans="1:14">
      <c r="A69" s="1">
        <f>MONTH(TB_Ventas[[#This Row],[Fecha]])</f>
        <v>7</v>
      </c>
      <c r="B69" s="10" t="s">
        <v>165</v>
      </c>
      <c r="C69" s="9">
        <v>45120</v>
      </c>
      <c r="D69" s="10" t="s">
        <v>34</v>
      </c>
      <c r="E69" s="10" t="str">
        <f>_xlfn.XLOOKUP(TB_Ventas[[#This Row],[Código]],TB_Productos[Código],TB_Productos[Categoría])</f>
        <v>Vestuario</v>
      </c>
      <c r="F69" s="1">
        <v>2</v>
      </c>
      <c r="G69" s="98">
        <f>VLOOKUP(TB_Ventas[[#This Row],[Código]],Productos!$B$6:$F$66,5,0)</f>
        <v>39.9</v>
      </c>
      <c r="H69" s="1">
        <f>_xlfn.XMATCH(TB_Ventas[[#This Row],[Categoría]],Desc_CategorÍas,0)</f>
        <v>3</v>
      </c>
      <c r="I69" s="65">
        <f>VLOOKUP(TB_Ventas[[#This Row],[Cant.]],Desc_TabelaToda,TB_Ventas[[#This Row],[Índice]],TRUE)</f>
        <v>0.15</v>
      </c>
      <c r="J69" s="65" cm="1">
        <f t="array" ref="J69">INDEX(Desc_TabelaToda,MATCH(TB_Ventas[[#This Row],[Cant.]],Desc_Quantidades,1),MATCH(_xlfn.XLOOKUP(TB_Ventas[[#This Row],[Código]],TB_Productos[[#All],[Código]],TB_Productos[[#All],[Categoría]]),Desc_CategorÍas,0))</f>
        <v>0.15</v>
      </c>
      <c r="K69" s="65">
        <f>_xlfn.XLOOKUP(TB_Ventas[[#This Row],[Vendedor]],Vendedores!$A$5:$A$9,Vendedores!$D$5:$D$9)</f>
        <v>0.15</v>
      </c>
      <c r="L69" s="65">
        <f>IF(TB_Ventas[[#This Row],[Descuento (Directo)]]&lt;=TB_Ventas[[#This Row],[Descuento 
(Vendedor)]],TB_Ventas[[#This Row],[Descuento (Directo)]],TB_Ventas[[#This Row],[Descuento 
(Vendedor)]])</f>
        <v>0.15</v>
      </c>
      <c r="M69" s="97">
        <f>TB_Ventas[[#This Row],[Precio Unitario]]*TB_Ventas[[#This Row],[Cant.]]</f>
        <v>79.8</v>
      </c>
      <c r="N69" s="1" t="s">
        <v>145</v>
      </c>
    </row>
    <row r="70" spans="1:14">
      <c r="A70" s="1">
        <f>MONTH(TB_Ventas[[#This Row],[Fecha]])</f>
        <v>7</v>
      </c>
      <c r="B70" s="10" t="s">
        <v>165</v>
      </c>
      <c r="C70" s="9">
        <v>45124</v>
      </c>
      <c r="D70" s="10" t="s">
        <v>91</v>
      </c>
      <c r="E70" s="10" t="str">
        <f>_xlfn.XLOOKUP(TB_Ventas[[#This Row],[Código]],TB_Productos[Código],TB_Productos[Categoría])</f>
        <v>Accesorio</v>
      </c>
      <c r="F70" s="1">
        <v>7</v>
      </c>
      <c r="G70" s="98">
        <f>VLOOKUP(TB_Ventas[[#This Row],[Código]],Productos!$B$6:$F$66,5,0)</f>
        <v>54.9</v>
      </c>
      <c r="H70" s="1">
        <f>_xlfn.XMATCH(TB_Ventas[[#This Row],[Categoría]],Desc_CategorÍas,0)</f>
        <v>2</v>
      </c>
      <c r="I70" s="65">
        <f>VLOOKUP(TB_Ventas[[#This Row],[Cant.]],Desc_TabelaToda,TB_Ventas[[#This Row],[Índice]],TRUE)</f>
        <v>0.25</v>
      </c>
      <c r="J70" s="65" cm="1">
        <f t="array" ref="J70">INDEX(Desc_TabelaToda,MATCH(TB_Ventas[[#This Row],[Cant.]],Desc_Quantidades,1),MATCH(_xlfn.XLOOKUP(TB_Ventas[[#This Row],[Código]],TB_Productos[[#All],[Código]],TB_Productos[[#All],[Categoría]]),Desc_CategorÍas,0))</f>
        <v>0.25</v>
      </c>
      <c r="K70" s="65">
        <f>_xlfn.XLOOKUP(TB_Ventas[[#This Row],[Vendedor]],Vendedores!$A$5:$A$9,Vendedores!$D$5:$D$9)</f>
        <v>0.2</v>
      </c>
      <c r="L70" s="65">
        <f>IF(TB_Ventas[[#This Row],[Descuento (Directo)]]&lt;=TB_Ventas[[#This Row],[Descuento 
(Vendedor)]],TB_Ventas[[#This Row],[Descuento (Directo)]],TB_Ventas[[#This Row],[Descuento 
(Vendedor)]])</f>
        <v>0.2</v>
      </c>
      <c r="M70" s="97">
        <f>TB_Ventas[[#This Row],[Precio Unitario]]*TB_Ventas[[#This Row],[Cant.]]</f>
        <v>384.3</v>
      </c>
      <c r="N70" s="1" t="s">
        <v>142</v>
      </c>
    </row>
    <row r="71" spans="1:14">
      <c r="A71" s="1">
        <f>MONTH(TB_Ventas[[#This Row],[Fecha]])</f>
        <v>7</v>
      </c>
      <c r="B71" s="10" t="s">
        <v>165</v>
      </c>
      <c r="C71" s="9">
        <v>45130</v>
      </c>
      <c r="D71" s="10" t="s">
        <v>46</v>
      </c>
      <c r="E71" s="10" t="str">
        <f>_xlfn.XLOOKUP(TB_Ventas[[#This Row],[Código]],TB_Productos[Código],TB_Productos[Categoría])</f>
        <v>Vestuario</v>
      </c>
      <c r="F71" s="1">
        <v>4</v>
      </c>
      <c r="G71" s="98">
        <f>VLOOKUP(TB_Ventas[[#This Row],[Código]],Productos!$B$6:$F$66,5,0)</f>
        <v>299.89999999999998</v>
      </c>
      <c r="H71" s="1">
        <f>_xlfn.XMATCH(TB_Ventas[[#This Row],[Categoría]],Desc_CategorÍas,0)</f>
        <v>3</v>
      </c>
      <c r="I71" s="65">
        <f>VLOOKUP(TB_Ventas[[#This Row],[Cant.]],Desc_TabelaToda,TB_Ventas[[#This Row],[Índice]],TRUE)</f>
        <v>0.2</v>
      </c>
      <c r="J71" s="65" cm="1">
        <f t="array" ref="J71">INDEX(Desc_TabelaToda,MATCH(TB_Ventas[[#This Row],[Cant.]],Desc_Quantidades,1),MATCH(_xlfn.XLOOKUP(TB_Ventas[[#This Row],[Código]],TB_Productos[[#All],[Código]],TB_Productos[[#All],[Categoría]]),Desc_CategorÍas,0))</f>
        <v>0.2</v>
      </c>
      <c r="K71" s="65">
        <f>_xlfn.XLOOKUP(TB_Ventas[[#This Row],[Vendedor]],Vendedores!$A$5:$A$9,Vendedores!$D$5:$D$9)</f>
        <v>0.15</v>
      </c>
      <c r="L71" s="65">
        <f>IF(TB_Ventas[[#This Row],[Descuento (Directo)]]&lt;=TB_Ventas[[#This Row],[Descuento 
(Vendedor)]],TB_Ventas[[#This Row],[Descuento (Directo)]],TB_Ventas[[#This Row],[Descuento 
(Vendedor)]])</f>
        <v>0.15</v>
      </c>
      <c r="M71" s="97">
        <f>TB_Ventas[[#This Row],[Precio Unitario]]*TB_Ventas[[#This Row],[Cant.]]</f>
        <v>1199.5999999999999</v>
      </c>
      <c r="N71" s="1" t="s">
        <v>145</v>
      </c>
    </row>
    <row r="72" spans="1:14">
      <c r="A72" s="1">
        <f>MONTH(TB_Ventas[[#This Row],[Fecha]])</f>
        <v>7</v>
      </c>
      <c r="B72" s="10" t="s">
        <v>165</v>
      </c>
      <c r="C72" s="9">
        <v>45133</v>
      </c>
      <c r="D72" s="10" t="s">
        <v>54</v>
      </c>
      <c r="E72" s="10" t="str">
        <f>_xlfn.XLOOKUP(TB_Ventas[[#This Row],[Código]],TB_Productos[Código],TB_Productos[Categoría])</f>
        <v>Accesorio</v>
      </c>
      <c r="F72" s="1">
        <v>3</v>
      </c>
      <c r="G72" s="98">
        <f>VLOOKUP(TB_Ventas[[#This Row],[Código]],Productos!$B$6:$F$66,5,0)</f>
        <v>259.89999999999998</v>
      </c>
      <c r="H72" s="1">
        <f>_xlfn.XMATCH(TB_Ventas[[#This Row],[Categoría]],Desc_CategorÍas,0)</f>
        <v>2</v>
      </c>
      <c r="I72" s="65">
        <f>VLOOKUP(TB_Ventas[[#This Row],[Cant.]],Desc_TabelaToda,TB_Ventas[[#This Row],[Índice]],TRUE)</f>
        <v>0.15</v>
      </c>
      <c r="J72" s="65" cm="1">
        <f t="array" ref="J72">INDEX(Desc_TabelaToda,MATCH(TB_Ventas[[#This Row],[Cant.]],Desc_Quantidades,1),MATCH(_xlfn.XLOOKUP(TB_Ventas[[#This Row],[Código]],TB_Productos[[#All],[Código]],TB_Productos[[#All],[Categoría]]),Desc_CategorÍas,0))</f>
        <v>0.15</v>
      </c>
      <c r="K72" s="65">
        <f>_xlfn.XLOOKUP(TB_Ventas[[#This Row],[Vendedor]],Vendedores!$A$5:$A$9,Vendedores!$D$5:$D$9)</f>
        <v>0.2</v>
      </c>
      <c r="L72" s="65">
        <f>IF(TB_Ventas[[#This Row],[Descuento (Directo)]]&lt;=TB_Ventas[[#This Row],[Descuento 
(Vendedor)]],TB_Ventas[[#This Row],[Descuento (Directo)]],TB_Ventas[[#This Row],[Descuento 
(Vendedor)]])</f>
        <v>0.15</v>
      </c>
      <c r="M72" s="97">
        <f>TB_Ventas[[#This Row],[Precio Unitario]]*TB_Ventas[[#This Row],[Cant.]]</f>
        <v>779.69999999999993</v>
      </c>
      <c r="N72" s="1" t="s">
        <v>142</v>
      </c>
    </row>
    <row r="73" spans="1:14">
      <c r="A73" s="1">
        <f>MONTH(TB_Ventas[[#This Row],[Fecha]])</f>
        <v>7</v>
      </c>
      <c r="B73" s="10" t="s">
        <v>165</v>
      </c>
      <c r="C73" s="9">
        <v>45135</v>
      </c>
      <c r="D73" s="10" t="s">
        <v>95</v>
      </c>
      <c r="E73" s="10" t="str">
        <f>_xlfn.XLOOKUP(TB_Ventas[[#This Row],[Código]],TB_Productos[Código],TB_Productos[Categoría])</f>
        <v>Vestuario</v>
      </c>
      <c r="F73" s="1">
        <v>9</v>
      </c>
      <c r="G73" s="98">
        <f>VLOOKUP(TB_Ventas[[#This Row],[Código]],Productos!$B$6:$F$66,5,0)</f>
        <v>72.5</v>
      </c>
      <c r="H73" s="1">
        <f>_xlfn.XMATCH(TB_Ventas[[#This Row],[Categoría]],Desc_CategorÍas,0)</f>
        <v>3</v>
      </c>
      <c r="I73" s="65">
        <f>VLOOKUP(TB_Ventas[[#This Row],[Cant.]],Desc_TabelaToda,TB_Ventas[[#This Row],[Índice]],TRUE)</f>
        <v>0.25</v>
      </c>
      <c r="J73" s="65" cm="1">
        <f t="array" ref="J73">INDEX(Desc_TabelaToda,MATCH(TB_Ventas[[#This Row],[Cant.]],Desc_Quantidades,1),MATCH(_xlfn.XLOOKUP(TB_Ventas[[#This Row],[Código]],TB_Productos[[#All],[Código]],TB_Productos[[#All],[Categoría]]),Desc_CategorÍas,0))</f>
        <v>0.25</v>
      </c>
      <c r="K73" s="65">
        <f>_xlfn.XLOOKUP(TB_Ventas[[#This Row],[Vendedor]],Vendedores!$A$5:$A$9,Vendedores!$D$5:$D$9)</f>
        <v>0.1</v>
      </c>
      <c r="L73" s="65">
        <f>IF(TB_Ventas[[#This Row],[Descuento (Directo)]]&lt;=TB_Ventas[[#This Row],[Descuento 
(Vendedor)]],TB_Ventas[[#This Row],[Descuento (Directo)]],TB_Ventas[[#This Row],[Descuento 
(Vendedor)]])</f>
        <v>0.1</v>
      </c>
      <c r="M73" s="97">
        <f>TB_Ventas[[#This Row],[Precio Unitario]]*TB_Ventas[[#This Row],[Cant.]]</f>
        <v>652.5</v>
      </c>
      <c r="N73" s="1" t="s">
        <v>139</v>
      </c>
    </row>
    <row r="74" spans="1:14">
      <c r="A74" s="1">
        <f>MONTH(TB_Ventas[[#This Row],[Fecha]])</f>
        <v>7</v>
      </c>
      <c r="B74" s="10" t="s">
        <v>165</v>
      </c>
      <c r="C74" s="9">
        <v>45136</v>
      </c>
      <c r="D74" s="10" t="s">
        <v>50</v>
      </c>
      <c r="E74" s="10" t="str">
        <f>_xlfn.XLOOKUP(TB_Ventas[[#This Row],[Código]],TB_Productos[Código],TB_Productos[Categoría])</f>
        <v>Vestuario</v>
      </c>
      <c r="F74" s="1">
        <v>4</v>
      </c>
      <c r="G74" s="98">
        <f>VLOOKUP(TB_Ventas[[#This Row],[Código]],Productos!$B$6:$F$66,5,0)</f>
        <v>300</v>
      </c>
      <c r="H74" s="1">
        <f>_xlfn.XMATCH(TB_Ventas[[#This Row],[Categoría]],Desc_CategorÍas,0)</f>
        <v>3</v>
      </c>
      <c r="I74" s="65">
        <f>VLOOKUP(TB_Ventas[[#This Row],[Cant.]],Desc_TabelaToda,TB_Ventas[[#This Row],[Índice]],TRUE)</f>
        <v>0.2</v>
      </c>
      <c r="J74" s="65" cm="1">
        <f t="array" ref="J74">INDEX(Desc_TabelaToda,MATCH(TB_Ventas[[#This Row],[Cant.]],Desc_Quantidades,1),MATCH(_xlfn.XLOOKUP(TB_Ventas[[#This Row],[Código]],TB_Productos[[#All],[Código]],TB_Productos[[#All],[Categoría]]),Desc_CategorÍas,0))</f>
        <v>0.2</v>
      </c>
      <c r="K74" s="65">
        <f>_xlfn.XLOOKUP(TB_Ventas[[#This Row],[Vendedor]],Vendedores!$A$5:$A$9,Vendedores!$D$5:$D$9)</f>
        <v>0.15</v>
      </c>
      <c r="L74" s="65">
        <f>IF(TB_Ventas[[#This Row],[Descuento (Directo)]]&lt;=TB_Ventas[[#This Row],[Descuento 
(Vendedor)]],TB_Ventas[[#This Row],[Descuento (Directo)]],TB_Ventas[[#This Row],[Descuento 
(Vendedor)]])</f>
        <v>0.15</v>
      </c>
      <c r="M74" s="97">
        <f>TB_Ventas[[#This Row],[Precio Unitario]]*TB_Ventas[[#This Row],[Cant.]]</f>
        <v>1200</v>
      </c>
      <c r="N74" s="1" t="s">
        <v>145</v>
      </c>
    </row>
    <row r="75" spans="1:14">
      <c r="A75" s="1">
        <f>MONTH(TB_Ventas[[#This Row],[Fecha]])</f>
        <v>7</v>
      </c>
      <c r="B75" s="10" t="s">
        <v>165</v>
      </c>
      <c r="C75" s="9">
        <v>45137</v>
      </c>
      <c r="D75" s="10" t="s">
        <v>6</v>
      </c>
      <c r="E75" s="10" t="str">
        <f>_xlfn.XLOOKUP(TB_Ventas[[#This Row],[Código]],TB_Productos[Código],TB_Productos[Categoría])</f>
        <v>Vestuario</v>
      </c>
      <c r="F75" s="1">
        <v>9</v>
      </c>
      <c r="G75" s="98">
        <f>VLOOKUP(TB_Ventas[[#This Row],[Código]],Productos!$B$6:$F$66,5,0)</f>
        <v>65.900000000000006</v>
      </c>
      <c r="H75" s="1">
        <f>_xlfn.XMATCH(TB_Ventas[[#This Row],[Categoría]],Desc_CategorÍas,0)</f>
        <v>3</v>
      </c>
      <c r="I75" s="65">
        <f>VLOOKUP(TB_Ventas[[#This Row],[Cant.]],Desc_TabelaToda,TB_Ventas[[#This Row],[Índice]],TRUE)</f>
        <v>0.25</v>
      </c>
      <c r="J75" s="65" cm="1">
        <f t="array" ref="J75">INDEX(Desc_TabelaToda,MATCH(TB_Ventas[[#This Row],[Cant.]],Desc_Quantidades,1),MATCH(_xlfn.XLOOKUP(TB_Ventas[[#This Row],[Código]],TB_Productos[[#All],[Código]],TB_Productos[[#All],[Categoría]]),Desc_CategorÍas,0))</f>
        <v>0.25</v>
      </c>
      <c r="K75" s="65">
        <f>_xlfn.XLOOKUP(TB_Ventas[[#This Row],[Vendedor]],Vendedores!$A$5:$A$9,Vendedores!$D$5:$D$9)</f>
        <v>0.15</v>
      </c>
      <c r="L75" s="65">
        <f>IF(TB_Ventas[[#This Row],[Descuento (Directo)]]&lt;=TB_Ventas[[#This Row],[Descuento 
(Vendedor)]],TB_Ventas[[#This Row],[Descuento (Directo)]],TB_Ventas[[#This Row],[Descuento 
(Vendedor)]])</f>
        <v>0.15</v>
      </c>
      <c r="M75" s="97">
        <f>TB_Ventas[[#This Row],[Precio Unitario]]*TB_Ventas[[#This Row],[Cant.]]</f>
        <v>593.1</v>
      </c>
      <c r="N75" s="1" t="s">
        <v>145</v>
      </c>
    </row>
    <row r="76" spans="1:14">
      <c r="A76" s="1">
        <f>MONTH(TB_Ventas[[#This Row],[Fecha]])</f>
        <v>8</v>
      </c>
      <c r="B76" s="10" t="s">
        <v>166</v>
      </c>
      <c r="C76" s="9">
        <v>45143</v>
      </c>
      <c r="D76" s="10" t="s">
        <v>24</v>
      </c>
      <c r="E76" s="10" t="str">
        <f>_xlfn.XLOOKUP(TB_Ventas[[#This Row],[Código]],TB_Productos[Código],TB_Productos[Categoría])</f>
        <v>Vestuario</v>
      </c>
      <c r="F76" s="1">
        <v>10</v>
      </c>
      <c r="G76" s="98">
        <f>VLOOKUP(TB_Ventas[[#This Row],[Código]],Productos!$B$6:$F$66,5,0)</f>
        <v>92.9</v>
      </c>
      <c r="H76" s="1">
        <f>_xlfn.XMATCH(TB_Ventas[[#This Row],[Categoría]],Desc_CategorÍas,0)</f>
        <v>3</v>
      </c>
      <c r="I76" s="65">
        <f>VLOOKUP(TB_Ventas[[#This Row],[Cant.]],Desc_TabelaToda,TB_Ventas[[#This Row],[Índice]],TRUE)</f>
        <v>0.3</v>
      </c>
      <c r="J76" s="65" cm="1">
        <f t="array" ref="J76">INDEX(Desc_TabelaToda,MATCH(TB_Ventas[[#This Row],[Cant.]],Desc_Quantidades,1),MATCH(_xlfn.XLOOKUP(TB_Ventas[[#This Row],[Código]],TB_Productos[[#All],[Código]],TB_Productos[[#All],[Categoría]]),Desc_CategorÍas,0))</f>
        <v>0.3</v>
      </c>
      <c r="K76" s="65">
        <f>_xlfn.XLOOKUP(TB_Ventas[[#This Row],[Vendedor]],Vendedores!$A$5:$A$9,Vendedores!$D$5:$D$9)</f>
        <v>0.15</v>
      </c>
      <c r="L76" s="65">
        <f>IF(TB_Ventas[[#This Row],[Descuento (Directo)]]&lt;=TB_Ventas[[#This Row],[Descuento 
(Vendedor)]],TB_Ventas[[#This Row],[Descuento (Directo)]],TB_Ventas[[#This Row],[Descuento 
(Vendedor)]])</f>
        <v>0.15</v>
      </c>
      <c r="M76" s="97">
        <f>TB_Ventas[[#This Row],[Precio Unitario]]*TB_Ventas[[#This Row],[Cant.]]</f>
        <v>929</v>
      </c>
      <c r="N76" s="1" t="s">
        <v>145</v>
      </c>
    </row>
    <row r="77" spans="1:14">
      <c r="A77" s="1">
        <f>MONTH(TB_Ventas[[#This Row],[Fecha]])</f>
        <v>8</v>
      </c>
      <c r="B77" s="10" t="s">
        <v>166</v>
      </c>
      <c r="C77" s="9">
        <v>45144</v>
      </c>
      <c r="D77" s="10" t="s">
        <v>121</v>
      </c>
      <c r="E77" s="10" t="str">
        <f>_xlfn.XLOOKUP(TB_Ventas[[#This Row],[Código]],TB_Productos[Código],TB_Productos[Categoría])</f>
        <v>Calzado</v>
      </c>
      <c r="F77" s="1">
        <v>1</v>
      </c>
      <c r="G77" s="98">
        <f>VLOOKUP(TB_Ventas[[#This Row],[Código]],Productos!$B$6:$F$66,5,0)</f>
        <v>89.9</v>
      </c>
      <c r="H77" s="1">
        <f>_xlfn.XMATCH(TB_Ventas[[#This Row],[Categoría]],Desc_CategorÍas,0)</f>
        <v>4</v>
      </c>
      <c r="I77" s="65">
        <f>VLOOKUP(TB_Ventas[[#This Row],[Cant.]],Desc_TabelaToda,TB_Ventas[[#This Row],[Índice]],TRUE)</f>
        <v>0</v>
      </c>
      <c r="J77" s="65" cm="1">
        <f t="array" ref="J77">INDEX(Desc_TabelaToda,MATCH(TB_Ventas[[#This Row],[Cant.]],Desc_Quantidades,1),MATCH(_xlfn.XLOOKUP(TB_Ventas[[#This Row],[Código]],TB_Productos[[#All],[Código]],TB_Productos[[#All],[Categoría]]),Desc_CategorÍas,0))</f>
        <v>0</v>
      </c>
      <c r="K77" s="65">
        <f>_xlfn.XLOOKUP(TB_Ventas[[#This Row],[Vendedor]],Vendedores!$A$5:$A$9,Vendedores!$D$5:$D$9)</f>
        <v>0.1</v>
      </c>
      <c r="L77" s="65">
        <f>IF(TB_Ventas[[#This Row],[Descuento (Directo)]]&lt;=TB_Ventas[[#This Row],[Descuento 
(Vendedor)]],TB_Ventas[[#This Row],[Descuento (Directo)]],TB_Ventas[[#This Row],[Descuento 
(Vendedor)]])</f>
        <v>0</v>
      </c>
      <c r="M77" s="97">
        <f>TB_Ventas[[#This Row],[Precio Unitario]]*TB_Ventas[[#This Row],[Cant.]]</f>
        <v>89.9</v>
      </c>
      <c r="N77" s="1" t="s">
        <v>139</v>
      </c>
    </row>
    <row r="78" spans="1:14">
      <c r="A78" s="1">
        <f>MONTH(TB_Ventas[[#This Row],[Fecha]])</f>
        <v>8</v>
      </c>
      <c r="B78" s="10" t="s">
        <v>166</v>
      </c>
      <c r="C78" s="9">
        <v>45145</v>
      </c>
      <c r="D78" s="10" t="s">
        <v>111</v>
      </c>
      <c r="E78" s="10" t="str">
        <f>_xlfn.XLOOKUP(TB_Ventas[[#This Row],[Código]],TB_Productos[Código],TB_Productos[Categoría])</f>
        <v>Vestuario</v>
      </c>
      <c r="F78" s="1">
        <v>2</v>
      </c>
      <c r="G78" s="98">
        <f>VLOOKUP(TB_Ventas[[#This Row],[Código]],Productos!$B$6:$F$66,5,0)</f>
        <v>49.9</v>
      </c>
      <c r="H78" s="1">
        <f>_xlfn.XMATCH(TB_Ventas[[#This Row],[Categoría]],Desc_CategorÍas,0)</f>
        <v>3</v>
      </c>
      <c r="I78" s="65">
        <f>VLOOKUP(TB_Ventas[[#This Row],[Cant.]],Desc_TabelaToda,TB_Ventas[[#This Row],[Índice]],TRUE)</f>
        <v>0.15</v>
      </c>
      <c r="J78" s="65" cm="1">
        <f t="array" ref="J78">INDEX(Desc_TabelaToda,MATCH(TB_Ventas[[#This Row],[Cant.]],Desc_Quantidades,1),MATCH(_xlfn.XLOOKUP(TB_Ventas[[#This Row],[Código]],TB_Productos[[#All],[Código]],TB_Productos[[#All],[Categoría]]),Desc_CategorÍas,0))</f>
        <v>0.15</v>
      </c>
      <c r="K78" s="65">
        <f>_xlfn.XLOOKUP(TB_Ventas[[#This Row],[Vendedor]],Vendedores!$A$5:$A$9,Vendedores!$D$5:$D$9)</f>
        <v>0.1</v>
      </c>
      <c r="L78" s="65">
        <f>IF(TB_Ventas[[#This Row],[Descuento (Directo)]]&lt;=TB_Ventas[[#This Row],[Descuento 
(Vendedor)]],TB_Ventas[[#This Row],[Descuento (Directo)]],TB_Ventas[[#This Row],[Descuento 
(Vendedor)]])</f>
        <v>0.1</v>
      </c>
      <c r="M78" s="97">
        <f>TB_Ventas[[#This Row],[Precio Unitario]]*TB_Ventas[[#This Row],[Cant.]]</f>
        <v>99.8</v>
      </c>
      <c r="N78" s="1" t="s">
        <v>139</v>
      </c>
    </row>
    <row r="79" spans="1:14">
      <c r="A79" s="1">
        <f>MONTH(TB_Ventas[[#This Row],[Fecha]])</f>
        <v>8</v>
      </c>
      <c r="B79" s="10" t="s">
        <v>166</v>
      </c>
      <c r="C79" s="9">
        <v>45146</v>
      </c>
      <c r="D79" s="10" t="s">
        <v>87</v>
      </c>
      <c r="E79" s="10" t="str">
        <f>_xlfn.XLOOKUP(TB_Ventas[[#This Row],[Código]],TB_Productos[Código],TB_Productos[Categoría])</f>
        <v>Accesorio</v>
      </c>
      <c r="F79" s="1">
        <v>8</v>
      </c>
      <c r="G79" s="98">
        <f>VLOOKUP(TB_Ventas[[#This Row],[Código]],Productos!$B$6:$F$66,5,0)</f>
        <v>70</v>
      </c>
      <c r="H79" s="1">
        <f>_xlfn.XMATCH(TB_Ventas[[#This Row],[Categoría]],Desc_CategorÍas,0)</f>
        <v>2</v>
      </c>
      <c r="I79" s="65">
        <f>VLOOKUP(TB_Ventas[[#This Row],[Cant.]],Desc_TabelaToda,TB_Ventas[[#This Row],[Índice]],TRUE)</f>
        <v>0.25</v>
      </c>
      <c r="J79" s="65" cm="1">
        <f t="array" ref="J79">INDEX(Desc_TabelaToda,MATCH(TB_Ventas[[#This Row],[Cant.]],Desc_Quantidades,1),MATCH(_xlfn.XLOOKUP(TB_Ventas[[#This Row],[Código]],TB_Productos[[#All],[Código]],TB_Productos[[#All],[Categoría]]),Desc_CategorÍas,0))</f>
        <v>0.25</v>
      </c>
      <c r="K79" s="65">
        <f>_xlfn.XLOOKUP(TB_Ventas[[#This Row],[Vendedor]],Vendedores!$A$5:$A$9,Vendedores!$D$5:$D$9)</f>
        <v>0.15</v>
      </c>
      <c r="L79" s="65">
        <f>IF(TB_Ventas[[#This Row],[Descuento (Directo)]]&lt;=TB_Ventas[[#This Row],[Descuento 
(Vendedor)]],TB_Ventas[[#This Row],[Descuento (Directo)]],TB_Ventas[[#This Row],[Descuento 
(Vendedor)]])</f>
        <v>0.15</v>
      </c>
      <c r="M79" s="97">
        <f>TB_Ventas[[#This Row],[Precio Unitario]]*TB_Ventas[[#This Row],[Cant.]]</f>
        <v>560</v>
      </c>
      <c r="N79" s="1" t="s">
        <v>136</v>
      </c>
    </row>
    <row r="80" spans="1:14">
      <c r="A80" s="1">
        <f>MONTH(TB_Ventas[[#This Row],[Fecha]])</f>
        <v>8</v>
      </c>
      <c r="B80" s="10" t="s">
        <v>166</v>
      </c>
      <c r="C80" s="9">
        <v>45147</v>
      </c>
      <c r="D80" s="10" t="s">
        <v>28</v>
      </c>
      <c r="E80" s="10" t="str">
        <f>_xlfn.XLOOKUP(TB_Ventas[[#This Row],[Código]],TB_Productos[Código],TB_Productos[Categoría])</f>
        <v>Vestuario</v>
      </c>
      <c r="F80" s="1">
        <v>5</v>
      </c>
      <c r="G80" s="98">
        <f>VLOOKUP(TB_Ventas[[#This Row],[Código]],Productos!$B$6:$F$66,5,0)</f>
        <v>46.9</v>
      </c>
      <c r="H80" s="1">
        <f>_xlfn.XMATCH(TB_Ventas[[#This Row],[Categoría]],Desc_CategorÍas,0)</f>
        <v>3</v>
      </c>
      <c r="I80" s="65">
        <f>VLOOKUP(TB_Ventas[[#This Row],[Cant.]],Desc_TabelaToda,TB_Ventas[[#This Row],[Índice]],TRUE)</f>
        <v>0.25</v>
      </c>
      <c r="J80" s="65" cm="1">
        <f t="array" ref="J80">INDEX(Desc_TabelaToda,MATCH(TB_Ventas[[#This Row],[Cant.]],Desc_Quantidades,1),MATCH(_xlfn.XLOOKUP(TB_Ventas[[#This Row],[Código]],TB_Productos[[#All],[Código]],TB_Productos[[#All],[Categoría]]),Desc_CategorÍas,0))</f>
        <v>0.25</v>
      </c>
      <c r="K80" s="65">
        <f>_xlfn.XLOOKUP(TB_Ventas[[#This Row],[Vendedor]],Vendedores!$A$5:$A$9,Vendedores!$D$5:$D$9)</f>
        <v>0.1</v>
      </c>
      <c r="L80" s="65">
        <f>IF(TB_Ventas[[#This Row],[Descuento (Directo)]]&lt;=TB_Ventas[[#This Row],[Descuento 
(Vendedor)]],TB_Ventas[[#This Row],[Descuento (Directo)]],TB_Ventas[[#This Row],[Descuento 
(Vendedor)]])</f>
        <v>0.1</v>
      </c>
      <c r="M80" s="97">
        <f>TB_Ventas[[#This Row],[Precio Unitario]]*TB_Ventas[[#This Row],[Cant.]]</f>
        <v>234.5</v>
      </c>
      <c r="N80" s="1" t="s">
        <v>139</v>
      </c>
    </row>
    <row r="81" spans="1:14">
      <c r="A81" s="1">
        <f>MONTH(TB_Ventas[[#This Row],[Fecha]])</f>
        <v>8</v>
      </c>
      <c r="B81" s="10" t="s">
        <v>166</v>
      </c>
      <c r="C81" s="9">
        <v>45148</v>
      </c>
      <c r="D81" s="10" t="s">
        <v>101</v>
      </c>
      <c r="E81" s="10" t="str">
        <f>_xlfn.XLOOKUP(TB_Ventas[[#This Row],[Código]],TB_Productos[Código],TB_Productos[Categoría])</f>
        <v>Vestuario</v>
      </c>
      <c r="F81" s="1">
        <v>10</v>
      </c>
      <c r="G81" s="98">
        <f>VLOOKUP(TB_Ventas[[#This Row],[Código]],Productos!$B$6:$F$66,5,0)</f>
        <v>289.89999999999998</v>
      </c>
      <c r="H81" s="1">
        <f>_xlfn.XMATCH(TB_Ventas[[#This Row],[Categoría]],Desc_CategorÍas,0)</f>
        <v>3</v>
      </c>
      <c r="I81" s="65">
        <f>VLOOKUP(TB_Ventas[[#This Row],[Cant.]],Desc_TabelaToda,TB_Ventas[[#This Row],[Índice]],TRUE)</f>
        <v>0.3</v>
      </c>
      <c r="J81" s="65" cm="1">
        <f t="array" ref="J81">INDEX(Desc_TabelaToda,MATCH(TB_Ventas[[#This Row],[Cant.]],Desc_Quantidades,1),MATCH(_xlfn.XLOOKUP(TB_Ventas[[#This Row],[Código]],TB_Productos[[#All],[Código]],TB_Productos[[#All],[Categoría]]),Desc_CategorÍas,0))</f>
        <v>0.3</v>
      </c>
      <c r="K81" s="65">
        <f>_xlfn.XLOOKUP(TB_Ventas[[#This Row],[Vendedor]],Vendedores!$A$5:$A$9,Vendedores!$D$5:$D$9)</f>
        <v>0.15</v>
      </c>
      <c r="L81" s="65">
        <f>IF(TB_Ventas[[#This Row],[Descuento (Directo)]]&lt;=TB_Ventas[[#This Row],[Descuento 
(Vendedor)]],TB_Ventas[[#This Row],[Descuento (Directo)]],TB_Ventas[[#This Row],[Descuento 
(Vendedor)]])</f>
        <v>0.15</v>
      </c>
      <c r="M81" s="97">
        <f>TB_Ventas[[#This Row],[Precio Unitario]]*TB_Ventas[[#This Row],[Cant.]]</f>
        <v>2899</v>
      </c>
      <c r="N81" s="1" t="s">
        <v>136</v>
      </c>
    </row>
    <row r="82" spans="1:14">
      <c r="A82" s="1">
        <f>MONTH(TB_Ventas[[#This Row],[Fecha]])</f>
        <v>8</v>
      </c>
      <c r="B82" s="10" t="s">
        <v>166</v>
      </c>
      <c r="C82" s="9">
        <v>45149</v>
      </c>
      <c r="D82" s="10" t="s">
        <v>36</v>
      </c>
      <c r="E82" s="10" t="str">
        <f>_xlfn.XLOOKUP(TB_Ventas[[#This Row],[Código]],TB_Productos[Código],TB_Productos[Categoría])</f>
        <v>Vestuario</v>
      </c>
      <c r="F82" s="1">
        <v>1</v>
      </c>
      <c r="G82" s="98">
        <f>VLOOKUP(TB_Ventas[[#This Row],[Código]],Productos!$B$6:$F$66,5,0)</f>
        <v>42.5</v>
      </c>
      <c r="H82" s="1">
        <f>_xlfn.XMATCH(TB_Ventas[[#This Row],[Categoría]],Desc_CategorÍas,0)</f>
        <v>3</v>
      </c>
      <c r="I82" s="65">
        <f>VLOOKUP(TB_Ventas[[#This Row],[Cant.]],Desc_TabelaToda,TB_Ventas[[#This Row],[Índice]],TRUE)</f>
        <v>0.1</v>
      </c>
      <c r="J82" s="65" cm="1">
        <f t="array" ref="J82">INDEX(Desc_TabelaToda,MATCH(TB_Ventas[[#This Row],[Cant.]],Desc_Quantidades,1),MATCH(_xlfn.XLOOKUP(TB_Ventas[[#This Row],[Código]],TB_Productos[[#All],[Código]],TB_Productos[[#All],[Categoría]]),Desc_CategorÍas,0))</f>
        <v>0.1</v>
      </c>
      <c r="K82" s="65">
        <f>_xlfn.XLOOKUP(TB_Ventas[[#This Row],[Vendedor]],Vendedores!$A$5:$A$9,Vendedores!$D$5:$D$9)</f>
        <v>0.1</v>
      </c>
      <c r="L82" s="65">
        <f>IF(TB_Ventas[[#This Row],[Descuento (Directo)]]&lt;=TB_Ventas[[#This Row],[Descuento 
(Vendedor)]],TB_Ventas[[#This Row],[Descuento (Directo)]],TB_Ventas[[#This Row],[Descuento 
(Vendedor)]])</f>
        <v>0.1</v>
      </c>
      <c r="M82" s="97">
        <f>TB_Ventas[[#This Row],[Precio Unitario]]*TB_Ventas[[#This Row],[Cant.]]</f>
        <v>42.5</v>
      </c>
      <c r="N82" s="1" t="s">
        <v>139</v>
      </c>
    </row>
    <row r="83" spans="1:14">
      <c r="A83" s="1">
        <f>MONTH(TB_Ventas[[#This Row],[Fecha]])</f>
        <v>8</v>
      </c>
      <c r="B83" s="10" t="s">
        <v>166</v>
      </c>
      <c r="C83" s="9">
        <v>45150</v>
      </c>
      <c r="D83" s="10" t="s">
        <v>117</v>
      </c>
      <c r="E83" s="10" t="str">
        <f>_xlfn.XLOOKUP(TB_Ventas[[#This Row],[Código]],TB_Productos[Código],TB_Productos[Categoría])</f>
        <v>Calzado</v>
      </c>
      <c r="F83" s="1">
        <v>2</v>
      </c>
      <c r="G83" s="98">
        <f>VLOOKUP(TB_Ventas[[#This Row],[Código]],Productos!$B$6:$F$66,5,0)</f>
        <v>89.9</v>
      </c>
      <c r="H83" s="1">
        <f>_xlfn.XMATCH(TB_Ventas[[#This Row],[Categoría]],Desc_CategorÍas,0)</f>
        <v>4</v>
      </c>
      <c r="I83" s="65">
        <f>VLOOKUP(TB_Ventas[[#This Row],[Cant.]],Desc_TabelaToda,TB_Ventas[[#This Row],[Índice]],TRUE)</f>
        <v>0.1</v>
      </c>
      <c r="J83" s="65" cm="1">
        <f t="array" ref="J83">INDEX(Desc_TabelaToda,MATCH(TB_Ventas[[#This Row],[Cant.]],Desc_Quantidades,1),MATCH(_xlfn.XLOOKUP(TB_Ventas[[#This Row],[Código]],TB_Productos[[#All],[Código]],TB_Productos[[#All],[Categoría]]),Desc_CategorÍas,0))</f>
        <v>0.1</v>
      </c>
      <c r="K83" s="65">
        <f>_xlfn.XLOOKUP(TB_Ventas[[#This Row],[Vendedor]],Vendedores!$A$5:$A$9,Vendedores!$D$5:$D$9)</f>
        <v>0.15</v>
      </c>
      <c r="L83" s="65">
        <f>IF(TB_Ventas[[#This Row],[Descuento (Directo)]]&lt;=TB_Ventas[[#This Row],[Descuento 
(Vendedor)]],TB_Ventas[[#This Row],[Descuento (Directo)]],TB_Ventas[[#This Row],[Descuento 
(Vendedor)]])</f>
        <v>0.1</v>
      </c>
      <c r="M83" s="97">
        <f>TB_Ventas[[#This Row],[Precio Unitario]]*TB_Ventas[[#This Row],[Cant.]]</f>
        <v>179.8</v>
      </c>
      <c r="N83" s="1" t="s">
        <v>136</v>
      </c>
    </row>
    <row r="84" spans="1:14">
      <c r="A84" s="1">
        <f>MONTH(TB_Ventas[[#This Row],[Fecha]])</f>
        <v>8</v>
      </c>
      <c r="B84" s="10" t="s">
        <v>166</v>
      </c>
      <c r="C84" s="9">
        <v>45151</v>
      </c>
      <c r="D84" s="10" t="s">
        <v>65</v>
      </c>
      <c r="E84" s="10" t="str">
        <f>_xlfn.XLOOKUP(TB_Ventas[[#This Row],[Código]],TB_Productos[Código],TB_Productos[Categoría])</f>
        <v>Calzado</v>
      </c>
      <c r="F84" s="1">
        <v>3</v>
      </c>
      <c r="G84" s="98">
        <f>VLOOKUP(TB_Ventas[[#This Row],[Código]],Productos!$B$6:$F$66,5,0)</f>
        <v>255</v>
      </c>
      <c r="H84" s="1">
        <f>_xlfn.XMATCH(TB_Ventas[[#This Row],[Categoría]],Desc_CategorÍas,0)</f>
        <v>4</v>
      </c>
      <c r="I84" s="65">
        <f>VLOOKUP(TB_Ventas[[#This Row],[Cant.]],Desc_TabelaToda,TB_Ventas[[#This Row],[Índice]],TRUE)</f>
        <v>0.15</v>
      </c>
      <c r="J84" s="65" cm="1">
        <f t="array" ref="J84">INDEX(Desc_TabelaToda,MATCH(TB_Ventas[[#This Row],[Cant.]],Desc_Quantidades,1),MATCH(_xlfn.XLOOKUP(TB_Ventas[[#This Row],[Código]],TB_Productos[[#All],[Código]],TB_Productos[[#All],[Categoría]]),Desc_CategorÍas,0))</f>
        <v>0.15</v>
      </c>
      <c r="K84" s="65">
        <f>_xlfn.XLOOKUP(TB_Ventas[[#This Row],[Vendedor]],Vendedores!$A$5:$A$9,Vendedores!$D$5:$D$9)</f>
        <v>0.2</v>
      </c>
      <c r="L84" s="65">
        <f>IF(TB_Ventas[[#This Row],[Descuento (Directo)]]&lt;=TB_Ventas[[#This Row],[Descuento 
(Vendedor)]],TB_Ventas[[#This Row],[Descuento (Directo)]],TB_Ventas[[#This Row],[Descuento 
(Vendedor)]])</f>
        <v>0.15</v>
      </c>
      <c r="M84" s="97">
        <f>TB_Ventas[[#This Row],[Precio Unitario]]*TB_Ventas[[#This Row],[Cant.]]</f>
        <v>765</v>
      </c>
      <c r="N84" s="1" t="s">
        <v>133</v>
      </c>
    </row>
    <row r="85" spans="1:14">
      <c r="A85" s="1">
        <f>MONTH(TB_Ventas[[#This Row],[Fecha]])</f>
        <v>8</v>
      </c>
      <c r="B85" s="10" t="s">
        <v>166</v>
      </c>
      <c r="C85" s="9">
        <v>45152</v>
      </c>
      <c r="D85" s="10" t="s">
        <v>36</v>
      </c>
      <c r="E85" s="10" t="str">
        <f>_xlfn.XLOOKUP(TB_Ventas[[#This Row],[Código]],TB_Productos[Código],TB_Productos[Categoría])</f>
        <v>Vestuario</v>
      </c>
      <c r="F85" s="1">
        <v>6</v>
      </c>
      <c r="G85" s="98">
        <f>VLOOKUP(TB_Ventas[[#This Row],[Código]],Productos!$B$6:$F$66,5,0)</f>
        <v>42.5</v>
      </c>
      <c r="H85" s="1">
        <f>_xlfn.XMATCH(TB_Ventas[[#This Row],[Categoría]],Desc_CategorÍas,0)</f>
        <v>3</v>
      </c>
      <c r="I85" s="65">
        <f>VLOOKUP(TB_Ventas[[#This Row],[Cant.]],Desc_TabelaToda,TB_Ventas[[#This Row],[Índice]],TRUE)</f>
        <v>0.25</v>
      </c>
      <c r="J85" s="65" cm="1">
        <f t="array" ref="J85">INDEX(Desc_TabelaToda,MATCH(TB_Ventas[[#This Row],[Cant.]],Desc_Quantidades,1),MATCH(_xlfn.XLOOKUP(TB_Ventas[[#This Row],[Código]],TB_Productos[[#All],[Código]],TB_Productos[[#All],[Categoría]]),Desc_CategorÍas,0))</f>
        <v>0.25</v>
      </c>
      <c r="K85" s="65">
        <f>_xlfn.XLOOKUP(TB_Ventas[[#This Row],[Vendedor]],Vendedores!$A$5:$A$9,Vendedores!$D$5:$D$9)</f>
        <v>0.2</v>
      </c>
      <c r="L85" s="65">
        <f>IF(TB_Ventas[[#This Row],[Descuento (Directo)]]&lt;=TB_Ventas[[#This Row],[Descuento 
(Vendedor)]],TB_Ventas[[#This Row],[Descuento (Directo)]],TB_Ventas[[#This Row],[Descuento 
(Vendedor)]])</f>
        <v>0.2</v>
      </c>
      <c r="M85" s="97">
        <f>TB_Ventas[[#This Row],[Precio Unitario]]*TB_Ventas[[#This Row],[Cant.]]</f>
        <v>255</v>
      </c>
      <c r="N85" s="1" t="s">
        <v>142</v>
      </c>
    </row>
    <row r="86" spans="1:14">
      <c r="A86" s="1">
        <f>MONTH(TB_Ventas[[#This Row],[Fecha]])</f>
        <v>8</v>
      </c>
      <c r="B86" s="10" t="s">
        <v>166</v>
      </c>
      <c r="C86" s="9">
        <v>45153</v>
      </c>
      <c r="D86" s="10" t="s">
        <v>34</v>
      </c>
      <c r="E86" s="10" t="str">
        <f>_xlfn.XLOOKUP(TB_Ventas[[#This Row],[Código]],TB_Productos[Código],TB_Productos[Categoría])</f>
        <v>Vestuario</v>
      </c>
      <c r="F86" s="1">
        <v>8</v>
      </c>
      <c r="G86" s="98">
        <f>VLOOKUP(TB_Ventas[[#This Row],[Código]],Productos!$B$6:$F$66,5,0)</f>
        <v>39.9</v>
      </c>
      <c r="H86" s="1">
        <f>_xlfn.XMATCH(TB_Ventas[[#This Row],[Categoría]],Desc_CategorÍas,0)</f>
        <v>3</v>
      </c>
      <c r="I86" s="65">
        <f>VLOOKUP(TB_Ventas[[#This Row],[Cant.]],Desc_TabelaToda,TB_Ventas[[#This Row],[Índice]],TRUE)</f>
        <v>0.25</v>
      </c>
      <c r="J86" s="65" cm="1">
        <f t="array" ref="J86">INDEX(Desc_TabelaToda,MATCH(TB_Ventas[[#This Row],[Cant.]],Desc_Quantidades,1),MATCH(_xlfn.XLOOKUP(TB_Ventas[[#This Row],[Código]],TB_Productos[[#All],[Código]],TB_Productos[[#All],[Categoría]]),Desc_CategorÍas,0))</f>
        <v>0.25</v>
      </c>
      <c r="K86" s="65">
        <f>_xlfn.XLOOKUP(TB_Ventas[[#This Row],[Vendedor]],Vendedores!$A$5:$A$9,Vendedores!$D$5:$D$9)</f>
        <v>0.15</v>
      </c>
      <c r="L86" s="65">
        <f>IF(TB_Ventas[[#This Row],[Descuento (Directo)]]&lt;=TB_Ventas[[#This Row],[Descuento 
(Vendedor)]],TB_Ventas[[#This Row],[Descuento (Directo)]],TB_Ventas[[#This Row],[Descuento 
(Vendedor)]])</f>
        <v>0.15</v>
      </c>
      <c r="M86" s="97">
        <f>TB_Ventas[[#This Row],[Precio Unitario]]*TB_Ventas[[#This Row],[Cant.]]</f>
        <v>319.2</v>
      </c>
      <c r="N86" s="1" t="s">
        <v>136</v>
      </c>
    </row>
  </sheetData>
  <phoneticPr fontId="12" type="noConversion"/>
  <conditionalFormatting sqref="F4:L4">
    <cfRule type="cellIs" dxfId="16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activeCell="F6" sqref="F6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2.7109375" customWidth="1"/>
    <col min="6" max="6" width="34" customWidth="1"/>
    <col min="7" max="9" width="8.85546875" customWidth="1"/>
  </cols>
  <sheetData>
    <row r="1" spans="1:9" s="35" customFormat="1" ht="40.15" customHeight="1">
      <c r="A1" s="38"/>
      <c r="B1" s="42" t="s">
        <v>167</v>
      </c>
      <c r="C1" s="40"/>
      <c r="D1" s="40"/>
      <c r="E1" s="40"/>
      <c r="F1" s="40"/>
      <c r="G1" s="40"/>
      <c r="H1" s="40"/>
      <c r="I1" s="40"/>
    </row>
    <row r="2" spans="1:9" s="36" customFormat="1" ht="4.5" customHeight="1">
      <c r="A2" s="39"/>
      <c r="B2" s="39"/>
      <c r="C2" s="39"/>
      <c r="D2" s="39"/>
      <c r="E2" s="39"/>
      <c r="F2" s="39"/>
    </row>
    <row r="3" spans="1:9" ht="4.5" customHeight="1">
      <c r="A3" s="37"/>
      <c r="B3" s="37"/>
      <c r="C3" s="37"/>
      <c r="D3" s="37"/>
      <c r="E3" s="37"/>
      <c r="F3" s="37"/>
    </row>
    <row r="4" spans="1:9" ht="23.25" customHeight="1">
      <c r="A4" s="37"/>
      <c r="B4" s="109" t="s">
        <v>168</v>
      </c>
      <c r="C4" s="109"/>
      <c r="D4" s="37"/>
      <c r="E4" s="109" t="s">
        <v>169</v>
      </c>
      <c r="F4" s="109"/>
    </row>
    <row r="5" spans="1:9" ht="5.25" customHeight="1" thickBot="1"/>
    <row r="6" spans="1:9" ht="24.6" customHeight="1" thickBot="1">
      <c r="B6" s="67" t="s">
        <v>1</v>
      </c>
      <c r="C6" s="66" t="s">
        <v>113</v>
      </c>
      <c r="E6" s="67" t="s">
        <v>170</v>
      </c>
      <c r="F6" s="71">
        <v>44938</v>
      </c>
    </row>
    <row r="7" spans="1:9" ht="24.6" customHeight="1" thickTop="1" thickBot="1">
      <c r="B7" s="67" t="s">
        <v>171</v>
      </c>
      <c r="C7" s="45" t="str">
        <f>IFERROR(VLOOKUP(C6,TB_Productos[#All],2,FALSE),"")</f>
        <v>Falda vaquera</v>
      </c>
      <c r="E7" s="67" t="s">
        <v>172</v>
      </c>
      <c r="F7" s="45" t="str">
        <f>_xlfn.XLOOKUP(WEEKDAY(F6),'Registros Auxiliares'!$B$4:$I$4,'Registros Auxiliares'!$B$5:$I$5,"")</f>
        <v>Jueves</v>
      </c>
      <c r="G7" s="44"/>
    </row>
    <row r="8" spans="1:9" ht="24.6" customHeight="1" thickTop="1" thickBot="1">
      <c r="B8" s="68" t="s">
        <v>3</v>
      </c>
      <c r="C8" s="43" t="str" cm="1">
        <f t="array" ref="C8">_xlfn.XLOOKUP(C6,TB_Productos[[#All],[Código]],TB_Productos[[#All],[Categoría]],"")</f>
        <v>Vestuario</v>
      </c>
      <c r="E8" s="68" t="s">
        <v>173</v>
      </c>
      <c r="F8" s="99">
        <f>SUMIF(TB_Ventas[[#All],[Fecha]],Consultas!$F$6,TB_Ventas[[#All],[Total]])</f>
        <v>46.9</v>
      </c>
      <c r="G8" s="44"/>
    </row>
    <row r="9" spans="1:9" ht="24.6" customHeight="1" thickTop="1" thickBot="1">
      <c r="B9" s="69" t="s">
        <v>5</v>
      </c>
      <c r="C9" s="99" cm="1">
        <f t="array" ref="C9">_xlfn.XLOOKUP($C$6,TB_Productos[[#All],[Código]],TB_Productos[[#All],[Precio Unitario]],"")</f>
        <v>49.9</v>
      </c>
      <c r="E9" s="70" t="s">
        <v>174</v>
      </c>
      <c r="F9" s="46">
        <f>SUMIF(TB_Ventas[[#All],[Fecha]],Consultas!$F$6,TB_Ventas[[#All],[Cant.]])</f>
        <v>1</v>
      </c>
      <c r="G9" s="44"/>
    </row>
    <row r="10" spans="1:9" ht="24.6" customHeight="1" thickTop="1" thickBot="1">
      <c r="B10" s="68" t="s">
        <v>4</v>
      </c>
      <c r="C10" s="43" cm="1">
        <f t="array" ref="C10">_xlfn.XLOOKUP($C$6,TB_Productos[[#All],[Código]],TB_Productos[[#All],[Stock]],"")</f>
        <v>40</v>
      </c>
      <c r="G10" s="44"/>
    </row>
    <row r="11" spans="1:9" ht="24.6" customHeight="1" thickTop="1" thickBot="1">
      <c r="B11" s="69" t="s">
        <v>175</v>
      </c>
      <c r="C11" s="43" t="str" cm="1">
        <f t="array" ref="C11">_xlfn.IFS(C10=0,"Stock Agotado",C10&gt;=C12,"Stock OK",1,"Revisar Stock")</f>
        <v>Stock OK</v>
      </c>
      <c r="G11" s="44"/>
    </row>
    <row r="12" spans="1:9" ht="23.25" thickTop="1" thickBot="1">
      <c r="B12" s="70" t="s">
        <v>176</v>
      </c>
      <c r="C12" s="46">
        <f>_xlfn.XLOOKUP(C8,'Registros Auxiliares'!G9:G11,'Registros Auxiliares'!H9:H11)</f>
        <v>10</v>
      </c>
      <c r="E12" s="72"/>
    </row>
    <row r="13" spans="1:9" ht="23.25">
      <c r="E13" s="73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Productos!$B:$B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Ventas!$C:$C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F11" sqref="F11"/>
    </sheetView>
  </sheetViews>
  <sheetFormatPr defaultColWidth="8.85546875" defaultRowHeight="15"/>
  <cols>
    <col min="1" max="1" width="8" customWidth="1"/>
    <col min="2" max="2" width="30.85546875" customWidth="1"/>
    <col min="3" max="9" width="17.42578125" customWidth="1"/>
  </cols>
  <sheetData>
    <row r="1" spans="2:10" s="35" customFormat="1" ht="40.15" customHeight="1">
      <c r="B1" s="58" t="s">
        <v>177</v>
      </c>
      <c r="C1" s="42"/>
      <c r="D1" s="42"/>
      <c r="E1" s="42"/>
      <c r="F1" s="42"/>
      <c r="G1" s="42"/>
      <c r="H1" s="42"/>
      <c r="I1" s="40"/>
      <c r="J1" s="40"/>
    </row>
    <row r="2" spans="2:10" s="36" customFormat="1" ht="4.5" customHeight="1">
      <c r="B2" s="39"/>
      <c r="C2" s="39"/>
      <c r="D2" s="39"/>
      <c r="E2" s="39"/>
      <c r="F2" s="39"/>
      <c r="G2" s="39"/>
    </row>
    <row r="3" spans="2:10" ht="4.5" customHeight="1" thickBot="1">
      <c r="B3" s="37"/>
      <c r="C3" s="37"/>
      <c r="D3" s="37"/>
      <c r="E3" s="37"/>
      <c r="F3" s="37"/>
      <c r="G3" s="37"/>
    </row>
    <row r="4" spans="2:10" ht="22.5" thickBot="1">
      <c r="B4" s="32" t="s">
        <v>1</v>
      </c>
      <c r="C4" s="33">
        <v>1</v>
      </c>
      <c r="D4" s="34">
        <v>2</v>
      </c>
      <c r="E4" s="33">
        <v>3</v>
      </c>
      <c r="F4" s="34">
        <v>4</v>
      </c>
      <c r="G4" s="33">
        <v>5</v>
      </c>
      <c r="H4" s="34">
        <v>6</v>
      </c>
      <c r="I4" s="33">
        <v>7</v>
      </c>
    </row>
    <row r="5" spans="2:10" s="51" customFormat="1" ht="22.5" thickBot="1">
      <c r="B5" s="49" t="s">
        <v>178</v>
      </c>
      <c r="C5" s="50" t="s">
        <v>179</v>
      </c>
      <c r="D5" s="50" t="s">
        <v>180</v>
      </c>
      <c r="E5" s="50" t="s">
        <v>181</v>
      </c>
      <c r="F5" s="50" t="s">
        <v>182</v>
      </c>
      <c r="G5" s="50" t="s">
        <v>183</v>
      </c>
      <c r="H5" s="50" t="s">
        <v>184</v>
      </c>
      <c r="I5" s="50" t="s">
        <v>185</v>
      </c>
    </row>
    <row r="7" spans="2:10" ht="15.75" thickBot="1"/>
    <row r="8" spans="2:10" ht="66" thickBot="1">
      <c r="B8" s="55" t="s">
        <v>186</v>
      </c>
      <c r="C8" s="56" t="s">
        <v>15</v>
      </c>
      <c r="D8" s="56" t="s">
        <v>8</v>
      </c>
      <c r="E8" s="56" t="s">
        <v>64</v>
      </c>
      <c r="G8" s="74" t="s">
        <v>3</v>
      </c>
      <c r="H8" s="75" t="s">
        <v>176</v>
      </c>
    </row>
    <row r="9" spans="2:10" ht="18.75" thickBot="1">
      <c r="B9" s="50">
        <v>1</v>
      </c>
      <c r="C9" s="54">
        <v>0</v>
      </c>
      <c r="D9" s="54">
        <v>0.1</v>
      </c>
      <c r="E9" s="57">
        <v>0</v>
      </c>
      <c r="G9" s="50" t="s">
        <v>15</v>
      </c>
      <c r="H9" s="76">
        <v>5</v>
      </c>
    </row>
    <row r="10" spans="2:10" ht="18.75" thickBot="1">
      <c r="B10" s="50">
        <v>2</v>
      </c>
      <c r="C10" s="54">
        <v>0.05</v>
      </c>
      <c r="D10" s="54">
        <v>0.15</v>
      </c>
      <c r="E10" s="57">
        <v>0.1</v>
      </c>
      <c r="G10" s="50" t="s">
        <v>8</v>
      </c>
      <c r="H10" s="76">
        <v>10</v>
      </c>
    </row>
    <row r="11" spans="2:10" ht="18.75" thickBot="1">
      <c r="B11" s="50">
        <v>3</v>
      </c>
      <c r="C11" s="54">
        <v>0.15</v>
      </c>
      <c r="D11" s="54">
        <v>0.2</v>
      </c>
      <c r="E11" s="57">
        <v>0.15</v>
      </c>
      <c r="G11" s="50" t="s">
        <v>64</v>
      </c>
      <c r="H11" s="76">
        <v>15</v>
      </c>
    </row>
    <row r="12" spans="2:10" ht="18.75" thickBot="1">
      <c r="B12" s="50">
        <v>5</v>
      </c>
      <c r="C12" s="54">
        <v>0.25</v>
      </c>
      <c r="D12" s="54">
        <v>0.25</v>
      </c>
      <c r="E12" s="57">
        <v>0.25</v>
      </c>
    </row>
    <row r="13" spans="2:10" ht="18.75" thickBot="1">
      <c r="B13" s="50">
        <v>10</v>
      </c>
      <c r="C13" s="54">
        <v>0.3</v>
      </c>
      <c r="D13" s="54">
        <v>0.3</v>
      </c>
      <c r="E13" s="57">
        <v>0.3</v>
      </c>
      <c r="G13" s="64"/>
    </row>
    <row r="15" spans="2:10" ht="23.25">
      <c r="B15" s="73"/>
      <c r="C15" s="73"/>
      <c r="D15" s="73"/>
      <c r="E15" s="73"/>
      <c r="F15" s="73"/>
    </row>
    <row r="16" spans="2:10" ht="23.25">
      <c r="B16" s="73"/>
      <c r="C16" s="73"/>
      <c r="D16" s="73"/>
      <c r="E16" s="73"/>
      <c r="F16" s="73"/>
    </row>
    <row r="17" spans="2:6" ht="23.25">
      <c r="B17" s="73"/>
      <c r="C17" s="73"/>
      <c r="D17" s="82"/>
      <c r="E17" s="73"/>
      <c r="F17" s="73"/>
    </row>
    <row r="18" spans="2:6" ht="23.25">
      <c r="B18" s="73"/>
      <c r="C18" s="73"/>
      <c r="D18" s="73"/>
      <c r="E18" s="73"/>
      <c r="F18" s="82"/>
    </row>
    <row r="19" spans="2:6" ht="23.25">
      <c r="B19" s="73"/>
      <c r="C19" s="73"/>
      <c r="D19" s="73"/>
      <c r="E19" s="73"/>
      <c r="F19" s="73"/>
    </row>
    <row r="20" spans="2:6" ht="23.25">
      <c r="B20" s="73"/>
      <c r="C20" s="73"/>
      <c r="D20" s="73"/>
      <c r="E20" s="73"/>
      <c r="F20" s="73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tabSelected="1" topLeftCell="A2" zoomScale="110" zoomScaleNormal="110" workbookViewId="0">
      <selection activeCell="B12" sqref="B12"/>
    </sheetView>
  </sheetViews>
  <sheetFormatPr defaultColWidth="8.85546875" defaultRowHeight="15"/>
  <cols>
    <col min="2" max="2" width="24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1:14" s="35" customFormat="1" ht="40.15" customHeight="1" thickBot="1">
      <c r="B1" s="58" t="s">
        <v>187</v>
      </c>
      <c r="C1" s="38"/>
      <c r="D1" s="42"/>
      <c r="E1" s="40"/>
      <c r="F1" s="40"/>
      <c r="G1" s="40"/>
      <c r="H1" s="40"/>
      <c r="I1" s="40"/>
      <c r="J1" s="40"/>
      <c r="K1" s="40"/>
    </row>
    <row r="2" spans="1:14" ht="21.75" customHeight="1">
      <c r="B2" s="83" t="s">
        <v>2</v>
      </c>
      <c r="C2" s="85" t="s">
        <v>4</v>
      </c>
      <c r="D2" s="84" t="s">
        <v>5</v>
      </c>
      <c r="F2" s="110" t="s">
        <v>188</v>
      </c>
      <c r="G2" s="110"/>
      <c r="H2" s="110"/>
      <c r="I2" s="110"/>
      <c r="J2" s="110"/>
      <c r="K2" s="110"/>
      <c r="L2" s="110"/>
      <c r="M2" s="110"/>
      <c r="N2" s="110"/>
    </row>
    <row r="3" spans="1:14" ht="21.75" customHeight="1">
      <c r="B3" s="88" t="s">
        <v>189</v>
      </c>
      <c r="C3" s="89">
        <v>17</v>
      </c>
      <c r="D3" s="100">
        <v>65.900000000000006</v>
      </c>
      <c r="F3" s="102">
        <f>_xlfn.XLOOKUP(20,C3:C10,D3:D10,,-1,1)</f>
        <v>259.89999999999998</v>
      </c>
      <c r="G3" s="87">
        <f>VLOOKUP(20, C2:D10, 2, TRUE)</f>
        <v>259.89999999999998</v>
      </c>
      <c r="H3" s="87">
        <f>VLOOKUP(20, C3:D10, 2)</f>
        <v>259.89999999999998</v>
      </c>
      <c r="I3" s="87" t="e">
        <f>VLOOKUP(20, A2:C10, 3, TRUE)</f>
        <v>#N/A</v>
      </c>
      <c r="J3" s="87">
        <f>_xlfn.XLOOKUP(20, C2:C10, D2:D10, "No encontrado", 1)</f>
        <v>39.9</v>
      </c>
      <c r="K3" s="87">
        <f>_xlfn.XLOOKUP(20, C2:C10, D2:D10, "No encontrado", -1)</f>
        <v>259.89999999999998</v>
      </c>
      <c r="L3" s="87"/>
      <c r="M3" s="87"/>
      <c r="N3" s="87"/>
    </row>
    <row r="4" spans="1:14" ht="21.75" customHeight="1">
      <c r="B4" s="88" t="s">
        <v>190</v>
      </c>
      <c r="C4" s="89">
        <v>19</v>
      </c>
      <c r="D4" s="100">
        <v>259.89999999999998</v>
      </c>
    </row>
    <row r="5" spans="1:14" ht="21.75" customHeight="1">
      <c r="B5" s="88" t="s">
        <v>17</v>
      </c>
      <c r="C5" s="89">
        <v>23</v>
      </c>
      <c r="D5" s="100">
        <v>39.9</v>
      </c>
      <c r="F5" s="110" t="s">
        <v>191</v>
      </c>
      <c r="G5" s="110"/>
      <c r="H5" s="110"/>
      <c r="I5" s="110"/>
      <c r="J5" s="110"/>
      <c r="K5" s="110"/>
      <c r="L5" s="110"/>
      <c r="M5" s="110"/>
      <c r="N5" s="110"/>
    </row>
    <row r="6" spans="1:14" ht="21.75" customHeight="1">
      <c r="B6" s="88" t="s">
        <v>192</v>
      </c>
      <c r="C6" s="89">
        <v>24</v>
      </c>
      <c r="D6" s="100">
        <v>85.9</v>
      </c>
      <c r="F6" s="102" t="str">
        <f>_xlfn.XLOOKUP(35,C3:C10,B3:B10,,-1,1)</f>
        <v>Pantalones vaqueros</v>
      </c>
      <c r="G6" s="87"/>
      <c r="H6" s="87" t="e">
        <f>VLOOKUP(50, B2:D100, 2, TRUE)</f>
        <v>#N/A</v>
      </c>
      <c r="I6" s="87"/>
      <c r="J6" s="87"/>
      <c r="K6" s="87"/>
      <c r="L6" s="87"/>
      <c r="M6" s="87"/>
      <c r="N6" s="87"/>
    </row>
    <row r="7" spans="1:14" ht="21.75" customHeight="1">
      <c r="B7" s="88" t="s">
        <v>192</v>
      </c>
      <c r="C7" s="89">
        <v>34</v>
      </c>
      <c r="D7" s="100">
        <v>89.9</v>
      </c>
    </row>
    <row r="8" spans="1:14" ht="21.75" customHeight="1">
      <c r="B8" s="88" t="s">
        <v>193</v>
      </c>
      <c r="C8" s="89">
        <v>36</v>
      </c>
      <c r="D8" s="100">
        <v>145</v>
      </c>
      <c r="F8" s="110" t="s">
        <v>194</v>
      </c>
      <c r="G8" s="110"/>
      <c r="H8" s="110"/>
      <c r="I8" s="110"/>
      <c r="J8" s="110"/>
      <c r="K8" s="110"/>
      <c r="L8" s="110"/>
      <c r="M8" s="110"/>
      <c r="N8" s="110"/>
    </row>
    <row r="9" spans="1:14" ht="21.75" customHeight="1">
      <c r="B9" s="88" t="s">
        <v>189</v>
      </c>
      <c r="C9" s="89">
        <v>37</v>
      </c>
      <c r="D9" s="100">
        <v>70.900000000000006</v>
      </c>
      <c r="F9" s="102" t="e">
        <f>IF(AND(MATCH(65.9, B2:B10, 0), MATCH(35, A2:A10, 1)), "Sí", "No")</f>
        <v>#N/A</v>
      </c>
      <c r="G9" s="102" t="str">
        <f>IF(AND(MATCH(65.9,D3:D10, 0), MATCH("Bermudas", B3:B10, 0)), "Sí", "No")</f>
        <v>Sí</v>
      </c>
      <c r="H9" s="106" t="str" cm="1">
        <f t="array" ref="H9">IF(SUM((B2:B10="Bermudas")*(D2:D10=65.9))&gt;0, "Sí", "No")</f>
        <v>Sí</v>
      </c>
      <c r="I9" s="87"/>
      <c r="J9" s="87"/>
      <c r="K9" s="87"/>
      <c r="L9" s="87"/>
      <c r="M9" s="87"/>
      <c r="N9" s="87"/>
    </row>
    <row r="10" spans="1:14" ht="21.75" customHeight="1" thickBot="1">
      <c r="B10" s="90" t="s">
        <v>189</v>
      </c>
      <c r="C10" s="91">
        <v>48</v>
      </c>
      <c r="D10" s="101">
        <v>65.8</v>
      </c>
    </row>
    <row r="11" spans="1:14" ht="21.75" customHeight="1">
      <c r="F11" s="110" t="s">
        <v>195</v>
      </c>
      <c r="G11" s="110"/>
      <c r="H11" s="110"/>
      <c r="I11" s="110"/>
      <c r="J11" s="110"/>
      <c r="K11" s="110"/>
      <c r="L11" s="110"/>
      <c r="M11" s="110"/>
      <c r="N11" s="110"/>
    </row>
    <row r="12" spans="1:14" ht="21.75" customHeight="1">
      <c r="F12" s="103" t="e">
        <f>INDEX(A2:A10, MATCH(MAX(B2:B10), B2:B10, 0))</f>
        <v>#N/A</v>
      </c>
      <c r="G12" s="102" t="str">
        <f>INDEX(B3:D10,MATCH(MAX(D3:D10),D3:D10,0),1)</f>
        <v>Bolso de cuero</v>
      </c>
      <c r="H12" s="87"/>
      <c r="I12" s="87"/>
      <c r="J12" s="87"/>
      <c r="K12" s="87"/>
      <c r="L12" s="87"/>
      <c r="M12" s="87"/>
      <c r="N12" s="87"/>
    </row>
    <row r="13" spans="1:14" s="93" customFormat="1" ht="21.75" customHeight="1"/>
    <row r="14" spans="1:14" ht="31.5">
      <c r="A14" s="93"/>
      <c r="B14" s="104" t="s">
        <v>196</v>
      </c>
      <c r="C14" s="93"/>
      <c r="D14" s="93"/>
      <c r="E14" s="93"/>
      <c r="F14" s="94"/>
      <c r="G14" s="94"/>
      <c r="H14" s="94"/>
      <c r="I14" s="94"/>
      <c r="J14" s="94"/>
      <c r="K14" s="94"/>
      <c r="L14" s="94"/>
      <c r="M14" s="94"/>
      <c r="N14" s="94"/>
    </row>
    <row r="15" spans="1:14" ht="31.5">
      <c r="A15" s="93"/>
      <c r="B15" s="104" t="str">
        <f>_xlfn.ARRAYTOTEXT(B2:D10)</f>
        <v>Productos; Stock; Precio Unitario; Bermudas; 17; 65,9; Bolso de cuero; 19; 259,9; Gorra; 23; 39,9; Pantalones vaqueros; 24; 85,9; Pantalones vaqueros; 34; 89,9; Bolso comodín; 36; 145; Bermudas; 37; 70,9; Bermudas; 48; 65,8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</row>
    <row r="16" spans="1:14" ht="31.5">
      <c r="A16" s="93"/>
      <c r="B16" s="104" t="str">
        <f>"Son 3 Columnas:"&amp;_xlfn.ARRAYTOTEXT(B2:D2)</f>
        <v>Son 3 Columnas:Productos; Stock; Precio Unitario</v>
      </c>
      <c r="C16" s="93"/>
      <c r="D16" s="93"/>
      <c r="E16" s="93"/>
      <c r="F16" s="96"/>
      <c r="G16" s="93"/>
      <c r="H16" s="93"/>
      <c r="I16" s="93"/>
      <c r="J16" s="93"/>
      <c r="K16" s="93"/>
      <c r="L16" s="93"/>
      <c r="M16" s="93"/>
      <c r="N16" s="93"/>
    </row>
    <row r="17" spans="1:14" ht="31.5">
      <c r="A17" s="93"/>
      <c r="B17" s="104" t="s">
        <v>197</v>
      </c>
      <c r="C17" s="93"/>
      <c r="D17" s="93"/>
      <c r="E17" s="93"/>
      <c r="F17" s="94"/>
      <c r="G17" s="94"/>
      <c r="H17" s="94"/>
      <c r="I17" s="94"/>
      <c r="J17" s="94"/>
      <c r="K17" s="94"/>
      <c r="L17" s="94"/>
      <c r="M17" s="94"/>
      <c r="N17" s="94"/>
    </row>
    <row r="18" spans="1:14" ht="31.5">
      <c r="A18" s="93"/>
      <c r="B18" s="104" t="s">
        <v>198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</row>
    <row r="19" spans="1:14" ht="31.5">
      <c r="A19" s="93"/>
      <c r="B19" s="104" t="str">
        <f>F8</f>
        <v>Responda sí, si hay unas bermudas que cuestan 65,90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</row>
    <row r="20" spans="1:14" ht="31.5">
      <c r="A20" s="93"/>
      <c r="B20" s="104"/>
      <c r="C20" s="93"/>
      <c r="D20" s="93"/>
      <c r="E20" s="93"/>
      <c r="F20" s="94"/>
      <c r="G20" s="94"/>
      <c r="H20" s="94"/>
      <c r="I20" s="94"/>
      <c r="J20" s="94"/>
      <c r="K20" s="94"/>
      <c r="L20" s="94"/>
      <c r="M20" s="94"/>
      <c r="N20" s="94"/>
    </row>
    <row r="21" spans="1:14" ht="31.5">
      <c r="B21" s="105"/>
    </row>
    <row r="22" spans="1:14" ht="31.5">
      <c r="B22" s="105"/>
    </row>
    <row r="23" spans="1:14" ht="18">
      <c r="F23" s="86"/>
      <c r="G23" s="86"/>
      <c r="H23" s="86"/>
      <c r="I23" s="86"/>
      <c r="J23" s="86"/>
      <c r="K23" s="86"/>
      <c r="L23" s="86"/>
      <c r="M23" s="86"/>
      <c r="N23" s="86"/>
    </row>
  </sheetData>
  <sortState xmlns:xlrd2="http://schemas.microsoft.com/office/spreadsheetml/2017/richdata2" ref="B3:D10">
    <sortCondition ref="C3:C1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D1" sqref="D1"/>
    </sheetView>
  </sheetViews>
  <sheetFormatPr defaultColWidth="8.85546875" defaultRowHeight="15"/>
  <cols>
    <col min="2" max="2" width="23.8554687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2:14" s="35" customFormat="1" ht="40.15" customHeight="1" thickBot="1">
      <c r="B1" s="58" t="s">
        <v>187</v>
      </c>
      <c r="C1" s="38"/>
      <c r="D1" s="42"/>
      <c r="E1" s="40"/>
      <c r="F1" s="40"/>
      <c r="G1" s="40"/>
      <c r="H1" s="40"/>
      <c r="I1" s="40"/>
      <c r="J1" s="40"/>
      <c r="K1" s="40"/>
    </row>
    <row r="2" spans="2:14" ht="21.75" customHeight="1">
      <c r="B2" s="83" t="s">
        <v>2</v>
      </c>
      <c r="C2" s="85" t="s">
        <v>4</v>
      </c>
      <c r="D2" s="84" t="s">
        <v>5</v>
      </c>
      <c r="F2" s="110" t="s">
        <v>188</v>
      </c>
      <c r="G2" s="110"/>
      <c r="H2" s="110"/>
      <c r="I2" s="110"/>
      <c r="J2" s="110"/>
      <c r="K2" s="110"/>
      <c r="L2" s="110"/>
      <c r="M2" s="110"/>
      <c r="N2" s="110"/>
    </row>
    <row r="3" spans="2:14" ht="21.75" customHeight="1">
      <c r="B3" s="88" t="s">
        <v>189</v>
      </c>
      <c r="C3" s="89">
        <v>48</v>
      </c>
      <c r="D3" s="100">
        <v>65.900000000000006</v>
      </c>
      <c r="F3" s="87"/>
      <c r="G3" s="87"/>
      <c r="H3" s="87"/>
      <c r="I3" s="87"/>
      <c r="J3" s="87"/>
      <c r="K3" s="87"/>
      <c r="L3" s="87"/>
      <c r="M3" s="87"/>
      <c r="N3" s="87"/>
    </row>
    <row r="4" spans="2:14" ht="21.75" customHeight="1">
      <c r="B4" s="88" t="s">
        <v>189</v>
      </c>
      <c r="C4" s="89">
        <v>17</v>
      </c>
      <c r="D4" s="100">
        <v>69.900000000000006</v>
      </c>
    </row>
    <row r="5" spans="2:14" ht="21.75" customHeight="1">
      <c r="B5" s="88" t="s">
        <v>189</v>
      </c>
      <c r="C5" s="89">
        <v>37</v>
      </c>
      <c r="D5" s="100">
        <v>70.900000000000006</v>
      </c>
      <c r="F5" s="110" t="s">
        <v>191</v>
      </c>
      <c r="G5" s="110"/>
      <c r="H5" s="110"/>
      <c r="I5" s="110"/>
      <c r="J5" s="110"/>
      <c r="K5" s="110"/>
      <c r="L5" s="110"/>
      <c r="M5" s="110"/>
      <c r="N5" s="110"/>
    </row>
    <row r="6" spans="2:14" ht="21.75" customHeight="1">
      <c r="B6" s="88" t="s">
        <v>193</v>
      </c>
      <c r="C6" s="89">
        <v>36</v>
      </c>
      <c r="D6" s="100">
        <v>145</v>
      </c>
      <c r="F6" s="87"/>
      <c r="G6" s="87"/>
      <c r="H6" s="87"/>
      <c r="I6" s="87"/>
      <c r="J6" s="87"/>
      <c r="K6" s="87"/>
      <c r="L6" s="87"/>
      <c r="M6" s="87"/>
      <c r="N6" s="87"/>
    </row>
    <row r="7" spans="2:14" ht="21.75" customHeight="1">
      <c r="B7" s="88" t="s">
        <v>190</v>
      </c>
      <c r="C7" s="89">
        <v>19</v>
      </c>
      <c r="D7" s="100">
        <v>259.89999999999998</v>
      </c>
    </row>
    <row r="8" spans="2:14" ht="21.75" customHeight="1">
      <c r="B8" s="88" t="s">
        <v>17</v>
      </c>
      <c r="C8" s="89">
        <v>23</v>
      </c>
      <c r="D8" s="100">
        <v>39.9</v>
      </c>
      <c r="F8" s="110" t="s">
        <v>194</v>
      </c>
      <c r="G8" s="110"/>
      <c r="H8" s="110"/>
      <c r="I8" s="110"/>
      <c r="J8" s="110"/>
      <c r="K8" s="110"/>
      <c r="L8" s="110"/>
      <c r="M8" s="110"/>
      <c r="N8" s="110"/>
    </row>
    <row r="9" spans="2:14" ht="21.75" customHeight="1">
      <c r="B9" s="88" t="s">
        <v>192</v>
      </c>
      <c r="C9" s="89">
        <v>24</v>
      </c>
      <c r="D9" s="100">
        <v>85.9</v>
      </c>
      <c r="F9" s="87"/>
      <c r="G9" s="87"/>
      <c r="H9" s="87"/>
      <c r="I9" s="87"/>
      <c r="J9" s="87"/>
      <c r="K9" s="87"/>
      <c r="L9" s="87"/>
      <c r="M9" s="87"/>
      <c r="N9" s="87"/>
    </row>
    <row r="10" spans="2:14" ht="21.75" customHeight="1" thickBot="1">
      <c r="B10" s="90" t="s">
        <v>192</v>
      </c>
      <c r="C10" s="91">
        <v>34</v>
      </c>
      <c r="D10" s="101">
        <v>89.9</v>
      </c>
    </row>
    <row r="11" spans="2:14" ht="21.75" customHeight="1">
      <c r="F11" s="110" t="s">
        <v>195</v>
      </c>
      <c r="G11" s="110"/>
      <c r="H11" s="110"/>
      <c r="I11" s="110"/>
      <c r="J11" s="110"/>
      <c r="K11" s="110"/>
      <c r="L11" s="110"/>
      <c r="M11" s="110"/>
      <c r="N11" s="110"/>
    </row>
    <row r="12" spans="2:14" ht="21.75" customHeight="1">
      <c r="F12" s="92"/>
      <c r="G12" s="87"/>
      <c r="H12" s="87"/>
      <c r="I12" s="87"/>
      <c r="J12" s="87"/>
      <c r="K12" s="87"/>
      <c r="L12" s="87"/>
      <c r="M12" s="87"/>
      <c r="N12" s="87"/>
    </row>
    <row r="13" spans="2:14" ht="21.75" customHeight="1"/>
    <row r="14" spans="2:14" ht="18">
      <c r="F14" s="86"/>
      <c r="G14" s="86"/>
      <c r="H14" s="86"/>
      <c r="I14" s="86"/>
      <c r="J14" s="86"/>
      <c r="K14" s="86"/>
      <c r="L14" s="86"/>
      <c r="M14" s="86"/>
      <c r="N14" s="86"/>
    </row>
    <row r="17" spans="6:14" ht="18">
      <c r="F17" s="86"/>
      <c r="G17" s="86"/>
      <c r="H17" s="86"/>
      <c r="I17" s="86"/>
      <c r="J17" s="86"/>
      <c r="K17" s="86"/>
      <c r="L17" s="86"/>
      <c r="M17" s="86"/>
      <c r="N17" s="86"/>
    </row>
    <row r="20" spans="6:14" ht="18">
      <c r="F20" s="86"/>
      <c r="G20" s="86"/>
      <c r="H20" s="86"/>
      <c r="I20" s="86"/>
      <c r="J20" s="86"/>
      <c r="K20" s="86"/>
      <c r="L20" s="86"/>
      <c r="M20" s="86"/>
      <c r="N20" s="86"/>
    </row>
    <row r="23" spans="6:14" ht="18">
      <c r="F23" s="86"/>
      <c r="G23" s="86"/>
      <c r="H23" s="86"/>
      <c r="I23" s="86"/>
      <c r="J23" s="86"/>
      <c r="K23" s="86"/>
      <c r="L23" s="86"/>
      <c r="M23" s="86"/>
      <c r="N23" s="86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ColWidth="8.85546875"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>
      <c r="A1" s="14" t="s">
        <v>199</v>
      </c>
      <c r="B1" s="15" t="s">
        <v>200</v>
      </c>
      <c r="D1" s="14" t="s">
        <v>201</v>
      </c>
      <c r="E1" s="18" t="s">
        <v>202</v>
      </c>
      <c r="F1" s="18" t="s">
        <v>158</v>
      </c>
      <c r="G1" s="15" t="s">
        <v>203</v>
      </c>
      <c r="I1" s="21" t="s">
        <v>204</v>
      </c>
      <c r="J1" s="23" t="s">
        <v>205</v>
      </c>
      <c r="K1" s="23" t="s">
        <v>206</v>
      </c>
      <c r="L1" s="22" t="s">
        <v>158</v>
      </c>
    </row>
    <row r="2" spans="1:12">
      <c r="A2" s="3" t="s">
        <v>207</v>
      </c>
      <c r="B2" s="16" t="e">
        <f>SUMIF(#REF!,A2,TB_Ventas[Total])</f>
        <v>#REF!</v>
      </c>
      <c r="D2" s="3">
        <v>1</v>
      </c>
      <c r="E2" s="2" t="s">
        <v>208</v>
      </c>
      <c r="F2" s="6">
        <f>SUMIF(TB_Ventas[Nº],D2,TB_Ventas[Total])</f>
        <v>1750.9</v>
      </c>
      <c r="G2" s="19">
        <f>SUMIF(TB_Ventas[Nº],D2,TB_Ventas[Cant.])</f>
        <v>14</v>
      </c>
      <c r="I2" s="3" t="s">
        <v>209</v>
      </c>
      <c r="J2" s="26" t="e">
        <f>L2/SUM($L$2:$L$4)</f>
        <v>#DIV/0!</v>
      </c>
      <c r="K2" s="24" t="e">
        <f>100%-J2</f>
        <v>#DIV/0!</v>
      </c>
      <c r="L2" s="16">
        <f>SUMIF(TB_Ventas[Vendedor],I2,TB_Ventas[Total])</f>
        <v>0</v>
      </c>
    </row>
    <row r="3" spans="1:12">
      <c r="A3" s="3" t="s">
        <v>210</v>
      </c>
      <c r="B3" s="16" t="e">
        <f>SUMIF(#REF!,A3,TB_Ventas[Total])</f>
        <v>#REF!</v>
      </c>
      <c r="D3" s="3">
        <v>2</v>
      </c>
      <c r="E3" s="2" t="s">
        <v>211</v>
      </c>
      <c r="F3" s="6">
        <f>SUMIF(TB_Ventas[Nº],D3,TB_Ventas[Total])</f>
        <v>2974.9</v>
      </c>
      <c r="G3" s="19">
        <f>SUMIF(TB_Ventas[Nº],D3,TB_Ventas[Cant.])</f>
        <v>15</v>
      </c>
      <c r="I3" s="3" t="s">
        <v>212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SUMIF(TB_Ventas[Vendedor],I3,TB_Ventas[Total])</f>
        <v>0</v>
      </c>
    </row>
    <row r="4" spans="1:12" ht="15.75" thickBot="1">
      <c r="A4" s="4" t="s">
        <v>213</v>
      </c>
      <c r="B4" s="17" t="e">
        <f>SUMIF(#REF!,A4,TB_Ventas[Total])</f>
        <v>#REF!</v>
      </c>
      <c r="D4" s="3">
        <v>3</v>
      </c>
      <c r="E4" s="2" t="s">
        <v>161</v>
      </c>
      <c r="F4" s="6">
        <f>SUMIF(TB_Ventas[Nº],D4,TB_Ventas[Total])</f>
        <v>3698.1</v>
      </c>
      <c r="G4" s="19">
        <f>SUMIF(TB_Ventas[Nº],D4,TB_Ventas[Cant.])</f>
        <v>26</v>
      </c>
      <c r="I4" s="4" t="s">
        <v>137</v>
      </c>
      <c r="J4" s="27" t="e">
        <f>L4/SUM($L$2:$L$4)</f>
        <v>#DIV/0!</v>
      </c>
      <c r="K4" s="25" t="e">
        <f t="shared" si="1"/>
        <v>#DIV/0!</v>
      </c>
      <c r="L4" s="17">
        <f>SUMIF(TB_Ventas[Vendedor],I4,TB_Ventas[Total])</f>
        <v>0</v>
      </c>
    </row>
    <row r="5" spans="1:12">
      <c r="D5" s="3">
        <v>4</v>
      </c>
      <c r="E5" s="2" t="s">
        <v>162</v>
      </c>
      <c r="F5" s="6">
        <f>SUMIF(TB_Ventas[Nº],D5,TB_Ventas[Total])</f>
        <v>3651.0999999999995</v>
      </c>
      <c r="G5" s="19">
        <f>SUMIF(TB_Ventas[Nº],D5,TB_Ventas[Cant.])</f>
        <v>28</v>
      </c>
    </row>
    <row r="6" spans="1:12">
      <c r="D6" s="3">
        <v>5</v>
      </c>
      <c r="E6" s="2" t="s">
        <v>214</v>
      </c>
      <c r="F6" s="6">
        <f>SUMIF(TB_Ventas[Nº],D6,TB_Ventas[Total])</f>
        <v>2776.2999999999997</v>
      </c>
      <c r="G6" s="19">
        <f>SUMIF(TB_Ventas[Nº],D6,TB_Ventas[Cant.])</f>
        <v>17</v>
      </c>
    </row>
    <row r="7" spans="1:12" ht="15.75" thickBot="1">
      <c r="D7" s="4">
        <v>6</v>
      </c>
      <c r="E7" s="5" t="s">
        <v>164</v>
      </c>
      <c r="F7" s="7">
        <f>SUMIF(TB_Ventas[Nº],D7,TB_Ventas[Total])</f>
        <v>3477.7000000000007</v>
      </c>
      <c r="G7" s="20">
        <f>SUMIF(TB_Ventas[Nº],D7,TB_Ventas[Cant.])</f>
        <v>41</v>
      </c>
    </row>
    <row r="11" spans="1:12">
      <c r="I11" s="28"/>
      <c r="J11" s="28"/>
      <c r="K11" s="28"/>
      <c r="L11" s="28"/>
    </row>
    <row r="12" spans="1:12">
      <c r="J12" s="29"/>
      <c r="K12" s="30"/>
      <c r="L12" s="8"/>
    </row>
    <row r="13" spans="1:12">
      <c r="J13" s="29"/>
      <c r="K13" s="30"/>
      <c r="L13" s="8"/>
    </row>
    <row r="14" spans="1:12">
      <c r="J14" s="29"/>
      <c r="K14" s="30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11" t="s">
        <v>215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3"/>
      <c r="AQ2" s="111" t="s">
        <v>216</v>
      </c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3"/>
      <c r="BK2" s="111" t="s">
        <v>217</v>
      </c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3"/>
    </row>
    <row r="3" spans="3:80" ht="9.75" customHeight="1" thickBot="1">
      <c r="W3" s="114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6"/>
      <c r="AQ3" s="114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6"/>
      <c r="BK3" s="114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6"/>
    </row>
    <row r="4" spans="3:80" ht="9.75" customHeight="1">
      <c r="W4" s="117">
        <f>COUNTA(TB_Productos[Código])</f>
        <v>60</v>
      </c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9"/>
      <c r="AQ4" s="117">
        <f>SUM(TB_Ventas[Cant.])</f>
        <v>250</v>
      </c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9"/>
      <c r="BK4" s="126">
        <f>SUM(TB_Ventas[Total])</f>
        <v>33304.799999999988</v>
      </c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8"/>
    </row>
    <row r="5" spans="3:80" ht="9.75" customHeight="1">
      <c r="W5" s="120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2"/>
      <c r="AQ5" s="120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2"/>
      <c r="BK5" s="129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1"/>
    </row>
    <row r="6" spans="3:80" ht="9.75" customHeight="1">
      <c r="W6" s="120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2"/>
      <c r="AQ6" s="120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2"/>
      <c r="BK6" s="129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1"/>
    </row>
    <row r="7" spans="3:80" ht="9.75" customHeight="1" thickBot="1">
      <c r="W7" s="123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5"/>
      <c r="AQ7" s="123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5"/>
      <c r="BK7" s="132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4"/>
    </row>
    <row r="8" spans="3:80" ht="9.75" customHeight="1" thickBot="1"/>
    <row r="9" spans="3:80" ht="9.75" customHeight="1">
      <c r="C9" s="111" t="s">
        <v>218</v>
      </c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3"/>
    </row>
    <row r="10" spans="3:80" ht="9.75" customHeight="1" thickBot="1">
      <c r="C10" s="114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6"/>
    </row>
    <row r="11" spans="3:80" ht="9.75" customHeight="1">
      <c r="C11" s="135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7"/>
    </row>
    <row r="12" spans="3:80" ht="9.75" customHeight="1">
      <c r="C12" s="138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40"/>
    </row>
    <row r="13" spans="3:80" ht="9.75" customHeight="1">
      <c r="C13" s="138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40"/>
    </row>
    <row r="14" spans="3:80" ht="9.75" customHeight="1">
      <c r="C14" s="138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40"/>
    </row>
    <row r="15" spans="3:80" ht="9.75" customHeight="1">
      <c r="C15" s="138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</row>
    <row r="16" spans="3:80" ht="9.75" customHeight="1">
      <c r="C16" s="138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/>
      <c r="BP16" s="139"/>
      <c r="BQ16" s="139"/>
      <c r="BR16" s="139"/>
      <c r="BS16" s="139"/>
      <c r="BT16" s="139"/>
      <c r="BU16" s="139"/>
      <c r="BV16" s="139"/>
      <c r="BW16" s="139"/>
      <c r="BX16" s="139"/>
      <c r="BY16" s="139"/>
      <c r="BZ16" s="139"/>
      <c r="CA16" s="139"/>
      <c r="CB16" s="140"/>
    </row>
    <row r="17" spans="3:80" ht="9.75" customHeight="1">
      <c r="C17" s="138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  <c r="BV17" s="139"/>
      <c r="BW17" s="139"/>
      <c r="BX17" s="139"/>
      <c r="BY17" s="139"/>
      <c r="BZ17" s="139"/>
      <c r="CA17" s="139"/>
      <c r="CB17" s="140"/>
    </row>
    <row r="18" spans="3:80" ht="9.75" customHeight="1">
      <c r="C18" s="138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40"/>
    </row>
    <row r="19" spans="3:80" ht="9.75" customHeight="1">
      <c r="C19" s="138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39"/>
      <c r="BS19" s="139"/>
      <c r="BT19" s="139"/>
      <c r="BU19" s="139"/>
      <c r="BV19" s="139"/>
      <c r="BW19" s="139"/>
      <c r="BX19" s="139"/>
      <c r="BY19" s="139"/>
      <c r="BZ19" s="139"/>
      <c r="CA19" s="139"/>
      <c r="CB19" s="140"/>
    </row>
    <row r="20" spans="3:80" ht="9.75" customHeight="1">
      <c r="C20" s="138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40"/>
    </row>
    <row r="21" spans="3:80" ht="9.75" customHeight="1">
      <c r="C21" s="138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39"/>
      <c r="BN21" s="139"/>
      <c r="BO21" s="139"/>
      <c r="BP21" s="139"/>
      <c r="BQ21" s="139"/>
      <c r="BR21" s="139"/>
      <c r="BS21" s="139"/>
      <c r="BT21" s="139"/>
      <c r="BU21" s="139"/>
      <c r="BV21" s="139"/>
      <c r="BW21" s="139"/>
      <c r="BX21" s="139"/>
      <c r="BY21" s="139"/>
      <c r="BZ21" s="139"/>
      <c r="CA21" s="139"/>
      <c r="CB21" s="140"/>
    </row>
    <row r="22" spans="3:80" ht="9.75" customHeight="1">
      <c r="C22" s="138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40"/>
    </row>
    <row r="23" spans="3:80" ht="9.75" customHeight="1">
      <c r="C23" s="138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40"/>
    </row>
    <row r="24" spans="3:80" ht="9.75" customHeight="1" thickBot="1">
      <c r="C24" s="141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2"/>
      <c r="BM24" s="142"/>
      <c r="BN24" s="142"/>
      <c r="BO24" s="142"/>
      <c r="BP24" s="142"/>
      <c r="BQ24" s="142"/>
      <c r="BR24" s="142"/>
      <c r="BS24" s="142"/>
      <c r="BT24" s="142"/>
      <c r="BU24" s="142"/>
      <c r="BV24" s="142"/>
      <c r="BW24" s="142"/>
      <c r="BX24" s="142"/>
      <c r="BY24" s="142"/>
      <c r="BZ24" s="142"/>
      <c r="CA24" s="142"/>
      <c r="CB24" s="143"/>
    </row>
    <row r="25" spans="3:80" ht="9.75" customHeight="1" thickBot="1"/>
    <row r="26" spans="3:80" ht="9.75" customHeight="1">
      <c r="C26" s="111" t="s">
        <v>219</v>
      </c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3"/>
      <c r="AO26" s="12"/>
      <c r="AP26" s="12"/>
      <c r="AQ26" s="111" t="s">
        <v>220</v>
      </c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3"/>
    </row>
    <row r="27" spans="3:80" ht="9.75" customHeight="1" thickBot="1">
      <c r="C27" s="114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6"/>
      <c r="AO27" s="12"/>
      <c r="AP27" s="12"/>
      <c r="AQ27" s="114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6"/>
    </row>
    <row r="28" spans="3:80" ht="9.75" customHeight="1">
      <c r="C28" s="135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7"/>
      <c r="AQ28" s="135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6"/>
      <c r="BZ28" s="136"/>
      <c r="CA28" s="136"/>
      <c r="CB28" s="137"/>
    </row>
    <row r="29" spans="3:80" ht="9.75" customHeight="1">
      <c r="C29" s="138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40"/>
      <c r="AQ29" s="138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39"/>
      <c r="BM29" s="139"/>
      <c r="BN29" s="139"/>
      <c r="BO29" s="139"/>
      <c r="BP29" s="139"/>
      <c r="BQ29" s="139"/>
      <c r="BR29" s="139"/>
      <c r="BS29" s="139"/>
      <c r="BT29" s="139"/>
      <c r="BU29" s="139"/>
      <c r="BV29" s="139"/>
      <c r="BW29" s="139"/>
      <c r="BX29" s="139"/>
      <c r="BY29" s="139"/>
      <c r="BZ29" s="139"/>
      <c r="CA29" s="139"/>
      <c r="CB29" s="140"/>
    </row>
    <row r="30" spans="3:80" ht="9.75" customHeight="1">
      <c r="C30" s="138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40"/>
      <c r="AQ30" s="138"/>
      <c r="AR30" s="139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139"/>
      <c r="BF30" s="139"/>
      <c r="BG30" s="139"/>
      <c r="BH30" s="139"/>
      <c r="BI30" s="139"/>
      <c r="BJ30" s="139"/>
      <c r="BK30" s="139"/>
      <c r="BL30" s="139"/>
      <c r="BM30" s="139"/>
      <c r="BN30" s="139"/>
      <c r="BO30" s="139"/>
      <c r="BP30" s="139"/>
      <c r="BQ30" s="139"/>
      <c r="BR30" s="139"/>
      <c r="BS30" s="139"/>
      <c r="BT30" s="139"/>
      <c r="BU30" s="139"/>
      <c r="BV30" s="139"/>
      <c r="BW30" s="139"/>
      <c r="BX30" s="139"/>
      <c r="BY30" s="139"/>
      <c r="BZ30" s="139"/>
      <c r="CA30" s="139"/>
      <c r="CB30" s="140"/>
    </row>
    <row r="31" spans="3:80" ht="9.75" customHeight="1">
      <c r="C31" s="138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40"/>
      <c r="AQ31" s="138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40"/>
    </row>
    <row r="32" spans="3:80" ht="9.75" customHeight="1">
      <c r="C32" s="138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40"/>
      <c r="AQ32" s="138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40"/>
    </row>
    <row r="33" spans="3:80" ht="9.75" customHeight="1">
      <c r="C33" s="138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40"/>
      <c r="AQ33" s="138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40"/>
    </row>
    <row r="34" spans="3:80" ht="9.75" customHeight="1">
      <c r="C34" s="138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40"/>
      <c r="AQ34" s="138"/>
      <c r="AR34" s="139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39"/>
      <c r="BI34" s="139"/>
      <c r="BJ34" s="139"/>
      <c r="BK34" s="139"/>
      <c r="BL34" s="139"/>
      <c r="BM34" s="139"/>
      <c r="BN34" s="139"/>
      <c r="BO34" s="139"/>
      <c r="BP34" s="139"/>
      <c r="BQ34" s="139"/>
      <c r="BR34" s="139"/>
      <c r="BS34" s="139"/>
      <c r="BT34" s="139"/>
      <c r="BU34" s="139"/>
      <c r="BV34" s="139"/>
      <c r="BW34" s="139"/>
      <c r="BX34" s="139"/>
      <c r="BY34" s="139"/>
      <c r="BZ34" s="139"/>
      <c r="CA34" s="139"/>
      <c r="CB34" s="140"/>
    </row>
    <row r="35" spans="3:80" ht="9.75" customHeight="1">
      <c r="C35" s="138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40"/>
      <c r="AQ35" s="138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40"/>
    </row>
    <row r="36" spans="3:80" ht="9.75" customHeight="1">
      <c r="C36" s="138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40"/>
      <c r="AQ36" s="138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40"/>
    </row>
    <row r="37" spans="3:80" ht="9.75" customHeight="1">
      <c r="C37" s="138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40"/>
      <c r="AQ37" s="138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39"/>
      <c r="BN37" s="139"/>
      <c r="BO37" s="139"/>
      <c r="BP37" s="139"/>
      <c r="BQ37" s="139"/>
      <c r="BR37" s="139"/>
      <c r="BS37" s="139"/>
      <c r="BT37" s="139"/>
      <c r="BU37" s="139"/>
      <c r="BV37" s="139"/>
      <c r="BW37" s="139"/>
      <c r="BX37" s="139"/>
      <c r="BY37" s="139"/>
      <c r="BZ37" s="139"/>
      <c r="CA37" s="139"/>
      <c r="CB37" s="140"/>
    </row>
    <row r="38" spans="3:80" ht="9.75" customHeight="1">
      <c r="C38" s="138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40"/>
      <c r="AQ38" s="138"/>
      <c r="AR38" s="139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  <c r="BK38" s="139"/>
      <c r="BL38" s="139"/>
      <c r="BM38" s="139"/>
      <c r="BN38" s="139"/>
      <c r="BO38" s="139"/>
      <c r="BP38" s="139"/>
      <c r="BQ38" s="139"/>
      <c r="BR38" s="139"/>
      <c r="BS38" s="139"/>
      <c r="BT38" s="139"/>
      <c r="BU38" s="139"/>
      <c r="BV38" s="139"/>
      <c r="BW38" s="139"/>
      <c r="BX38" s="139"/>
      <c r="BY38" s="139"/>
      <c r="BZ38" s="139"/>
      <c r="CA38" s="139"/>
      <c r="CB38" s="140"/>
    </row>
    <row r="39" spans="3:80" ht="9.75" customHeight="1">
      <c r="C39" s="138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40"/>
      <c r="AQ39" s="138"/>
      <c r="AR39" s="139"/>
      <c r="AS39" s="13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39"/>
      <c r="BE39" s="139"/>
      <c r="BF39" s="139"/>
      <c r="BG39" s="139"/>
      <c r="BH39" s="139"/>
      <c r="BI39" s="139"/>
      <c r="BJ39" s="139"/>
      <c r="BK39" s="139"/>
      <c r="BL39" s="139"/>
      <c r="BM39" s="139"/>
      <c r="BN39" s="139"/>
      <c r="BO39" s="139"/>
      <c r="BP39" s="139"/>
      <c r="BQ39" s="139"/>
      <c r="BR39" s="139"/>
      <c r="BS39" s="139"/>
      <c r="BT39" s="139"/>
      <c r="BU39" s="139"/>
      <c r="BV39" s="139"/>
      <c r="BW39" s="139"/>
      <c r="BX39" s="139"/>
      <c r="BY39" s="139"/>
      <c r="BZ39" s="139"/>
      <c r="CA39" s="139"/>
      <c r="CB39" s="140"/>
    </row>
    <row r="40" spans="3:80" ht="9.75" customHeight="1">
      <c r="C40" s="138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40"/>
      <c r="AQ40" s="138"/>
      <c r="AR40" s="139"/>
      <c r="AS40" s="139"/>
      <c r="AT40" s="139"/>
      <c r="AU40" s="139"/>
      <c r="AV40" s="139"/>
      <c r="AW40" s="139"/>
      <c r="AX40" s="139"/>
      <c r="AY40" s="139"/>
      <c r="AZ40" s="139"/>
      <c r="BA40" s="139"/>
      <c r="BB40" s="139"/>
      <c r="BC40" s="139"/>
      <c r="BD40" s="139"/>
      <c r="BE40" s="139"/>
      <c r="BF40" s="139"/>
      <c r="BG40" s="139"/>
      <c r="BH40" s="139"/>
      <c r="BI40" s="139"/>
      <c r="BJ40" s="139"/>
      <c r="BK40" s="139"/>
      <c r="BL40" s="139"/>
      <c r="BM40" s="139"/>
      <c r="BN40" s="139"/>
      <c r="BO40" s="139"/>
      <c r="BP40" s="139"/>
      <c r="BQ40" s="139"/>
      <c r="BR40" s="139"/>
      <c r="BS40" s="139"/>
      <c r="BT40" s="139"/>
      <c r="BU40" s="139"/>
      <c r="BV40" s="139"/>
      <c r="BW40" s="139"/>
      <c r="BX40" s="139"/>
      <c r="BY40" s="139"/>
      <c r="BZ40" s="139"/>
      <c r="CA40" s="139"/>
      <c r="CB40" s="140"/>
    </row>
    <row r="41" spans="3:80" ht="9.75" customHeight="1">
      <c r="C41" s="138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40"/>
      <c r="AQ41" s="138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40"/>
    </row>
    <row r="42" spans="3:80" ht="9.75" customHeight="1">
      <c r="C42" s="138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40"/>
      <c r="AQ42" s="138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40"/>
    </row>
    <row r="43" spans="3:80" ht="9.75" customHeight="1">
      <c r="C43" s="138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40"/>
      <c r="AQ43" s="138"/>
      <c r="AR43" s="139"/>
      <c r="AS43" s="139"/>
      <c r="AT43" s="139"/>
      <c r="AU43" s="139"/>
      <c r="AV43" s="139"/>
      <c r="AW43" s="139"/>
      <c r="AX43" s="139"/>
      <c r="AY43" s="139"/>
      <c r="AZ43" s="139"/>
      <c r="BA43" s="139"/>
      <c r="BB43" s="139"/>
      <c r="BC43" s="139"/>
      <c r="BD43" s="139"/>
      <c r="BE43" s="139"/>
      <c r="BF43" s="139"/>
      <c r="BG43" s="139"/>
      <c r="BH43" s="139"/>
      <c r="BI43" s="139"/>
      <c r="BJ43" s="139"/>
      <c r="BK43" s="139"/>
      <c r="BL43" s="139"/>
      <c r="BM43" s="139"/>
      <c r="BN43" s="139"/>
      <c r="BO43" s="139"/>
      <c r="BP43" s="139"/>
      <c r="BQ43" s="139"/>
      <c r="BR43" s="139"/>
      <c r="BS43" s="139"/>
      <c r="BT43" s="139"/>
      <c r="BU43" s="139"/>
      <c r="BV43" s="139"/>
      <c r="BW43" s="139"/>
      <c r="BX43" s="139"/>
      <c r="BY43" s="139"/>
      <c r="BZ43" s="139"/>
      <c r="CA43" s="139"/>
      <c r="CB43" s="140"/>
    </row>
    <row r="44" spans="3:80" ht="9.75" customHeight="1">
      <c r="C44" s="138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40"/>
      <c r="AQ44" s="138"/>
      <c r="AR44" s="139"/>
      <c r="AS44" s="139"/>
      <c r="AT44" s="139"/>
      <c r="AU44" s="139"/>
      <c r="AV44" s="139"/>
      <c r="AW44" s="139"/>
      <c r="AX44" s="139"/>
      <c r="AY44" s="139"/>
      <c r="AZ44" s="139"/>
      <c r="BA44" s="139"/>
      <c r="BB44" s="139"/>
      <c r="BC44" s="139"/>
      <c r="BD44" s="139"/>
      <c r="BE44" s="139"/>
      <c r="BF44" s="139"/>
      <c r="BG44" s="139"/>
      <c r="BH44" s="139"/>
      <c r="BI44" s="139"/>
      <c r="BJ44" s="139"/>
      <c r="BK44" s="139"/>
      <c r="BL44" s="139"/>
      <c r="BM44" s="139"/>
      <c r="BN44" s="139"/>
      <c r="BO44" s="139"/>
      <c r="BP44" s="139"/>
      <c r="BQ44" s="139"/>
      <c r="BR44" s="139"/>
      <c r="BS44" s="139"/>
      <c r="BT44" s="139"/>
      <c r="BU44" s="139"/>
      <c r="BV44" s="139"/>
      <c r="BW44" s="139"/>
      <c r="BX44" s="139"/>
      <c r="BY44" s="139"/>
      <c r="BZ44" s="139"/>
      <c r="CA44" s="139"/>
      <c r="CB44" s="140"/>
    </row>
    <row r="45" spans="3:80" ht="9.75" customHeight="1">
      <c r="C45" s="138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40"/>
      <c r="AQ45" s="138"/>
      <c r="AR45" s="139"/>
      <c r="AS45" s="139"/>
      <c r="AT45" s="139"/>
      <c r="AU45" s="139"/>
      <c r="AV45" s="139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  <c r="BK45" s="139"/>
      <c r="BL45" s="139"/>
      <c r="BM45" s="139"/>
      <c r="BN45" s="139"/>
      <c r="BO45" s="139"/>
      <c r="BP45" s="139"/>
      <c r="BQ45" s="139"/>
      <c r="BR45" s="139"/>
      <c r="BS45" s="139"/>
      <c r="BT45" s="139"/>
      <c r="BU45" s="139"/>
      <c r="BV45" s="139"/>
      <c r="BW45" s="139"/>
      <c r="BX45" s="139"/>
      <c r="BY45" s="139"/>
      <c r="BZ45" s="139"/>
      <c r="CA45" s="139"/>
      <c r="CB45" s="140"/>
    </row>
    <row r="46" spans="3:80" ht="9.75" customHeight="1" thickBot="1">
      <c r="C46" s="141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3"/>
      <c r="AQ46" s="141"/>
      <c r="AR46" s="142"/>
      <c r="AS46" s="142"/>
      <c r="AT46" s="142"/>
      <c r="AU46" s="142"/>
      <c r="AV46" s="142"/>
      <c r="AW46" s="142"/>
      <c r="AX46" s="142"/>
      <c r="AY46" s="142"/>
      <c r="AZ46" s="142"/>
      <c r="BA46" s="142"/>
      <c r="BB46" s="142"/>
      <c r="BC46" s="142"/>
      <c r="BD46" s="142"/>
      <c r="BE46" s="142"/>
      <c r="BF46" s="142"/>
      <c r="BG46" s="142"/>
      <c r="BH46" s="142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  <c r="CB46" s="143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58C3EC-E91A-49F4-83EE-E2D127D616CD}"/>
</file>

<file path=customXml/itemProps2.xml><?xml version="1.0" encoding="utf-8"?>
<ds:datastoreItem xmlns:ds="http://schemas.openxmlformats.org/officeDocument/2006/customXml" ds:itemID="{1D67BD3A-2F5A-4F31-834D-87BFD4538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>Léia Araujo</cp:lastModifiedBy>
  <cp:revision/>
  <dcterms:created xsi:type="dcterms:W3CDTF">2023-06-02T17:54:12Z</dcterms:created>
  <dcterms:modified xsi:type="dcterms:W3CDTF">2024-07-22T20:56:36Z</dcterms:modified>
  <cp:category/>
  <cp:contentStatus/>
</cp:coreProperties>
</file>